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defaultThemeVersion="124226"/>
  <mc:AlternateContent xmlns:mc="http://schemas.openxmlformats.org/markup-compatibility/2006">
    <mc:Choice Requires="x15">
      <x15ac:absPath xmlns:x15ac="http://schemas.microsoft.com/office/spreadsheetml/2010/11/ac" url="Q:\LGF3\LGF3Data\NNDR 1 - 3\NNDR1\2021-22\Stats Release\Tables for Release - v3 revision\"/>
    </mc:Choice>
  </mc:AlternateContent>
  <xr:revisionPtr revIDLastSave="0" documentId="13_ncr:1_{D2A2F64F-C16F-41FB-81A3-8215F981DE9D}" xr6:coauthVersionLast="46" xr6:coauthVersionMax="46" xr10:uidLastSave="{00000000-0000-0000-0000-000000000000}"/>
  <bookViews>
    <workbookView xWindow="-120" yWindow="-120" windowWidth="29040" windowHeight="14505" tabRatio="897" activeTab="1" xr2:uid="{A426BC63-C833-499C-B937-89CF60BF1C8D}"/>
  </bookViews>
  <sheets>
    <sheet name="Metadata" sheetId="32" r:id="rId1"/>
    <sheet name="Part 1" sheetId="1" r:id="rId2"/>
    <sheet name="Part 2" sheetId="6" r:id="rId3"/>
    <sheet name="Part 3" sheetId="41" r:id="rId4"/>
    <sheet name="Part 3 DA summary" sheetId="51" r:id="rId5"/>
    <sheet name="Part 4" sheetId="23" r:id="rId6"/>
    <sheet name="Part 4a Three year spread" sheetId="93" r:id="rId7"/>
    <sheet name="DataSheet1" sheetId="98" r:id="rId8"/>
    <sheet name="DataSheet2" sheetId="99" r:id="rId9"/>
    <sheet name="DataSheet3" sheetId="100" r:id="rId10"/>
    <sheet name="DataSheetDA" sheetId="101" r:id="rId11"/>
    <sheet name="DataSheet4" sheetId="103" r:id="rId12"/>
    <sheet name="DataSheet4a" sheetId="104" r:id="rId13"/>
  </sheets>
  <externalReferences>
    <externalReference r:id="rId14"/>
    <externalReference r:id="rId15"/>
    <externalReference r:id="rId16"/>
    <externalReference r:id="rId17"/>
    <externalReference r:id="rId18"/>
    <externalReference r:id="rId19"/>
  </externalReferences>
  <definedNames>
    <definedName name="\R" localSheetId="6">#REF!</definedName>
    <definedName name="\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CTR1" localSheetId="4">'Part 3 DA summary'!#REF!</definedName>
    <definedName name="_CTR1">#REF!</definedName>
    <definedName name="_xlnm._FilterDatabase" localSheetId="7" hidden="1">DataSheet1!$A$7:$DD$317</definedName>
    <definedName name="_xlnm._FilterDatabase" localSheetId="8" hidden="1">DataSheet2!$A$7:$DW$317</definedName>
    <definedName name="_xlnm._FilterDatabase" localSheetId="9" hidden="1">DataSheet3!$A$7:$AP$7</definedName>
    <definedName name="_xlnm._FilterDatabase" localSheetId="11" hidden="1">DataSheet4!$A$7:$AD$7</definedName>
    <definedName name="_xlnm._FilterDatabase" localSheetId="12" hidden="1">DataSheet4a!$A$7:$AZ$7</definedName>
    <definedName name="_xlnm._FilterDatabase" localSheetId="10" hidden="1">DataSheetDA!$A$3:$O$238</definedName>
    <definedName name="_xlnm._FilterDatabase" localSheetId="6" hidden="1">#REF!</definedName>
    <definedName name="_xlnm._FilterDatabase" hidden="1">#REF!</definedName>
    <definedName name="_Order1" hidden="1">255</definedName>
    <definedName name="_Order2" hidden="1">0</definedName>
    <definedName name="a" localSheetId="6"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dj_factor" localSheetId="6">'Part 1'!#REF!</definedName>
    <definedName name="adj_factor">'Part 1'!#REF!</definedName>
    <definedName name="Adur">[1]DATA!#REF!</definedName>
    <definedName name="asdas" localSheetId="6"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17aug" localSheetId="6"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FD" localSheetId="6"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F" localSheetId="6"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A" localSheetId="6"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FD" localSheetId="6"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b" localSheetId="6"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Rprint1">#REF!</definedName>
    <definedName name="BRprint2">#REF!</definedName>
    <definedName name="cccc">'[2]BR1 Form'!#REF!</definedName>
    <definedName name="CERDATA">'[3]Section A'!#REF!</definedName>
    <definedName name="CONTACT" localSheetId="4">'Part 3 DA summary'!#REF!</definedName>
    <definedName name="CONTACT">'Part 1'!$L$14:$P$18</definedName>
    <definedName name="CTRprint1" localSheetId="4">'Part 3 DA summary'!$B$1:$J$1</definedName>
    <definedName name="CTRprint1">#REF!</definedName>
    <definedName name="CTRprint2" localSheetId="4">'Part 3 DA summary'!$B$7:$J$54</definedName>
    <definedName name="CTRprint2">#REF!</definedName>
    <definedName name="datanew">[4]Data!$A$8:$CH$334</definedName>
    <definedName name="datar" localSheetId="6">#REF!</definedName>
    <definedName name="datar">#REF!</definedName>
    <definedName name="detruse" localSheetId="4">'Part 3 DA summary'!#REF!</definedName>
    <definedName name="detruse" localSheetId="6">#REF!</definedName>
    <definedName name="detruse">#REF!</definedName>
    <definedName name="dgsgf" localSheetId="6"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tlruse">#REF!</definedName>
    <definedName name="eh" localSheetId="6" hidden="1">{"'Trust by name'!$A$6:$E$350","'Trust by name'!$A$1:$D$348"}</definedName>
    <definedName name="eh" hidden="1">{"'Trust by name'!$A$6:$E$350","'Trust by name'!$A$1:$D$348"}</definedName>
    <definedName name="eh_1" hidden="1">{"'Trust by name'!$A$6:$E$350","'Trust by name'!$A$1:$D$348"}</definedName>
    <definedName name="FDDD" localSheetId="6"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hfgh" localSheetId="6"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HTML_CodePage" hidden="1">1252</definedName>
    <definedName name="HTML_Control" localSheetId="6" hidden="1">{"'Trust by name'!$A$6:$E$350","'Trust by name'!$A$1:$D$348"}</definedName>
    <definedName name="HTML_Control" hidden="1">{"'Trust by name'!$A$6:$E$350","'Trust by name'!$A$1:$D$348"}</definedName>
    <definedName name="HTML_Control_1"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port_AuditData">#REF!</definedName>
    <definedName name="Import_FormData">#REF!</definedName>
    <definedName name="Import_LA_Code">'Part 1'!$L$15</definedName>
    <definedName name="Import_LA_Name">'Part 1'!$L$14</definedName>
    <definedName name="Import_NotesData">#REF!</definedName>
    <definedName name="Import_ValidationData">#REF!</definedName>
    <definedName name="jhkgh" localSheetId="6"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LAcodes">#REF!</definedName>
    <definedName name="LAlist" localSheetId="6">#REF!</definedName>
    <definedName name="LAlist">#REF!</definedName>
    <definedName name="LAlist2" localSheetId="6">#REF!</definedName>
    <definedName name="LAlist2">#REF!</definedName>
    <definedName name="MHCLG_CONTROL">#REF!</definedName>
    <definedName name="n" localSheetId="6"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ame" localSheetId="6"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NDR1">#REF!</definedName>
    <definedName name="NNDR1S">#REF!</definedName>
    <definedName name="NOCONFLICT" localSheetId="6"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umberhered" localSheetId="6">#REF!</definedName>
    <definedName name="numberhered">#REF!</definedName>
    <definedName name="Option2" localSheetId="6"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Pal_Workbook_GUID" hidden="1">"N7IQZZD5YBE28RGZHB5UQVKH"</definedName>
    <definedName name="Part1">#REF!</definedName>
    <definedName name="Part2">#REF!</definedName>
    <definedName name="Part3">#REF!</definedName>
    <definedName name="Part4">#REF!</definedName>
    <definedName name="_xlnm.Print_Area" localSheetId="0">Metadata!$A$1:$D$75</definedName>
    <definedName name="_xlnm.Print_Area" localSheetId="1">'Part 1'!$B$1:$Y$183</definedName>
    <definedName name="_xlnm.Print_Area" localSheetId="2">'Part 2'!$A$1:$U$189</definedName>
    <definedName name="_xlnm.Print_Area" localSheetId="3">'Part 3'!$A$1:$R$63</definedName>
    <definedName name="_xlnm.Print_Area" localSheetId="4">'Part 3 DA summary'!$A$1:$AC$54</definedName>
    <definedName name="_xlnm.Print_Area" localSheetId="5">'Part 4'!$A$1:$O$68</definedName>
    <definedName name="_xlnm.Print_Area">'[3]Section A'!#REF!</definedName>
    <definedName name="_xlnm.Print_Titles" localSheetId="1">'Part 1'!$1:$6</definedName>
    <definedName name="_xlnm.Print_Titles" localSheetId="2">'Part 2'!$1:$16</definedName>
    <definedName name="_xlnm.Print_Titles" localSheetId="4">'Part 3 DA summary'!$1:$4</definedName>
    <definedName name="_xlnm.Print_Titles">#N/A</definedName>
    <definedName name="QRC4R1" localSheetId="4">'[5]BR1 Form'!#REF!</definedName>
    <definedName name="QRC4R1">'[2]BR1 Form'!#REF!</definedName>
    <definedName name="QRC4R10" localSheetId="4">'[5]BR1 Form'!#REF!</definedName>
    <definedName name="QRC4R10">'[2]BR1 Form'!#REF!</definedName>
    <definedName name="QRC4R12" localSheetId="4">'[5]BR1 Form'!#REF!</definedName>
    <definedName name="QRC4R12">'[2]BR1 Form'!#REF!</definedName>
    <definedName name="QRC4R13" localSheetId="4">'[5]BR1 Form'!#REF!</definedName>
    <definedName name="QRC4R13">'[2]BR1 Form'!#REF!</definedName>
    <definedName name="QRC4R14" localSheetId="4">'[5]BR1 Form'!#REF!</definedName>
    <definedName name="QRC4R14">'[2]BR1 Form'!#REF!</definedName>
    <definedName name="QRC4R15" localSheetId="4">'[5]BR1 Form'!#REF!</definedName>
    <definedName name="QRC4R15">'[2]BR1 Form'!#REF!</definedName>
    <definedName name="QRC4R17" localSheetId="4">'[5]BR1 Form'!#REF!</definedName>
    <definedName name="QRC4R17">'[2]BR1 Form'!#REF!</definedName>
    <definedName name="QRC4R18" localSheetId="4">'[5]BR1 Form'!#REF!</definedName>
    <definedName name="QRC4R18">'[2]BR1 Form'!#REF!</definedName>
    <definedName name="QRC4R19" localSheetId="4">'[5]BR1 Form'!#REF!</definedName>
    <definedName name="QRC4R19">'[2]BR1 Form'!#REF!</definedName>
    <definedName name="QRC4R20" localSheetId="4">'[5]BR1 Form'!#REF!</definedName>
    <definedName name="QRC4R20">'[2]BR1 Form'!#REF!</definedName>
    <definedName name="QRC4R21" localSheetId="4">'[5]BR1 Form'!#REF!</definedName>
    <definedName name="QRC4R21">'[2]BR1 Form'!#REF!</definedName>
    <definedName name="QRC4R22" localSheetId="4">'[5]BR1 Form'!#REF!</definedName>
    <definedName name="QRC4R22">'[2]BR1 Form'!#REF!</definedName>
    <definedName name="QRC4R23" localSheetId="4">'[5]BR1 Form'!#REF!</definedName>
    <definedName name="QRC4R23">'[2]BR1 Form'!#REF!</definedName>
    <definedName name="QRC4R24" localSheetId="4">'[5]BR1 Form'!#REF!</definedName>
    <definedName name="QRC4R24">'[2]BR1 Form'!#REF!</definedName>
    <definedName name="QRC4R3" localSheetId="4">'[5]BR1 Form'!#REF!</definedName>
    <definedName name="QRC4R3">'[2]BR1 Form'!#REF!</definedName>
    <definedName name="QRC4R5" localSheetId="4">'[5]BR1 Form'!#REF!</definedName>
    <definedName name="QRC4R5">'[2]BR1 Form'!#REF!</definedName>
    <definedName name="QRC4R8" localSheetId="4">'[5]BR1 Form'!#REF!</definedName>
    <definedName name="QRC4R8">'[2]BR1 Form'!#REF!</definedName>
    <definedName name="QRC4R9" localSheetId="4">'[5]BR1 Form'!#REF!</definedName>
    <definedName name="QRC4R9">'[2]BR1 Form'!#REF!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'[2]BR1 Form'!#REF!</definedName>
    <definedName name="sdf" localSheetId="6"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able" localSheetId="4">#REF!</definedName>
    <definedName name="Table" localSheetId="6">#REF!</definedName>
    <definedName name="Table">#REF!</definedName>
    <definedName name="table1">#REF!</definedName>
    <definedName name="Table2">#REF!</definedName>
    <definedName name="TABLE4">#REF!</definedName>
    <definedName name="TABLES">'[6]Billing Table'!$A$10:$S$416</definedName>
    <definedName name="tiersplit">#REF!</definedName>
    <definedName name="trggh" localSheetId="6"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Validation">#REF!</definedName>
    <definedName name="wrn.table1." localSheetId="6" hidden="1">{#N/A,#N/A,FALSE,"CGBR95C"}</definedName>
    <definedName name="wrn.table1." hidden="1">{#N/A,#N/A,FALSE,"CGBR95C"}</definedName>
    <definedName name="wrn.table1._1" hidden="1">{#N/A,#N/A,FALSE,"CGBR95C"}</definedName>
    <definedName name="wrn.table2." localSheetId="6" hidden="1">{#N/A,#N/A,FALSE,"CGBR95C"}</definedName>
    <definedName name="wrn.table2." hidden="1">{#N/A,#N/A,FALSE,"CGBR95C"}</definedName>
    <definedName name="wrn.table2._1" hidden="1">{#N/A,#N/A,FALSE,"CGBR95C"}</definedName>
    <definedName name="wrn.tablea." localSheetId="6" hidden="1">{#N/A,#N/A,FALSE,"CGBR95C"}</definedName>
    <definedName name="wrn.tablea." hidden="1">{#N/A,#N/A,FALSE,"CGBR95C"}</definedName>
    <definedName name="wrn.tablea._1" hidden="1">{#N/A,#N/A,FALSE,"CGBR95C"}</definedName>
    <definedName name="wrn.tableb." localSheetId="6" hidden="1">{#N/A,#N/A,FALSE,"CGBR95C"}</definedName>
    <definedName name="wrn.tableb." hidden="1">{#N/A,#N/A,FALSE,"CGBR95C"}</definedName>
    <definedName name="wrn.tableb._1" hidden="1">{#N/A,#N/A,FALSE,"CGBR95C"}</definedName>
    <definedName name="wrn.tableq." localSheetId="6" hidden="1">{#N/A,#N/A,FALSE,"CGBR95C"}</definedName>
    <definedName name="wrn.tableq." hidden="1">{#N/A,#N/A,FALSE,"CGBR95C"}</definedName>
    <definedName name="wrn.tableq._1" hidden="1">{#N/A,#N/A,FALSE,"CGBR95C"}</definedName>
    <definedName name="wrn.TMCOMP." localSheetId="6"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Z_2F8E6036_5947_4F5E_945D_9873F436F281_.wvu.PrintArea" localSheetId="0" hidden="1">Metadata!$A$1:$D$76</definedName>
    <definedName name="Z_B5645A3C_E444_45D4_B9DE_32E69EE26ECE_.wvu.PrintArea" localSheetId="0" hidden="1">Metadata!$A$1:$D$76</definedName>
    <definedName name="Z_D2D98166_124C_48C3_869D_DCCD58CD63A0_.wvu.PrintArea" localSheetId="0" hidden="1">Metadata!$A$1:$D$76</definedName>
    <definedName name="Z_F1E7C9C0_14EA_4AAE_8057_0C463392B390_.wvu.PrintArea" localSheetId="0" hidden="1">Metadata!$A$1:$D$76</definedName>
    <definedName name="zzz" localSheetId="6">#REF!</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317" i="104" l="1"/>
  <c r="AO317" i="104"/>
  <c r="AP317" i="104"/>
  <c r="AQ317" i="104"/>
  <c r="AR317" i="104"/>
  <c r="AS317" i="104"/>
  <c r="AT317" i="104"/>
  <c r="AU317" i="104"/>
  <c r="AV317" i="104"/>
  <c r="AM317" i="104"/>
  <c r="AD317" i="104"/>
  <c r="AE317" i="104"/>
  <c r="AF317" i="104"/>
  <c r="AG317" i="104"/>
  <c r="AC317" i="104"/>
  <c r="T317" i="104"/>
  <c r="U317" i="104"/>
  <c r="V317" i="104"/>
  <c r="W317" i="104"/>
  <c r="S317" i="104"/>
  <c r="G317" i="104"/>
  <c r="H317" i="104"/>
  <c r="I317" i="104"/>
  <c r="J317" i="104"/>
  <c r="K317" i="104"/>
  <c r="L317" i="104"/>
  <c r="M317" i="104"/>
  <c r="F317" i="104"/>
  <c r="G317" i="103"/>
  <c r="H317" i="103"/>
  <c r="I317" i="103"/>
  <c r="J317" i="103"/>
  <c r="K317" i="103"/>
  <c r="L317" i="103"/>
  <c r="M317" i="103"/>
  <c r="N317" i="103"/>
  <c r="O317" i="103"/>
  <c r="P317" i="103"/>
  <c r="Q317" i="103"/>
  <c r="R317" i="103"/>
  <c r="S317" i="103"/>
  <c r="T317" i="103"/>
  <c r="U317" i="103"/>
  <c r="V317" i="103"/>
  <c r="W317" i="103"/>
  <c r="X317" i="103"/>
  <c r="Y317" i="103"/>
  <c r="Z317" i="103"/>
  <c r="F317" i="103"/>
  <c r="G317" i="100"/>
  <c r="H317" i="100"/>
  <c r="I317" i="100"/>
  <c r="J317" i="100"/>
  <c r="K317" i="100"/>
  <c r="L317" i="100"/>
  <c r="M317" i="100"/>
  <c r="N317" i="100"/>
  <c r="O317" i="100"/>
  <c r="P317" i="100"/>
  <c r="Q317" i="100"/>
  <c r="R317" i="100"/>
  <c r="S317" i="100"/>
  <c r="T317" i="100"/>
  <c r="U317" i="100"/>
  <c r="V317" i="100"/>
  <c r="W317" i="100"/>
  <c r="X317" i="100"/>
  <c r="Y317" i="100"/>
  <c r="Z317" i="100"/>
  <c r="AA317" i="100"/>
  <c r="AB317" i="100"/>
  <c r="AC317" i="100"/>
  <c r="AD317" i="100"/>
  <c r="AE317" i="100"/>
  <c r="AF317" i="100"/>
  <c r="AG317" i="100"/>
  <c r="AH317" i="100"/>
  <c r="AI317" i="100"/>
  <c r="AJ317" i="100"/>
  <c r="AK317" i="100"/>
  <c r="AL317" i="100"/>
  <c r="F317" i="100"/>
  <c r="I317" i="99"/>
  <c r="J317" i="99"/>
  <c r="K317" i="99"/>
  <c r="L317" i="99"/>
  <c r="M317" i="99"/>
  <c r="N317" i="99"/>
  <c r="O317" i="99"/>
  <c r="P317" i="99"/>
  <c r="Q317" i="99"/>
  <c r="R317" i="99"/>
  <c r="S317" i="99"/>
  <c r="T317" i="99"/>
  <c r="U317" i="99"/>
  <c r="V317" i="99"/>
  <c r="W317" i="99"/>
  <c r="X317" i="99"/>
  <c r="Y317" i="99"/>
  <c r="Z317" i="99"/>
  <c r="AA317" i="99"/>
  <c r="AB317" i="99"/>
  <c r="AC317" i="99"/>
  <c r="AD317" i="99"/>
  <c r="AE317" i="99"/>
  <c r="AF317" i="99"/>
  <c r="AG317" i="99"/>
  <c r="AH317" i="99"/>
  <c r="AI317" i="99"/>
  <c r="AJ317" i="99"/>
  <c r="AK317" i="99"/>
  <c r="AL317" i="99"/>
  <c r="AM317" i="99"/>
  <c r="AN317" i="99"/>
  <c r="AO317" i="99"/>
  <c r="AP317" i="99"/>
  <c r="AQ317" i="99"/>
  <c r="AR317" i="99"/>
  <c r="AS317" i="99"/>
  <c r="AT317" i="99"/>
  <c r="AU317" i="99"/>
  <c r="AV317" i="99"/>
  <c r="AW317" i="99"/>
  <c r="AX317" i="99"/>
  <c r="AY317" i="99"/>
  <c r="AZ317" i="99"/>
  <c r="BA317" i="99"/>
  <c r="BB317" i="99"/>
  <c r="BC317" i="99"/>
  <c r="BD317" i="99"/>
  <c r="BE317" i="99"/>
  <c r="BF317" i="99"/>
  <c r="BG317" i="99"/>
  <c r="BH317" i="99"/>
  <c r="BI317" i="99"/>
  <c r="BJ317" i="99"/>
  <c r="BK317" i="99"/>
  <c r="BL317" i="99"/>
  <c r="BM317" i="99"/>
  <c r="BN317" i="99"/>
  <c r="BO317" i="99"/>
  <c r="BP317" i="99"/>
  <c r="BQ317" i="99"/>
  <c r="BR317" i="99"/>
  <c r="BS317" i="99"/>
  <c r="BT317" i="99"/>
  <c r="BU317" i="99"/>
  <c r="BV317" i="99"/>
  <c r="BW317" i="99"/>
  <c r="BX317" i="99"/>
  <c r="BY317" i="99"/>
  <c r="BZ317" i="99"/>
  <c r="CA317" i="99"/>
  <c r="CB317" i="99"/>
  <c r="CC317" i="99"/>
  <c r="CD317" i="99"/>
  <c r="CE317" i="99"/>
  <c r="CF317" i="99"/>
  <c r="CG317" i="99"/>
  <c r="CH317" i="99"/>
  <c r="CI317" i="99"/>
  <c r="CJ317" i="99"/>
  <c r="CK317" i="99"/>
  <c r="CL317" i="99"/>
  <c r="CM317" i="99"/>
  <c r="CN317" i="99"/>
  <c r="CO317" i="99"/>
  <c r="CP317" i="99"/>
  <c r="CQ317" i="99"/>
  <c r="CR317" i="99"/>
  <c r="CS317" i="99"/>
  <c r="CT317" i="99"/>
  <c r="CU317" i="99"/>
  <c r="CV317" i="99"/>
  <c r="CW317" i="99"/>
  <c r="CX317" i="99"/>
  <c r="CY317" i="99"/>
  <c r="CZ317" i="99"/>
  <c r="DA317" i="99"/>
  <c r="DB317" i="99"/>
  <c r="DC317" i="99"/>
  <c r="DD317" i="99"/>
  <c r="DE317" i="99"/>
  <c r="DF317" i="99"/>
  <c r="DG317" i="99"/>
  <c r="DH317" i="99"/>
  <c r="DI317" i="99"/>
  <c r="DJ317" i="99"/>
  <c r="DK317" i="99"/>
  <c r="DL317" i="99"/>
  <c r="DM317" i="99"/>
  <c r="DN317" i="99"/>
  <c r="DO317" i="99"/>
  <c r="DP317" i="99"/>
  <c r="DQ317" i="99"/>
  <c r="DR317" i="99"/>
  <c r="DS317" i="99"/>
  <c r="H317" i="99"/>
  <c r="G317" i="99"/>
  <c r="Y317" i="98"/>
  <c r="Z317" i="98"/>
  <c r="AA317" i="98"/>
  <c r="AB317" i="98"/>
  <c r="AC317" i="98"/>
  <c r="AD317" i="98"/>
  <c r="AE317" i="98"/>
  <c r="AF317" i="98"/>
  <c r="AG317" i="98"/>
  <c r="AH317" i="98"/>
  <c r="AI317" i="98"/>
  <c r="AJ317" i="98"/>
  <c r="AK317" i="98"/>
  <c r="AL317" i="98"/>
  <c r="AM317" i="98"/>
  <c r="AN317" i="98"/>
  <c r="AO317" i="98"/>
  <c r="AP317" i="98"/>
  <c r="AQ317" i="98"/>
  <c r="AR317" i="98"/>
  <c r="AS317" i="98"/>
  <c r="AT317" i="98"/>
  <c r="AU317" i="98"/>
  <c r="AV317" i="98"/>
  <c r="AW317" i="98"/>
  <c r="AX317" i="98"/>
  <c r="AY317" i="98"/>
  <c r="AZ317" i="98"/>
  <c r="BA317" i="98"/>
  <c r="BB317" i="98"/>
  <c r="BC317" i="98"/>
  <c r="BD317" i="98"/>
  <c r="BE317" i="98"/>
  <c r="BF317" i="98"/>
  <c r="BG317" i="98"/>
  <c r="BH317" i="98"/>
  <c r="BI317" i="98"/>
  <c r="BJ317" i="98"/>
  <c r="BK317" i="98"/>
  <c r="BL317" i="98"/>
  <c r="BM317" i="98"/>
  <c r="BN317" i="98"/>
  <c r="BO317" i="98"/>
  <c r="BP317" i="98"/>
  <c r="BQ317" i="98"/>
  <c r="BR317" i="98"/>
  <c r="BS317" i="98"/>
  <c r="BT317" i="98"/>
  <c r="BU317" i="98"/>
  <c r="BV317" i="98"/>
  <c r="BW317" i="98"/>
  <c r="BX317" i="98"/>
  <c r="BY317" i="98"/>
  <c r="BZ317" i="98"/>
  <c r="CA317" i="98"/>
  <c r="CB317" i="98"/>
  <c r="CC317" i="98"/>
  <c r="CD317" i="98"/>
  <c r="CE317" i="98"/>
  <c r="CF317" i="98"/>
  <c r="CG317" i="98"/>
  <c r="CH317" i="98"/>
  <c r="CI317" i="98"/>
  <c r="CJ317" i="98"/>
  <c r="CK317" i="98"/>
  <c r="CL317" i="98"/>
  <c r="CM317" i="98"/>
  <c r="CN317" i="98"/>
  <c r="CO317" i="98"/>
  <c r="CP317" i="98"/>
  <c r="CQ317" i="98"/>
  <c r="CR317" i="98"/>
  <c r="CS317" i="98"/>
  <c r="CT317" i="98"/>
  <c r="CU317" i="98"/>
  <c r="CV317" i="98"/>
  <c r="CW317" i="98"/>
  <c r="CX317" i="98"/>
  <c r="CY317" i="98"/>
  <c r="CZ317" i="98"/>
  <c r="X317" i="98"/>
  <c r="G317" i="98"/>
  <c r="H317" i="98"/>
  <c r="I317" i="98"/>
  <c r="J317" i="98"/>
  <c r="K317" i="98"/>
  <c r="L317" i="98"/>
  <c r="M317" i="98"/>
  <c r="N317" i="98"/>
  <c r="O317" i="98"/>
  <c r="P317" i="98"/>
  <c r="Q317" i="98"/>
  <c r="R317" i="98"/>
  <c r="F317" i="98"/>
  <c r="L13" i="1" a="1"/>
  <c r="L13" i="1" s="1"/>
  <c r="F19" i="6" a="1"/>
  <c r="F19" i="6" s="1"/>
  <c r="I18" i="93" l="1" a="1"/>
  <c r="I18" i="93" s="1"/>
  <c r="I20" i="93" a="1"/>
  <c r="I20" i="93" s="1"/>
  <c r="F43" i="93" a="1"/>
  <c r="F43" i="93" s="1"/>
  <c r="O39" i="93" a="1"/>
  <c r="O39" i="93" s="1"/>
  <c r="R39" i="93" a="1"/>
  <c r="R39" i="93" s="1"/>
  <c r="F47" i="93" a="1"/>
  <c r="F47" i="93" s="1"/>
  <c r="R47" i="93" a="1"/>
  <c r="R47" i="93" s="1"/>
  <c r="O43" i="93" a="1"/>
  <c r="O43" i="93" s="1"/>
  <c r="O49" i="93" a="1"/>
  <c r="O49" i="93" s="1"/>
  <c r="I39" i="93" a="1"/>
  <c r="I39" i="93" s="1"/>
  <c r="F49" i="93" a="1"/>
  <c r="F49" i="93" s="1"/>
  <c r="R49" i="93" a="1"/>
  <c r="R49" i="93" s="1"/>
  <c r="R30" i="93" a="1"/>
  <c r="R30" i="93" s="1"/>
  <c r="L47" i="93" a="1"/>
  <c r="L47" i="93" s="1"/>
  <c r="L14" i="93" a="1"/>
  <c r="L14" i="93" s="1"/>
  <c r="I43" i="93" a="1"/>
  <c r="I43" i="93" s="1"/>
  <c r="L24" i="93" a="1"/>
  <c r="L24" i="93" s="1"/>
  <c r="F39" i="93" a="1"/>
  <c r="F39" i="93" s="1"/>
  <c r="R43" i="93" a="1"/>
  <c r="R43" i="93" s="1"/>
  <c r="I47" i="93" a="1"/>
  <c r="I47" i="93" s="1"/>
  <c r="L49" i="93" a="1"/>
  <c r="L49" i="93" s="1"/>
  <c r="O47" i="93" a="1"/>
  <c r="O47" i="93" s="1"/>
  <c r="L26" i="93" a="1"/>
  <c r="L26" i="93" s="1"/>
  <c r="L43" i="93" a="1"/>
  <c r="L43" i="93" s="1"/>
  <c r="L16" i="93" a="1"/>
  <c r="L16" i="93" s="1"/>
  <c r="Q91" i="1"/>
  <c r="L22" i="93" a="1"/>
  <c r="L22" i="93" s="1"/>
  <c r="L39" i="93" a="1"/>
  <c r="L39" i="93" s="1"/>
  <c r="I49" i="93" a="1"/>
  <c r="I49" i="93" s="1"/>
  <c r="O45" i="93" a="1"/>
  <c r="O45" i="93" s="1"/>
  <c r="R45" i="93" a="1"/>
  <c r="R45" i="93" s="1"/>
  <c r="L45" i="93" a="1"/>
  <c r="L45" i="93" s="1"/>
  <c r="I45" i="93" a="1"/>
  <c r="I45" i="93" s="1"/>
  <c r="F45" i="93" a="1"/>
  <c r="F45" i="93" s="1"/>
  <c r="R41" i="93" a="1"/>
  <c r="R41" i="93" s="1"/>
  <c r="O41" i="93" a="1"/>
  <c r="O41" i="93" s="1"/>
  <c r="L41" i="93" a="1"/>
  <c r="L41" i="93" s="1"/>
  <c r="I41" i="93" a="1"/>
  <c r="I41" i="93" s="1"/>
  <c r="F41" i="93" a="1"/>
  <c r="F41" i="93" s="1"/>
  <c r="R37" i="93" a="1"/>
  <c r="R37" i="93" s="1"/>
  <c r="O37" i="93" a="1"/>
  <c r="O37" i="93" s="1"/>
  <c r="L37" i="93" a="1"/>
  <c r="L37" i="93" s="1"/>
  <c r="I37" i="93" a="1"/>
  <c r="I37" i="93" s="1"/>
  <c r="F37" i="93" a="1"/>
  <c r="F37" i="93" s="1"/>
  <c r="L63" i="23" l="1" a="1"/>
  <c r="L63" i="23" s="1"/>
  <c r="L58" i="23" a="1"/>
  <c r="L58" i="23" s="1"/>
  <c r="L56" i="23" a="1"/>
  <c r="L56" i="23" s="1"/>
  <c r="I54" i="23" a="1"/>
  <c r="I54" i="23" s="1"/>
  <c r="I52" i="23" a="1"/>
  <c r="I52" i="23" s="1"/>
  <c r="I49" i="23" a="1"/>
  <c r="I49" i="23" s="1"/>
  <c r="I46" i="23" a="1"/>
  <c r="I46" i="23" s="1"/>
  <c r="I43" i="23" a="1"/>
  <c r="I43" i="23" s="1"/>
  <c r="I40" i="23" a="1"/>
  <c r="I40" i="23" s="1"/>
  <c r="I38" i="23" a="1"/>
  <c r="I38" i="23" s="1"/>
  <c r="L35" i="23" a="1"/>
  <c r="L35" i="23" s="1"/>
  <c r="I33" i="23" a="1"/>
  <c r="I33" i="23" s="1"/>
  <c r="I31" i="23" a="1"/>
  <c r="I31" i="23" s="1"/>
  <c r="I29" i="23" a="1"/>
  <c r="I29" i="23" s="1"/>
  <c r="L26" i="23" a="1"/>
  <c r="L26" i="23" s="1"/>
  <c r="I24" i="23" a="1"/>
  <c r="I24" i="23" s="1"/>
  <c r="I22" i="23" a="1"/>
  <c r="I22" i="23" s="1"/>
  <c r="I20" i="23" a="1"/>
  <c r="I20" i="23" s="1"/>
  <c r="I18" i="23" a="1"/>
  <c r="I18" i="23" s="1"/>
  <c r="I16" i="23" a="1"/>
  <c r="I16" i="23" s="1"/>
  <c r="L13" i="23" a="1"/>
  <c r="L13" i="23" s="1"/>
  <c r="O61" i="41" l="1" a="1"/>
  <c r="O61" i="41" s="1"/>
  <c r="K61" i="41" a="1"/>
  <c r="K61" i="41" s="1"/>
  <c r="G61" i="41" a="1"/>
  <c r="G61" i="41" s="1"/>
  <c r="O57" i="41" a="1"/>
  <c r="O57" i="41" s="1"/>
  <c r="G57" i="41" a="1"/>
  <c r="G57" i="41" s="1"/>
  <c r="O54" i="41" a="1"/>
  <c r="O54" i="41" s="1"/>
  <c r="K54" i="41" a="1"/>
  <c r="K54" i="41" s="1"/>
  <c r="G54" i="41" a="1"/>
  <c r="G54" i="41" s="1"/>
  <c r="O49" i="41" a="1"/>
  <c r="O49" i="41" s="1"/>
  <c r="K49" i="41" a="1"/>
  <c r="K49" i="41" s="1"/>
  <c r="G49" i="41" a="1"/>
  <c r="G49" i="41" s="1"/>
  <c r="O44" i="41" a="1"/>
  <c r="O44" i="41" s="1"/>
  <c r="K44" i="41" a="1"/>
  <c r="K44" i="41" s="1"/>
  <c r="K40" i="41" a="1"/>
  <c r="K40" i="41" s="1"/>
  <c r="K38" i="41" a="1"/>
  <c r="K38" i="41" s="1"/>
  <c r="O36" i="41" a="1"/>
  <c r="O36" i="41" s="1"/>
  <c r="K36" i="41" a="1"/>
  <c r="K36" i="41" s="1"/>
  <c r="G36" i="41" a="1"/>
  <c r="G36" i="41" s="1"/>
  <c r="O34" i="41" a="1"/>
  <c r="O34" i="41" s="1"/>
  <c r="K34" i="41" a="1"/>
  <c r="K34" i="41" s="1"/>
  <c r="G34" i="41" a="1"/>
  <c r="G34" i="41" s="1"/>
  <c r="O29" i="41" a="1"/>
  <c r="O29" i="41" s="1"/>
  <c r="K29" i="41" a="1"/>
  <c r="K29" i="41" s="1"/>
  <c r="G29" i="41" a="1"/>
  <c r="G29" i="41" s="1"/>
  <c r="O24" i="41" a="1"/>
  <c r="O24" i="41" s="1"/>
  <c r="K24" i="41" a="1"/>
  <c r="K24" i="41" s="1"/>
  <c r="G24" i="41" a="1"/>
  <c r="G24" i="41" s="1"/>
  <c r="O21" i="41" a="1"/>
  <c r="O21" i="41" s="1"/>
  <c r="K21" i="41" a="1"/>
  <c r="K21" i="41" s="1"/>
  <c r="G21" i="41" a="1"/>
  <c r="G21" i="41" s="1"/>
  <c r="O16" i="41" a="1"/>
  <c r="O16" i="41" s="1"/>
  <c r="K16" i="41" a="1"/>
  <c r="K16" i="41" s="1"/>
  <c r="G16" i="41" a="1"/>
  <c r="G16" i="41" s="1"/>
  <c r="R182" i="6" l="1" a="1"/>
  <c r="R182" i="6" s="1"/>
  <c r="N182" i="6" a="1"/>
  <c r="N182" i="6" s="1"/>
  <c r="J182" i="6" a="1"/>
  <c r="J182" i="6" s="1"/>
  <c r="R174" i="6" a="1"/>
  <c r="R174" i="6" s="1"/>
  <c r="N174" i="6" a="1"/>
  <c r="N174" i="6" s="1"/>
  <c r="J174" i="6" a="1"/>
  <c r="J174" i="6" s="1"/>
  <c r="N170" i="6" a="1"/>
  <c r="N170" i="6" s="1"/>
  <c r="J170" i="6" a="1"/>
  <c r="J170" i="6" s="1"/>
  <c r="N166" i="6" a="1"/>
  <c r="N166" i="6" s="1"/>
  <c r="J166" i="6" a="1"/>
  <c r="J166" i="6" s="1"/>
  <c r="R163" i="6" a="1"/>
  <c r="R163" i="6" s="1"/>
  <c r="N163" i="6" a="1"/>
  <c r="N163" i="6" s="1"/>
  <c r="J163" i="6" a="1"/>
  <c r="J163" i="6" s="1"/>
  <c r="R160" i="6" a="1"/>
  <c r="R160" i="6" s="1"/>
  <c r="N160" i="6" a="1"/>
  <c r="N160" i="6" s="1"/>
  <c r="J160" i="6" a="1"/>
  <c r="J160" i="6" s="1"/>
  <c r="R157" i="6" a="1"/>
  <c r="R157" i="6" s="1"/>
  <c r="N157" i="6" a="1"/>
  <c r="N157" i="6" s="1"/>
  <c r="J157" i="6" a="1"/>
  <c r="J157" i="6" s="1"/>
  <c r="R149" i="6" a="1"/>
  <c r="R149" i="6" s="1"/>
  <c r="N149" i="6" a="1"/>
  <c r="N149" i="6" s="1"/>
  <c r="J149" i="6" a="1"/>
  <c r="J149" i="6" s="1"/>
  <c r="N145" i="6" a="1"/>
  <c r="N145" i="6" s="1"/>
  <c r="J145" i="6" a="1"/>
  <c r="J145" i="6" s="1"/>
  <c r="N142" i="6" a="1"/>
  <c r="N142" i="6" s="1"/>
  <c r="J142" i="6" a="1"/>
  <c r="J142" i="6" s="1"/>
  <c r="J136" i="6" a="1"/>
  <c r="J136" i="6" s="1"/>
  <c r="N135" i="6" a="1"/>
  <c r="N135" i="6" s="1"/>
  <c r="R132" i="6" a="1"/>
  <c r="R132" i="6" s="1"/>
  <c r="N132" i="6" a="1"/>
  <c r="N132" i="6" s="1"/>
  <c r="J132" i="6" a="1"/>
  <c r="J132" i="6" s="1"/>
  <c r="R129" i="6" a="1"/>
  <c r="R129" i="6" s="1"/>
  <c r="N129" i="6" a="1"/>
  <c r="N129" i="6" s="1"/>
  <c r="J129" i="6" a="1"/>
  <c r="J129" i="6" s="1"/>
  <c r="R126" i="6" a="1"/>
  <c r="R126" i="6" s="1"/>
  <c r="N126" i="6" a="1"/>
  <c r="N126" i="6" s="1"/>
  <c r="J126" i="6" a="1"/>
  <c r="J126" i="6" s="1"/>
  <c r="R123" i="6" a="1"/>
  <c r="R123" i="6" s="1"/>
  <c r="N123" i="6" a="1"/>
  <c r="N123" i="6" s="1"/>
  <c r="J123" i="6" a="1"/>
  <c r="J123" i="6" s="1"/>
  <c r="R120" i="6" a="1"/>
  <c r="R120" i="6" s="1"/>
  <c r="N120" i="6" a="1"/>
  <c r="N120" i="6" s="1"/>
  <c r="J120" i="6" a="1"/>
  <c r="J120" i="6" s="1"/>
  <c r="R117" i="6" a="1"/>
  <c r="R117" i="6" s="1"/>
  <c r="N117" i="6" a="1"/>
  <c r="N117" i="6" s="1"/>
  <c r="J117" i="6" a="1"/>
  <c r="J117" i="6" s="1"/>
  <c r="R111" i="6" a="1"/>
  <c r="R111" i="6" s="1"/>
  <c r="N111" i="6" a="1"/>
  <c r="N111" i="6" s="1"/>
  <c r="J111" i="6" a="1"/>
  <c r="J111" i="6" s="1"/>
  <c r="N107" i="6" a="1"/>
  <c r="N107" i="6" s="1"/>
  <c r="J107" i="6" a="1"/>
  <c r="J107" i="6" s="1"/>
  <c r="N104" i="6" a="1"/>
  <c r="N104" i="6" s="1"/>
  <c r="J104" i="6" a="1"/>
  <c r="J104" i="6" s="1"/>
  <c r="R100" i="6" a="1"/>
  <c r="R100" i="6" s="1"/>
  <c r="N100" i="6" a="1"/>
  <c r="N100" i="6" s="1"/>
  <c r="J100" i="6" a="1"/>
  <c r="J100" i="6" s="1"/>
  <c r="R97" i="6" a="1"/>
  <c r="R97" i="6" s="1"/>
  <c r="N97" i="6" a="1"/>
  <c r="N97" i="6" s="1"/>
  <c r="J97" i="6" a="1"/>
  <c r="J97" i="6" s="1"/>
  <c r="R89" i="6" a="1"/>
  <c r="R89" i="6" s="1"/>
  <c r="N89" i="6" a="1"/>
  <c r="N89" i="6" s="1"/>
  <c r="J89" i="6" a="1"/>
  <c r="J89" i="6" s="1"/>
  <c r="N85" i="6" a="1"/>
  <c r="N85" i="6" s="1"/>
  <c r="J85" i="6" a="1"/>
  <c r="J85" i="6" s="1"/>
  <c r="N82" i="6" a="1"/>
  <c r="N82" i="6" s="1"/>
  <c r="J82" i="6" a="1"/>
  <c r="J82" i="6" s="1"/>
  <c r="R77" i="6" a="1"/>
  <c r="R77" i="6" s="1"/>
  <c r="N77" i="6" a="1"/>
  <c r="N77" i="6" s="1"/>
  <c r="J77" i="6" a="1"/>
  <c r="J77" i="6" s="1"/>
  <c r="R74" i="6" a="1"/>
  <c r="R74" i="6" s="1"/>
  <c r="N74" i="6" a="1"/>
  <c r="N74" i="6" s="1"/>
  <c r="J74" i="6" a="1"/>
  <c r="J74" i="6" s="1"/>
  <c r="R71" i="6" a="1"/>
  <c r="R71" i="6" s="1"/>
  <c r="N71" i="6" a="1"/>
  <c r="N71" i="6" s="1"/>
  <c r="J71" i="6" a="1"/>
  <c r="J71" i="6" s="1"/>
  <c r="R68" i="6" a="1"/>
  <c r="R68" i="6" s="1"/>
  <c r="N68" i="6" a="1"/>
  <c r="N68" i="6" s="1"/>
  <c r="J68" i="6" a="1"/>
  <c r="J68" i="6" s="1"/>
  <c r="R65" i="6" a="1"/>
  <c r="R65" i="6" s="1"/>
  <c r="N65" i="6" a="1"/>
  <c r="N65" i="6" s="1"/>
  <c r="J65" i="6" a="1"/>
  <c r="J65" i="6" s="1"/>
  <c r="R62" i="6" a="1"/>
  <c r="R62" i="6" s="1"/>
  <c r="N62" i="6" a="1"/>
  <c r="N62" i="6" s="1"/>
  <c r="J62" i="6" a="1"/>
  <c r="J62" i="6" s="1"/>
  <c r="R59" i="6" a="1"/>
  <c r="R59" i="6" s="1"/>
  <c r="N59" i="6" a="1"/>
  <c r="N59" i="6" s="1"/>
  <c r="J59" i="6" a="1"/>
  <c r="J59" i="6" s="1"/>
  <c r="R57" i="6" a="1"/>
  <c r="R57" i="6" s="1"/>
  <c r="N57" i="6" a="1"/>
  <c r="N57" i="6" s="1"/>
  <c r="J57" i="6" a="1"/>
  <c r="J57" i="6" s="1"/>
  <c r="R51" i="6" a="1"/>
  <c r="R51" i="6" s="1"/>
  <c r="N51" i="6" a="1"/>
  <c r="N51" i="6" s="1"/>
  <c r="J51" i="6" a="1"/>
  <c r="J51" i="6" s="1"/>
  <c r="R46" i="6" a="1"/>
  <c r="R46" i="6" s="1"/>
  <c r="N46" i="6" a="1"/>
  <c r="N46" i="6" s="1"/>
  <c r="J46" i="6" a="1"/>
  <c r="J46" i="6" s="1"/>
  <c r="N42" i="6" a="1"/>
  <c r="N42" i="6" s="1"/>
  <c r="J42" i="6" a="1"/>
  <c r="J42" i="6" s="1"/>
  <c r="N40" i="6" a="1"/>
  <c r="N40" i="6" s="1"/>
  <c r="J40" i="6" a="1"/>
  <c r="J40" i="6" s="1"/>
  <c r="R36" i="6" a="1"/>
  <c r="R36" i="6" s="1"/>
  <c r="N36" i="6" a="1"/>
  <c r="N36" i="6" s="1"/>
  <c r="J36" i="6" a="1"/>
  <c r="J36" i="6" s="1"/>
  <c r="R33" i="6" a="1"/>
  <c r="R33" i="6" s="1"/>
  <c r="N33" i="6" a="1"/>
  <c r="N33" i="6" s="1"/>
  <c r="J33" i="6" a="1"/>
  <c r="J33" i="6" s="1"/>
  <c r="R29" i="6" a="1"/>
  <c r="R29" i="6" s="1"/>
  <c r="N29" i="6" a="1"/>
  <c r="N29" i="6" s="1"/>
  <c r="J29" i="6" a="1"/>
  <c r="J29" i="6" s="1"/>
  <c r="N26" i="6" a="1"/>
  <c r="N26" i="6" s="1"/>
  <c r="J26" i="6" a="1"/>
  <c r="J26" i="6" s="1"/>
  <c r="N24" i="6" a="1"/>
  <c r="N24" i="6" s="1"/>
  <c r="J24" i="6" a="1"/>
  <c r="J24" i="6" s="1"/>
  <c r="G21" i="6" a="1"/>
  <c r="G21" i="6" s="1"/>
  <c r="R19" i="6" a="1"/>
  <c r="R19" i="6" s="1"/>
  <c r="N19" i="6" a="1"/>
  <c r="N19" i="6" s="1"/>
  <c r="J19" i="6" a="1"/>
  <c r="J19" i="6" s="1"/>
  <c r="Q73" i="1" a="1"/>
  <c r="Q73" i="1" s="1"/>
  <c r="T73" i="1" a="1"/>
  <c r="T73" i="1" s="1"/>
  <c r="N73" i="1" a="1"/>
  <c r="N73" i="1" s="1"/>
  <c r="W178" i="1" a="1"/>
  <c r="W178" i="1" s="1"/>
  <c r="T178" i="1" a="1"/>
  <c r="T178" i="1" s="1"/>
  <c r="Q178" i="1" a="1"/>
  <c r="Q178" i="1" s="1"/>
  <c r="N178" i="1" a="1"/>
  <c r="N178" i="1" s="1"/>
  <c r="W174" i="1" a="1"/>
  <c r="W174" i="1" s="1"/>
  <c r="T174" i="1" a="1"/>
  <c r="T174" i="1" s="1"/>
  <c r="Q174" i="1" a="1"/>
  <c r="Q174" i="1" s="1"/>
  <c r="N174" i="1" a="1"/>
  <c r="N174" i="1" s="1"/>
  <c r="W171" i="1" a="1"/>
  <c r="W171" i="1" s="1"/>
  <c r="T171" i="1" a="1"/>
  <c r="T171" i="1" s="1"/>
  <c r="Q171" i="1" a="1"/>
  <c r="Q171" i="1" s="1"/>
  <c r="N171" i="1" a="1"/>
  <c r="N171" i="1" s="1"/>
  <c r="W168" i="1" a="1"/>
  <c r="W168" i="1" s="1"/>
  <c r="T168" i="1" a="1"/>
  <c r="T168" i="1" s="1"/>
  <c r="Q168" i="1" a="1"/>
  <c r="Q168" i="1" s="1"/>
  <c r="N168" i="1" a="1"/>
  <c r="N168" i="1" s="1"/>
  <c r="W165" i="1" a="1"/>
  <c r="W165" i="1" s="1"/>
  <c r="T165" i="1" a="1"/>
  <c r="T165" i="1" s="1"/>
  <c r="Q165" i="1" a="1"/>
  <c r="Q165" i="1" s="1"/>
  <c r="N165" i="1" a="1"/>
  <c r="N165" i="1" s="1"/>
  <c r="W162" i="1" a="1"/>
  <c r="W162" i="1" s="1"/>
  <c r="T162" i="1" a="1"/>
  <c r="T162" i="1" s="1"/>
  <c r="Q162" i="1" a="1"/>
  <c r="Q162" i="1" s="1"/>
  <c r="N162" i="1" a="1"/>
  <c r="N162" i="1" s="1"/>
  <c r="W159" i="1" a="1"/>
  <c r="W159" i="1" s="1"/>
  <c r="T159" i="1" a="1"/>
  <c r="T159" i="1" s="1"/>
  <c r="Q159" i="1" a="1"/>
  <c r="Q159" i="1" s="1"/>
  <c r="N159" i="1" a="1"/>
  <c r="N159" i="1" s="1"/>
  <c r="W157" i="1" a="1"/>
  <c r="W157" i="1" s="1"/>
  <c r="T157" i="1" a="1"/>
  <c r="T157" i="1" s="1"/>
  <c r="Q157" i="1" a="1"/>
  <c r="Q157" i="1" s="1"/>
  <c r="N157" i="1" a="1"/>
  <c r="N157" i="1" s="1"/>
  <c r="W155" i="1" a="1"/>
  <c r="W155" i="1" s="1"/>
  <c r="T155" i="1" a="1"/>
  <c r="T155" i="1" s="1"/>
  <c r="Q155" i="1" a="1"/>
  <c r="Q155" i="1" s="1"/>
  <c r="N155" i="1" a="1"/>
  <c r="N155" i="1" s="1"/>
  <c r="W151" i="1" a="1"/>
  <c r="W151" i="1" s="1"/>
  <c r="T151" i="1" a="1"/>
  <c r="T151" i="1" s="1"/>
  <c r="Q151" i="1" a="1"/>
  <c r="Q151" i="1" s="1"/>
  <c r="N151" i="1" a="1"/>
  <c r="N151" i="1" s="1"/>
  <c r="W110" i="1" a="1"/>
  <c r="W110" i="1" s="1"/>
  <c r="T110" i="1" l="1" a="1"/>
  <c r="T110" i="1" s="1"/>
  <c r="Q110" i="1" a="1"/>
  <c r="Q110" i="1" s="1"/>
  <c r="N110" i="1" a="1"/>
  <c r="N110" i="1" s="1"/>
  <c r="K110" i="1" a="1"/>
  <c r="K110" i="1" s="1"/>
  <c r="W105" i="1" a="1"/>
  <c r="W105" i="1" s="1"/>
  <c r="T105" i="1" a="1"/>
  <c r="T105" i="1" s="1"/>
  <c r="Q105" i="1" a="1"/>
  <c r="Q105" i="1" s="1"/>
  <c r="N105" i="1" a="1"/>
  <c r="N105" i="1" s="1"/>
  <c r="K105" i="1" a="1"/>
  <c r="K105" i="1" s="1"/>
  <c r="W101" i="1" a="1"/>
  <c r="W101" i="1" s="1"/>
  <c r="N101" i="1" a="1"/>
  <c r="N101" i="1" s="1"/>
  <c r="W99" i="1" a="1"/>
  <c r="W99" i="1" s="1"/>
  <c r="N99" i="1" a="1"/>
  <c r="N99" i="1" s="1"/>
  <c r="W97" i="1" a="1"/>
  <c r="W97" i="1" s="1"/>
  <c r="T97" i="1" a="1"/>
  <c r="T97" i="1" s="1"/>
  <c r="Q97" i="1" a="1"/>
  <c r="Q97" i="1" s="1"/>
  <c r="N97" i="1" a="1"/>
  <c r="N97" i="1" s="1"/>
  <c r="W95" i="1" a="1"/>
  <c r="W95" i="1" s="1"/>
  <c r="T95" i="1" a="1"/>
  <c r="T95" i="1" s="1"/>
  <c r="Q95" i="1" a="1"/>
  <c r="Q95" i="1" s="1"/>
  <c r="N95" i="1" a="1"/>
  <c r="N95" i="1" s="1"/>
  <c r="W93" i="1" a="1"/>
  <c r="W93" i="1" s="1"/>
  <c r="Q93" i="1" a="1"/>
  <c r="Q93" i="1" s="1"/>
  <c r="N93" i="1" a="1"/>
  <c r="N93" i="1" s="1"/>
  <c r="W91" i="1" a="1"/>
  <c r="W91" i="1" s="1"/>
  <c r="N91" i="1" a="1"/>
  <c r="N91" i="1" s="1"/>
  <c r="W89" i="1" a="1"/>
  <c r="W89" i="1" s="1"/>
  <c r="N89" i="1" a="1"/>
  <c r="N89" i="1" s="1"/>
  <c r="W86" i="1" a="1"/>
  <c r="W86" i="1" s="1"/>
  <c r="T86" i="1" a="1"/>
  <c r="T86" i="1" s="1"/>
  <c r="Q86" i="1" a="1"/>
  <c r="Q86" i="1" s="1"/>
  <c r="N86" i="1" a="1"/>
  <c r="N86" i="1" s="1"/>
  <c r="K86" i="1" a="1"/>
  <c r="K86" i="1" s="1"/>
  <c r="W84" i="1" a="1"/>
  <c r="W84" i="1" s="1"/>
  <c r="K84" i="1" a="1"/>
  <c r="K84" i="1" s="1"/>
  <c r="W81" i="1" a="1"/>
  <c r="W81" i="1" s="1"/>
  <c r="T81" i="1" a="1"/>
  <c r="T81" i="1" s="1"/>
  <c r="Q81" i="1" a="1"/>
  <c r="Q81" i="1" s="1"/>
  <c r="N81" i="1" a="1"/>
  <c r="N81" i="1" s="1"/>
  <c r="K81" i="1" a="1"/>
  <c r="K81" i="1" s="1"/>
  <c r="W77" i="1" a="1"/>
  <c r="W77" i="1" s="1"/>
  <c r="T77" i="1" a="1"/>
  <c r="T77" i="1" s="1"/>
  <c r="Q77" i="1" a="1"/>
  <c r="Q77" i="1" s="1"/>
  <c r="N77" i="1" a="1"/>
  <c r="N77" i="1" s="1"/>
  <c r="K77" i="1" a="1"/>
  <c r="K77" i="1" s="1"/>
  <c r="K57" i="1" a="1"/>
  <c r="K57" i="1" s="1"/>
  <c r="K53" i="1" a="1"/>
  <c r="K53" i="1" s="1"/>
  <c r="K51" i="1" a="1"/>
  <c r="K51" i="1" s="1"/>
  <c r="K49" i="1" a="1"/>
  <c r="K49" i="1" s="1"/>
  <c r="K46" i="1" a="1"/>
  <c r="K46" i="1" s="1"/>
  <c r="K44" i="1" a="1"/>
  <c r="K44" i="1" s="1"/>
  <c r="K41" i="1" a="1"/>
  <c r="K41" i="1" s="1"/>
  <c r="K38" i="1" a="1"/>
  <c r="K38" i="1" s="1"/>
  <c r="K36" i="1" a="1"/>
  <c r="K36" i="1" s="1"/>
  <c r="K34" i="1" a="1"/>
  <c r="K34" i="1" s="1"/>
  <c r="K31" i="1" a="1"/>
  <c r="K31" i="1" s="1"/>
  <c r="K29" i="1" a="1"/>
  <c r="K29" i="1" s="1"/>
  <c r="K23" i="1" a="1"/>
  <c r="K23" i="1" s="1"/>
  <c r="L15" i="1" l="1" a="1"/>
  <c r="L15" i="1" s="1"/>
  <c r="L14" i="1" a="1"/>
  <c r="L14" i="1" s="1"/>
  <c r="C3" i="51" s="1"/>
  <c r="M6" i="93" l="1"/>
  <c r="W140" i="1" l="1"/>
  <c r="W62" i="1"/>
  <c r="P6" i="41"/>
  <c r="X62" i="1"/>
  <c r="X140" i="1" s="1"/>
  <c r="M6" i="23"/>
  <c r="S9" i="6"/>
  <c r="C57" i="41" l="1"/>
  <c r="C8" i="93"/>
  <c r="N147" i="1"/>
  <c r="C41" i="1"/>
  <c r="C11" i="6"/>
  <c r="R14" i="1"/>
  <c r="C140" i="1"/>
  <c r="C8" i="41"/>
  <c r="C8" i="23"/>
  <c r="C62" i="1"/>
  <c r="E3" i="51"/>
  <c r="Q147" i="1" l="1"/>
  <c r="T147" i="1"/>
  <c r="B14" i="51"/>
  <c r="B16" i="51"/>
  <c r="B18" i="51"/>
  <c r="B20" i="51"/>
  <c r="B22" i="51"/>
  <c r="B24" i="51"/>
  <c r="B26" i="51"/>
  <c r="B28" i="51"/>
  <c r="B30" i="51"/>
  <c r="B32" i="51"/>
  <c r="B34" i="51"/>
  <c r="B36" i="51"/>
  <c r="B38" i="51"/>
  <c r="B40" i="51"/>
  <c r="B42" i="51"/>
  <c r="B44" i="51"/>
  <c r="B46" i="51"/>
  <c r="B48" i="51"/>
  <c r="B50" i="51"/>
  <c r="B52" i="51"/>
  <c r="B13" i="51"/>
  <c r="B17" i="51"/>
  <c r="B21" i="51"/>
  <c r="B25" i="51"/>
  <c r="B29" i="51"/>
  <c r="B33" i="51"/>
  <c r="B37" i="51"/>
  <c r="B41" i="51"/>
  <c r="B45" i="51"/>
  <c r="B49" i="51"/>
  <c r="B53" i="51"/>
  <c r="B15" i="51"/>
  <c r="B31" i="51"/>
  <c r="B47" i="51"/>
  <c r="B23" i="51"/>
  <c r="B39" i="51"/>
  <c r="B19" i="51"/>
  <c r="B51" i="51"/>
  <c r="B27" i="51"/>
  <c r="B35" i="51"/>
  <c r="B43" i="51"/>
  <c r="G43" i="51" l="1"/>
  <c r="O43" i="51"/>
  <c r="W43" i="51"/>
  <c r="I43" i="51"/>
  <c r="Q43" i="51"/>
  <c r="AA43" i="51"/>
  <c r="E43" i="51"/>
  <c r="U43" i="51"/>
  <c r="K43" i="51"/>
  <c r="M43" i="51"/>
  <c r="C43" i="51"/>
  <c r="S43" i="51"/>
  <c r="G35" i="51"/>
  <c r="O35" i="51"/>
  <c r="W35" i="51"/>
  <c r="C35" i="51"/>
  <c r="M35" i="51"/>
  <c r="AA35" i="51"/>
  <c r="E35" i="51"/>
  <c r="Q35" i="51"/>
  <c r="I35" i="51"/>
  <c r="S35" i="51"/>
  <c r="K35" i="51"/>
  <c r="U35" i="51"/>
  <c r="G51" i="51"/>
  <c r="C51" i="51"/>
  <c r="M51" i="51"/>
  <c r="U51" i="51"/>
  <c r="E51" i="51"/>
  <c r="O51" i="51"/>
  <c r="W51" i="51"/>
  <c r="I51" i="51"/>
  <c r="Q51" i="51"/>
  <c r="AA51" i="51"/>
  <c r="K51" i="51"/>
  <c r="S51" i="51"/>
  <c r="G47" i="51"/>
  <c r="O47" i="51"/>
  <c r="W47" i="51"/>
  <c r="C47" i="51"/>
  <c r="M47" i="51"/>
  <c r="AA47" i="51"/>
  <c r="E47" i="51"/>
  <c r="Q47" i="51"/>
  <c r="I47" i="51"/>
  <c r="S47" i="51"/>
  <c r="K47" i="51"/>
  <c r="U47" i="51"/>
  <c r="G49" i="51"/>
  <c r="O49" i="51"/>
  <c r="W49" i="51"/>
  <c r="I49" i="51"/>
  <c r="S49" i="51"/>
  <c r="K49" i="51"/>
  <c r="U49" i="51"/>
  <c r="C49" i="51"/>
  <c r="M49" i="51"/>
  <c r="AA49" i="51"/>
  <c r="E49" i="51"/>
  <c r="Q49" i="51"/>
  <c r="G33" i="51"/>
  <c r="O33" i="51"/>
  <c r="W33" i="51"/>
  <c r="I33" i="51"/>
  <c r="S33" i="51"/>
  <c r="K33" i="51"/>
  <c r="U33" i="51"/>
  <c r="C33" i="51"/>
  <c r="M33" i="51"/>
  <c r="AA33" i="51"/>
  <c r="E33" i="51"/>
  <c r="Q33" i="51"/>
  <c r="C17" i="51"/>
  <c r="K17" i="51"/>
  <c r="S17" i="51"/>
  <c r="G17" i="51"/>
  <c r="O17" i="51"/>
  <c r="W17" i="51"/>
  <c r="E17" i="51"/>
  <c r="U17" i="51"/>
  <c r="I17" i="51"/>
  <c r="AA17" i="51"/>
  <c r="M17" i="51"/>
  <c r="Q17" i="51"/>
  <c r="G48" i="51"/>
  <c r="O48" i="51"/>
  <c r="W48" i="51"/>
  <c r="K48" i="51"/>
  <c r="U48" i="51"/>
  <c r="C48" i="51"/>
  <c r="M48" i="51"/>
  <c r="AA48" i="51"/>
  <c r="E48" i="51"/>
  <c r="Q48" i="51"/>
  <c r="I48" i="51"/>
  <c r="S48" i="51"/>
  <c r="G40" i="51"/>
  <c r="O40" i="51"/>
  <c r="W40" i="51"/>
  <c r="K40" i="51"/>
  <c r="U40" i="51"/>
  <c r="C40" i="51"/>
  <c r="M40" i="51"/>
  <c r="AA40" i="51"/>
  <c r="E40" i="51"/>
  <c r="Q40" i="51"/>
  <c r="I40" i="51"/>
  <c r="S40" i="51"/>
  <c r="G32" i="51"/>
  <c r="O32" i="51"/>
  <c r="W32" i="51"/>
  <c r="K32" i="51"/>
  <c r="U32" i="51"/>
  <c r="C32" i="51"/>
  <c r="M32" i="51"/>
  <c r="AA32" i="51"/>
  <c r="E32" i="51"/>
  <c r="Q32" i="51"/>
  <c r="I32" i="51"/>
  <c r="S32" i="51"/>
  <c r="G24" i="51"/>
  <c r="O24" i="51"/>
  <c r="W24" i="51"/>
  <c r="K24" i="51"/>
  <c r="U24" i="51"/>
  <c r="C24" i="51"/>
  <c r="M24" i="51"/>
  <c r="AA24" i="51"/>
  <c r="E24" i="51"/>
  <c r="Q24" i="51"/>
  <c r="I24" i="51"/>
  <c r="S24" i="51"/>
  <c r="C16" i="51"/>
  <c r="K16" i="51"/>
  <c r="S16" i="51"/>
  <c r="G16" i="51"/>
  <c r="O16" i="51"/>
  <c r="W16" i="51"/>
  <c r="M16" i="51"/>
  <c r="Q16" i="51"/>
  <c r="E16" i="51"/>
  <c r="U16" i="51"/>
  <c r="I16" i="51"/>
  <c r="AA16" i="51"/>
  <c r="G31" i="51"/>
  <c r="O31" i="51"/>
  <c r="W31" i="51"/>
  <c r="C31" i="51"/>
  <c r="M31" i="51"/>
  <c r="AA31" i="51"/>
  <c r="E31" i="51"/>
  <c r="Q31" i="51"/>
  <c r="I31" i="51"/>
  <c r="S31" i="51"/>
  <c r="K31" i="51"/>
  <c r="U31" i="51"/>
  <c r="G29" i="51"/>
  <c r="O29" i="51"/>
  <c r="W29" i="51"/>
  <c r="I29" i="51"/>
  <c r="S29" i="51"/>
  <c r="K29" i="51"/>
  <c r="U29" i="51"/>
  <c r="C29" i="51"/>
  <c r="M29" i="51"/>
  <c r="AA29" i="51"/>
  <c r="Q29" i="51"/>
  <c r="E29" i="51"/>
  <c r="W13" i="51"/>
  <c r="O13" i="51"/>
  <c r="G13" i="51"/>
  <c r="U13" i="51"/>
  <c r="M13" i="51"/>
  <c r="E13" i="51"/>
  <c r="S13" i="51"/>
  <c r="K13" i="51"/>
  <c r="C13" i="51"/>
  <c r="AA13" i="51"/>
  <c r="Q13" i="51"/>
  <c r="I13" i="51"/>
  <c r="G46" i="51"/>
  <c r="O46" i="51"/>
  <c r="W46" i="51"/>
  <c r="I46" i="51"/>
  <c r="Q46" i="51"/>
  <c r="M46" i="51"/>
  <c r="C46" i="51"/>
  <c r="S46" i="51"/>
  <c r="E46" i="51"/>
  <c r="U46" i="51"/>
  <c r="K46" i="51"/>
  <c r="AA46" i="51"/>
  <c r="G38" i="51"/>
  <c r="O38" i="51"/>
  <c r="W38" i="51"/>
  <c r="E38" i="51"/>
  <c r="Q38" i="51"/>
  <c r="I38" i="51"/>
  <c r="S38" i="51"/>
  <c r="K38" i="51"/>
  <c r="U38" i="51"/>
  <c r="M38" i="51"/>
  <c r="AA38" i="51"/>
  <c r="C38" i="51"/>
  <c r="G30" i="51"/>
  <c r="O30" i="51"/>
  <c r="W30" i="51"/>
  <c r="E30" i="51"/>
  <c r="Q30" i="51"/>
  <c r="I30" i="51"/>
  <c r="S30" i="51"/>
  <c r="K30" i="51"/>
  <c r="U30" i="51"/>
  <c r="C30" i="51"/>
  <c r="M30" i="51"/>
  <c r="AA30" i="51"/>
  <c r="G22" i="51"/>
  <c r="O22" i="51"/>
  <c r="W22" i="51"/>
  <c r="E22" i="51"/>
  <c r="Q22" i="51"/>
  <c r="I22" i="51"/>
  <c r="S22" i="51"/>
  <c r="K22" i="51"/>
  <c r="U22" i="51"/>
  <c r="M22" i="51"/>
  <c r="AA22" i="51"/>
  <c r="C22" i="51"/>
  <c r="C14" i="51"/>
  <c r="K14" i="51"/>
  <c r="S14" i="51"/>
  <c r="E14" i="51"/>
  <c r="G14" i="51"/>
  <c r="O14" i="51"/>
  <c r="W14" i="51"/>
  <c r="I14" i="51"/>
  <c r="M14" i="51"/>
  <c r="Q14" i="51"/>
  <c r="U14" i="51"/>
  <c r="AA14" i="51"/>
  <c r="C19" i="51"/>
  <c r="K19" i="51"/>
  <c r="S19" i="51"/>
  <c r="G19" i="51"/>
  <c r="O19" i="51"/>
  <c r="W19" i="51"/>
  <c r="E19" i="51"/>
  <c r="U19" i="51"/>
  <c r="I19" i="51"/>
  <c r="AA19" i="51"/>
  <c r="M19" i="51"/>
  <c r="Q19" i="51"/>
  <c r="G39" i="51"/>
  <c r="O39" i="51"/>
  <c r="W39" i="51"/>
  <c r="C39" i="51"/>
  <c r="M39" i="51"/>
  <c r="AA39" i="51"/>
  <c r="E39" i="51"/>
  <c r="Q39" i="51"/>
  <c r="I39" i="51"/>
  <c r="S39" i="51"/>
  <c r="K39" i="51"/>
  <c r="U39" i="51"/>
  <c r="C15" i="51"/>
  <c r="K15" i="51"/>
  <c r="S15" i="51"/>
  <c r="G15" i="51"/>
  <c r="O15" i="51"/>
  <c r="W15" i="51"/>
  <c r="E15" i="51"/>
  <c r="U15" i="51"/>
  <c r="I15" i="51"/>
  <c r="AA15" i="51"/>
  <c r="M15" i="51"/>
  <c r="Q15" i="51"/>
  <c r="G41" i="51"/>
  <c r="O41" i="51"/>
  <c r="W41" i="51"/>
  <c r="I41" i="51"/>
  <c r="S41" i="51"/>
  <c r="K41" i="51"/>
  <c r="U41" i="51"/>
  <c r="C41" i="51"/>
  <c r="M41" i="51"/>
  <c r="AA41" i="51"/>
  <c r="E41" i="51"/>
  <c r="Q41" i="51"/>
  <c r="G25" i="51"/>
  <c r="O25" i="51"/>
  <c r="W25" i="51"/>
  <c r="I25" i="51"/>
  <c r="S25" i="51"/>
  <c r="K25" i="51"/>
  <c r="U25" i="51"/>
  <c r="C25" i="51"/>
  <c r="M25" i="51"/>
  <c r="AA25" i="51"/>
  <c r="E25" i="51"/>
  <c r="Q25" i="51"/>
  <c r="E52" i="51"/>
  <c r="M52" i="51"/>
  <c r="U52" i="51"/>
  <c r="G52" i="51"/>
  <c r="O52" i="51"/>
  <c r="W52" i="51"/>
  <c r="I52" i="51"/>
  <c r="Q52" i="51"/>
  <c r="AA52" i="51"/>
  <c r="C52" i="51"/>
  <c r="K52" i="51"/>
  <c r="S52" i="51"/>
  <c r="G44" i="51"/>
  <c r="O44" i="51"/>
  <c r="W44" i="51"/>
  <c r="I44" i="51"/>
  <c r="Q44" i="51"/>
  <c r="AA44" i="51"/>
  <c r="M44" i="51"/>
  <c r="C44" i="51"/>
  <c r="S44" i="51"/>
  <c r="E44" i="51"/>
  <c r="U44" i="51"/>
  <c r="K44" i="51"/>
  <c r="G36" i="51"/>
  <c r="O36" i="51"/>
  <c r="W36" i="51"/>
  <c r="K36" i="51"/>
  <c r="U36" i="51"/>
  <c r="C36" i="51"/>
  <c r="M36" i="51"/>
  <c r="AA36" i="51"/>
  <c r="E36" i="51"/>
  <c r="Q36" i="51"/>
  <c r="S36" i="51"/>
  <c r="I36" i="51"/>
  <c r="G28" i="51"/>
  <c r="O28" i="51"/>
  <c r="W28" i="51"/>
  <c r="K28" i="51"/>
  <c r="U28" i="51"/>
  <c r="C28" i="51"/>
  <c r="M28" i="51"/>
  <c r="AA28" i="51"/>
  <c r="E28" i="51"/>
  <c r="Q28" i="51"/>
  <c r="I28" i="51"/>
  <c r="S28" i="51"/>
  <c r="C20" i="51"/>
  <c r="K20" i="51"/>
  <c r="S20" i="51"/>
  <c r="G20" i="51"/>
  <c r="O20" i="51"/>
  <c r="W20" i="51"/>
  <c r="M20" i="51"/>
  <c r="Q20" i="51"/>
  <c r="E20" i="51"/>
  <c r="U20" i="51"/>
  <c r="I20" i="51"/>
  <c r="AA20" i="51"/>
  <c r="G45" i="51"/>
  <c r="O45" i="51"/>
  <c r="W45" i="51"/>
  <c r="I45" i="51"/>
  <c r="Q45" i="51"/>
  <c r="AA45" i="51"/>
  <c r="E45" i="51"/>
  <c r="U45" i="51"/>
  <c r="K45" i="51"/>
  <c r="M45" i="51"/>
  <c r="C45" i="51"/>
  <c r="S45" i="51"/>
  <c r="G27" i="51"/>
  <c r="O27" i="51"/>
  <c r="W27" i="51"/>
  <c r="C27" i="51"/>
  <c r="M27" i="51"/>
  <c r="AA27" i="51"/>
  <c r="E27" i="51"/>
  <c r="Q27" i="51"/>
  <c r="I27" i="51"/>
  <c r="S27" i="51"/>
  <c r="U27" i="51"/>
  <c r="K27" i="51"/>
  <c r="G23" i="51"/>
  <c r="O23" i="51"/>
  <c r="W23" i="51"/>
  <c r="C23" i="51"/>
  <c r="M23" i="51"/>
  <c r="AA23" i="51"/>
  <c r="E23" i="51"/>
  <c r="Q23" i="51"/>
  <c r="I23" i="51"/>
  <c r="S23" i="51"/>
  <c r="K23" i="51"/>
  <c r="U23" i="51"/>
  <c r="E53" i="51"/>
  <c r="M53" i="51"/>
  <c r="U53" i="51"/>
  <c r="G53" i="51"/>
  <c r="O53" i="51"/>
  <c r="W53" i="51"/>
  <c r="I53" i="51"/>
  <c r="Q53" i="51"/>
  <c r="AA53" i="51"/>
  <c r="C53" i="51"/>
  <c r="K53" i="51"/>
  <c r="S53" i="51"/>
  <c r="G37" i="51"/>
  <c r="O37" i="51"/>
  <c r="W37" i="51"/>
  <c r="I37" i="51"/>
  <c r="S37" i="51"/>
  <c r="K37" i="51"/>
  <c r="U37" i="51"/>
  <c r="C37" i="51"/>
  <c r="M37" i="51"/>
  <c r="AA37" i="51"/>
  <c r="E37" i="51"/>
  <c r="Q37" i="51"/>
  <c r="C21" i="51"/>
  <c r="K21" i="51"/>
  <c r="G21" i="51"/>
  <c r="O21" i="51"/>
  <c r="W21" i="51"/>
  <c r="E21" i="51"/>
  <c r="S21" i="51"/>
  <c r="I21" i="51"/>
  <c r="U21" i="51"/>
  <c r="M21" i="51"/>
  <c r="AA21" i="51"/>
  <c r="Q21" i="51"/>
  <c r="G50" i="51"/>
  <c r="O50" i="51"/>
  <c r="W50" i="51"/>
  <c r="E50" i="51"/>
  <c r="Q50" i="51"/>
  <c r="I50" i="51"/>
  <c r="S50" i="51"/>
  <c r="K50" i="51"/>
  <c r="U50" i="51"/>
  <c r="C50" i="51"/>
  <c r="M50" i="51"/>
  <c r="AA50" i="51"/>
  <c r="G42" i="51"/>
  <c r="E42" i="51"/>
  <c r="O42" i="51"/>
  <c r="W42" i="51"/>
  <c r="I42" i="51"/>
  <c r="Q42" i="51"/>
  <c r="AA42" i="51"/>
  <c r="K42" i="51"/>
  <c r="S42" i="51"/>
  <c r="C42" i="51"/>
  <c r="M42" i="51"/>
  <c r="U42" i="51"/>
  <c r="G34" i="51"/>
  <c r="O34" i="51"/>
  <c r="W34" i="51"/>
  <c r="E34" i="51"/>
  <c r="Q34" i="51"/>
  <c r="I34" i="51"/>
  <c r="S34" i="51"/>
  <c r="K34" i="51"/>
  <c r="U34" i="51"/>
  <c r="AA34" i="51"/>
  <c r="C34" i="51"/>
  <c r="M34" i="51"/>
  <c r="G26" i="51"/>
  <c r="O26" i="51"/>
  <c r="W26" i="51"/>
  <c r="E26" i="51"/>
  <c r="Q26" i="51"/>
  <c r="I26" i="51"/>
  <c r="S26" i="51"/>
  <c r="K26" i="51"/>
  <c r="U26" i="51"/>
  <c r="C26" i="51"/>
  <c r="M26" i="51"/>
  <c r="AA26" i="51"/>
  <c r="C18" i="51"/>
  <c r="K18" i="51"/>
  <c r="S18" i="51"/>
  <c r="G18" i="51"/>
  <c r="O18" i="51"/>
  <c r="W18" i="51"/>
  <c r="M18" i="51"/>
  <c r="Q18" i="51"/>
  <c r="E18" i="51"/>
  <c r="U18" i="51"/>
  <c r="I18" i="51"/>
  <c r="AA18" i="51"/>
  <c r="C128" i="1"/>
  <c r="A128" i="1" s="1"/>
  <c r="M6" i="51" l="1"/>
  <c r="M7" i="51" s="1"/>
  <c r="E6" i="51"/>
  <c r="E7" i="51" s="1"/>
  <c r="G6" i="51"/>
  <c r="G7" i="51" s="1"/>
  <c r="I6" i="51"/>
  <c r="I7" i="51" s="1"/>
  <c r="O6" i="51"/>
  <c r="O7" i="51" s="1"/>
  <c r="Q6" i="51"/>
  <c r="Q7" i="51" s="1"/>
  <c r="W6" i="51"/>
  <c r="W7" i="51" s="1"/>
  <c r="C132" i="1"/>
  <c r="A132" i="1" s="1"/>
  <c r="C126" i="1"/>
  <c r="A126" i="1" s="1"/>
  <c r="C130" i="1" l="1"/>
  <c r="A130" i="1" s="1"/>
  <c r="C134" i="1" l="1"/>
  <c r="A134" i="1" s="1"/>
  <c r="AA6" i="51" l="1"/>
  <c r="Y7" i="51" s="1"/>
  <c r="K6" i="51"/>
  <c r="S6" i="51"/>
  <c r="Y6" i="51"/>
  <c r="U6" i="51" l="1"/>
  <c r="K7" i="51"/>
  <c r="S7" i="51"/>
  <c r="U7" i="51" l="1"/>
  <c r="C124" i="1" l="1"/>
  <c r="A124" i="1" s="1"/>
  <c r="C136" i="1" l="1"/>
  <c r="A136" i="1" s="1"/>
  <c r="C122" i="1" l="1"/>
  <c r="A122" i="1" s="1"/>
  <c r="C116" i="1" l="1"/>
  <c r="A116" i="1" s="1"/>
  <c r="C118" i="1" l="1"/>
  <c r="A118" i="1" s="1"/>
  <c r="C120" i="1" l="1"/>
  <c r="A120" i="1" s="1"/>
  <c r="B137" i="1" s="1"/>
  <c r="C114"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<sst xmlns="http://schemas.openxmlformats.org/spreadsheetml/2006/main" count="14166" uniqueCount="1926">
  <si>
    <t>E5010</t>
  </si>
  <si>
    <t>Colchester</t>
  </si>
  <si>
    <t>E1536</t>
  </si>
  <si>
    <t>Copeland</t>
  </si>
  <si>
    <t>E0934</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</si>
  <si>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</si>
  <si>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</si>
  <si>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</si>
  <si>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</si>
  <si>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</si>
  <si>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</si>
  <si>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</si>
  <si>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</si>
  <si>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</si>
  <si>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</si>
  <si>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</si>
  <si>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</si>
  <si>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</si>
  <si>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</si>
  <si>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</si>
  <si>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</si>
  <si>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</si>
  <si>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</si>
  <si>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Derby</t>
  </si>
  <si>
    <t>E1001</t>
  </si>
  <si>
    <t>Derbyshire Dales</t>
  </si>
  <si>
    <t>E1035</t>
  </si>
  <si>
    <t>Doncaster</t>
  </si>
  <si>
    <t>E4402</t>
  </si>
  <si>
    <t>TOTAL
(All BA Area)</t>
  </si>
  <si>
    <t xml:space="preserve">PART 1A: NON-DOMESTIC RATING INCOME </t>
  </si>
  <si>
    <t>COST OF COLLECTION (See Note A)</t>
  </si>
  <si>
    <t>Central
Government</t>
  </si>
  <si>
    <t>Estimated Surplus/Deficit on Collection Fund</t>
  </si>
  <si>
    <t xml:space="preserve">of which: </t>
  </si>
  <si>
    <t>GLA - functions exc police</t>
  </si>
  <si>
    <t>Retained NNDR shares</t>
  </si>
  <si>
    <t>Dover</t>
  </si>
  <si>
    <t>E2234</t>
  </si>
  <si>
    <t>Dudley</t>
  </si>
  <si>
    <t>E4603</t>
  </si>
  <si>
    <t>Durham UA</t>
  </si>
  <si>
    <t>E1302</t>
  </si>
  <si>
    <t>Ealing</t>
  </si>
  <si>
    <t>E5036</t>
  </si>
  <si>
    <t>East Cambridgeshire</t>
  </si>
  <si>
    <t>E0532</t>
  </si>
  <si>
    <t>East Devon</t>
  </si>
  <si>
    <t>E1131</t>
  </si>
  <si>
    <t>East Hampshire</t>
  </si>
  <si>
    <t>E1732</t>
  </si>
  <si>
    <t>East Hertfordshire</t>
  </si>
  <si>
    <t>E1933</t>
  </si>
  <si>
    <t>East Lindsey</t>
  </si>
  <si>
    <t>E2532</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</si>
  <si>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</si>
  <si>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</si>
  <si>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</si>
  <si>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</si>
  <si>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</si>
  <si>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</si>
  <si>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</si>
  <si>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</si>
  <si>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</si>
  <si>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</si>
  <si>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</si>
  <si>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</si>
  <si>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</si>
  <si>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</si>
  <si>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</si>
  <si>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</si>
  <si>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</si>
  <si>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</si>
  <si>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</si>
  <si>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</si>
  <si>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</si>
  <si>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</si>
  <si>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</si>
  <si>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</si>
  <si>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</si>
  <si>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</si>
  <si>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</si>
  <si>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</si>
  <si>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</si>
  <si>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</si>
  <si>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</si>
  <si>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</si>
  <si>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</si>
  <si>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</si>
  <si>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</si>
  <si>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</si>
  <si>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</si>
  <si>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</si>
  <si>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</si>
  <si>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</si>
  <si>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</si>
  <si>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</si>
  <si>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</si>
  <si>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</si>
  <si>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</si>
  <si>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</si>
  <si>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</si>
  <si>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</si>
  <si>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</si>
  <si>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</si>
  <si>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</si>
  <si>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</si>
  <si>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</si>
  <si>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</si>
  <si>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</si>
  <si>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</si>
  <si>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</si>
  <si>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</si>
  <si>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</si>
  <si>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</si>
  <si>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</si>
  <si>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</si>
  <si>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</si>
  <si>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</si>
  <si>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</si>
  <si>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</si>
  <si>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</si>
  <si>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</si>
  <si>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</si>
  <si>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</si>
  <si>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</si>
  <si>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</si>
  <si>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</si>
  <si>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</si>
  <si>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</si>
  <si>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</si>
  <si>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</si>
  <si>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</si>
  <si>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</si>
  <si>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</si>
  <si>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</si>
  <si>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</si>
  <si>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</si>
  <si>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</si>
  <si>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</si>
  <si>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</si>
  <si>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</si>
  <si>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</si>
  <si>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</si>
  <si>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</si>
  <si>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</si>
  <si>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</si>
  <si>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</si>
  <si>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E2101</t>
  </si>
  <si>
    <t>E4001</t>
  </si>
  <si>
    <t>Islington</t>
  </si>
  <si>
    <t>E5015</t>
  </si>
  <si>
    <t>Kensington and Chelsea</t>
  </si>
  <si>
    <t>E5016</t>
  </si>
  <si>
    <t>Kings Lynn and West Norfolk</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</si>
  <si>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</si>
  <si>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</si>
  <si>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</si>
  <si>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</si>
  <si>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</si>
  <si>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</si>
  <si>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</si>
  <si>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</si>
  <si>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</si>
  <si>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</si>
  <si>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</si>
  <si>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</si>
  <si>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</si>
  <si>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</si>
  <si>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</si>
  <si>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</si>
  <si>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</si>
  <si>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</si>
  <si>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</si>
  <si>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</si>
  <si>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</si>
  <si>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</si>
  <si>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</si>
  <si>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</si>
  <si>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</si>
  <si>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</si>
  <si>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</si>
  <si>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</si>
  <si>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</si>
  <si>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</si>
  <si>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</si>
  <si>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</si>
  <si>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</si>
  <si>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</si>
  <si>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</si>
  <si>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</si>
  <si>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</si>
  <si>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</si>
  <si>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</si>
  <si>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</si>
  <si>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</si>
  <si>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</si>
  <si>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</si>
  <si>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</si>
  <si>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</si>
  <si>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</si>
  <si>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</si>
  <si>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</si>
  <si>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</si>
  <si>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</si>
  <si>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</si>
  <si>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</si>
  <si>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</si>
  <si>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</si>
  <si>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</si>
  <si>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E0401</t>
  </si>
  <si>
    <t>Mole Valley</t>
  </si>
  <si>
    <t>E3634</t>
  </si>
  <si>
    <t>New Forest</t>
  </si>
  <si>
    <t>E1738</t>
  </si>
  <si>
    <t>Newark and Sherwood</t>
  </si>
  <si>
    <t>E3036</t>
  </si>
  <si>
    <t>E4502</t>
  </si>
  <si>
    <t>Newcastle-under-Lyme</t>
  </si>
  <si>
    <t>E3434</t>
  </si>
  <si>
    <t>Newham</t>
  </si>
  <si>
    <t>E5045</t>
  </si>
  <si>
    <t>North Devon</t>
  </si>
  <si>
    <t>E1134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</si>
  <si>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</si>
  <si>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</si>
  <si>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</si>
  <si>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</si>
  <si>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</si>
  <si>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</si>
  <si>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</si>
  <si>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</si>
  <si>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</si>
  <si>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</si>
  <si>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</si>
  <si>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</si>
  <si>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</si>
  <si>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</si>
  <si>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</si>
  <si>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</si>
  <si>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</si>
  <si>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</si>
  <si>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5.  Renewable Energy</t>
  </si>
  <si>
    <t xml:space="preserve">OPENING BALANCE </t>
  </si>
  <si>
    <t>PART 1B: PAYMENTS</t>
  </si>
  <si>
    <t>PART 2: NET RATES PAYABLE</t>
  </si>
  <si>
    <t>North West Leicestershire</t>
  </si>
  <si>
    <t>E2437</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</si>
  <si>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</si>
  <si>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</si>
  <si>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</si>
  <si>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</si>
  <si>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</si>
  <si>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</si>
  <si>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</si>
  <si>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</si>
  <si>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</si>
  <si>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</si>
  <si>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</si>
  <si>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</si>
  <si>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</si>
  <si>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</si>
  <si>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</si>
  <si>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</si>
  <si>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E0501</t>
  </si>
  <si>
    <t>Plymouth</t>
  </si>
  <si>
    <t>E1101</t>
  </si>
  <si>
    <t>E1701</t>
  </si>
  <si>
    <t>Preston</t>
  </si>
  <si>
    <t>E2339</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</si>
  <si>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</si>
  <si>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</si>
  <si>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</si>
  <si>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</si>
  <si>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</si>
  <si>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</si>
  <si>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</si>
  <si>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</si>
  <si>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</si>
  <si>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</si>
  <si>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</si>
  <si>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</si>
  <si>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</si>
  <si>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</si>
  <si>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</si>
  <si>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</si>
  <si>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</si>
  <si>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</si>
  <si>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</si>
  <si>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</si>
  <si>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</si>
  <si>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</si>
  <si>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</si>
  <si>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</si>
  <si>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</si>
  <si>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</si>
  <si>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</si>
  <si>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</si>
  <si>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</si>
  <si>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</si>
  <si>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</si>
  <si>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</si>
  <si>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</si>
  <si>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</si>
  <si>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</si>
  <si>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</si>
  <si>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</si>
  <si>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</si>
  <si>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</si>
  <si>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</si>
  <si>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</si>
  <si>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</si>
  <si>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</si>
  <si>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</si>
  <si>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</si>
  <si>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</si>
  <si>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</si>
  <si>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</si>
  <si>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</si>
  <si>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</si>
  <si>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</si>
  <si>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</si>
  <si>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E2240</t>
  </si>
  <si>
    <t>Shropshire UA</t>
  </si>
  <si>
    <t>E3202</t>
  </si>
  <si>
    <t>E0304</t>
  </si>
  <si>
    <t>Solihull</t>
  </si>
  <si>
    <t>E4605</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</si>
  <si>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</si>
  <si>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</si>
  <si>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</si>
  <si>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</si>
  <si>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</si>
  <si>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</si>
  <si>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</si>
  <si>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</si>
  <si>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</si>
  <si>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</si>
  <si>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</si>
  <si>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</si>
  <si>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</si>
  <si>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</si>
  <si>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</si>
  <si>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</si>
  <si>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Oxfordshire</t>
  </si>
  <si>
    <t>E3133</t>
  </si>
  <si>
    <t>South Ribble</t>
  </si>
  <si>
    <t>E2342</t>
  </si>
  <si>
    <t>South Somerset</t>
  </si>
  <si>
    <t>E3334</t>
  </si>
  <si>
    <t>South Staffordshire</t>
  </si>
  <si>
    <t>E3435</t>
  </si>
  <si>
    <t>South Tyneside</t>
  </si>
  <si>
    <t>E4504</t>
  </si>
  <si>
    <t>E1702</t>
  </si>
  <si>
    <t>E1501</t>
  </si>
  <si>
    <t>Southwark</t>
  </si>
  <si>
    <t>E5019</t>
  </si>
  <si>
    <t>Spelthorne</t>
  </si>
  <si>
    <t>E3637</t>
  </si>
  <si>
    <t>St Albans</t>
  </si>
  <si>
    <t>E1936</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</si>
  <si>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</si>
  <si>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</si>
  <si>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</si>
  <si>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</si>
  <si>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</si>
  <si>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</si>
  <si>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</si>
  <si>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</si>
  <si>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</si>
  <si>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</si>
  <si>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</si>
  <si>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</si>
  <si>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</si>
  <si>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</si>
  <si>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</si>
  <si>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</si>
  <si>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</si>
  <si>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Sunderland</t>
  </si>
  <si>
    <t>E4505</t>
  </si>
  <si>
    <t>Surrey Heath</t>
  </si>
  <si>
    <t>E3638</t>
  </si>
  <si>
    <t>Sutton</t>
  </si>
  <si>
    <t>E5048</t>
  </si>
  <si>
    <t>Swale</t>
  </si>
  <si>
    <t>E2241</t>
  </si>
  <si>
    <t>E3901</t>
  </si>
  <si>
    <t>Tameside</t>
  </si>
  <si>
    <t>E4208</t>
  </si>
  <si>
    <t>Tamworth</t>
  </si>
  <si>
    <t>E3439</t>
  </si>
  <si>
    <t>Tandridge</t>
  </si>
  <si>
    <t>E3639</t>
  </si>
  <si>
    <t>Teignbridge</t>
  </si>
  <si>
    <t>E1137</t>
  </si>
  <si>
    <t>E3201</t>
  </si>
  <si>
    <t>Tendring</t>
  </si>
  <si>
    <t>E1542</t>
  </si>
  <si>
    <t>Test Valley</t>
  </si>
  <si>
    <t>E1742</t>
  </si>
  <si>
    <t>Tewkesbury</t>
  </si>
  <si>
    <t>E1636</t>
  </si>
  <si>
    <t>Thanet</t>
  </si>
  <si>
    <t>E2242</t>
  </si>
  <si>
    <t>Three Rivers</t>
  </si>
  <si>
    <t>E1938</t>
  </si>
  <si>
    <t>E1502</t>
  </si>
  <si>
    <t>Tonbridge and Malling</t>
  </si>
  <si>
    <t>E2243</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</si>
  <si>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</si>
  <si>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</si>
  <si>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</si>
  <si>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</si>
  <si>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</si>
  <si>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</si>
  <si>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</si>
  <si>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</si>
  <si>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</si>
  <si>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</si>
  <si>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</si>
  <si>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</si>
  <si>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</si>
  <si>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</si>
  <si>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</si>
  <si>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</si>
  <si>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</si>
  <si>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</si>
  <si>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</si>
  <si>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</si>
  <si>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</si>
  <si>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</si>
  <si>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</si>
  <si>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</si>
  <si>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</si>
  <si>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</si>
  <si>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</si>
  <si>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Waverley</t>
  </si>
  <si>
    <t>E3640</t>
  </si>
  <si>
    <t>Wealden</t>
  </si>
  <si>
    <t>E1437</t>
  </si>
  <si>
    <t>Welwyn Hatfield</t>
  </si>
  <si>
    <t>E1940</t>
  </si>
  <si>
    <t>E0302</t>
  </si>
  <si>
    <t>West Devon</t>
  </si>
  <si>
    <t>E1140</t>
  </si>
  <si>
    <t>West Lancashire</t>
  </si>
  <si>
    <t>E2343</t>
  </si>
  <si>
    <t>West Lindsey</t>
  </si>
  <si>
    <t>E2537</t>
  </si>
  <si>
    <t>West Oxfordshire</t>
  </si>
  <si>
    <t>E3135</t>
  </si>
  <si>
    <t>Westminster</t>
  </si>
  <si>
    <t>E5022</t>
  </si>
  <si>
    <t>Wigan</t>
  </si>
  <si>
    <t>E4210</t>
  </si>
  <si>
    <t>Wiltshire UA</t>
  </si>
  <si>
    <t>E3902</t>
  </si>
  <si>
    <t>Winchester</t>
  </si>
  <si>
    <t>E1743</t>
  </si>
  <si>
    <t>E0305</t>
  </si>
  <si>
    <t>Wirral</t>
  </si>
  <si>
    <t>E4305</t>
  </si>
  <si>
    <t>Woking</t>
  </si>
  <si>
    <t>E3641</t>
  </si>
  <si>
    <t>E0306</t>
  </si>
  <si>
    <t>Wolverhampton</t>
  </si>
  <si>
    <t>E4607</t>
  </si>
  <si>
    <t>Worcester</t>
  </si>
  <si>
    <t>E1837</t>
  </si>
  <si>
    <t>Worthing</t>
  </si>
  <si>
    <t>E3837</t>
  </si>
  <si>
    <t>Wychavon</t>
  </si>
  <si>
    <t>E1838</t>
  </si>
  <si>
    <t>Wyre</t>
  </si>
  <si>
    <t>E2344</t>
  </si>
  <si>
    <t>Wyre Forest</t>
  </si>
  <si>
    <t>E1839</t>
  </si>
  <si>
    <t>York</t>
  </si>
  <si>
    <t>E2701</t>
  </si>
  <si>
    <t>EZZZZ</t>
  </si>
  <si>
    <t xml:space="preserve">Select your local authority's name from this list: </t>
  </si>
  <si>
    <t>Partially occupied hereditaments</t>
  </si>
  <si>
    <t>Empty premises</t>
  </si>
  <si>
    <t>Fire</t>
  </si>
  <si>
    <t>NA</t>
  </si>
  <si>
    <t>UA</t>
  </si>
  <si>
    <t>Avon Fire Authority</t>
  </si>
  <si>
    <t>Bristol UA</t>
  </si>
  <si>
    <t>South Gloucestershire UA</t>
  </si>
  <si>
    <t>North Somerset UA</t>
  </si>
  <si>
    <t>Luton UA</t>
  </si>
  <si>
    <t>Bedfordshire Fire Authority</t>
  </si>
  <si>
    <t>Bracknell Forest UA</t>
  </si>
  <si>
    <t>Berkshire Fire Authority</t>
  </si>
  <si>
    <t>West Berkshire UA</t>
  </si>
  <si>
    <t>Reading UA</t>
  </si>
  <si>
    <t>Slough UA</t>
  </si>
  <si>
    <t>Wokingham UA</t>
  </si>
  <si>
    <t>Milton Keynes UA</t>
  </si>
  <si>
    <t>Buckinghamshire Fire Authority</t>
  </si>
  <si>
    <t>Peterborough UA</t>
  </si>
  <si>
    <t>Cambridgeshire Fire Authority</t>
  </si>
  <si>
    <t>Cambridgeshire</t>
  </si>
  <si>
    <t>Halton UA</t>
  </si>
  <si>
    <t>Cheshire Fire Authority</t>
  </si>
  <si>
    <t>Warrington UA</t>
  </si>
  <si>
    <t>Cheshire West and Chester UA</t>
  </si>
  <si>
    <t>Hartlepool UA</t>
  </si>
  <si>
    <t>Cleveland Fire Authority</t>
  </si>
  <si>
    <t>Middlesbrough UA</t>
  </si>
  <si>
    <t>Stockton-on-Tees UA</t>
  </si>
  <si>
    <t>County</t>
  </si>
  <si>
    <t>Cumbria</t>
  </si>
  <si>
    <t>Derby UA</t>
  </si>
  <si>
    <t>Derbyshire Fire Authority</t>
  </si>
  <si>
    <t>Derbyshire</t>
  </si>
  <si>
    <t xml:space="preserve">COLLECTABLE RATES </t>
  </si>
  <si>
    <t>Plymouth UA</t>
  </si>
  <si>
    <t>Devon and Somerset Fire Authority</t>
  </si>
  <si>
    <t>Torbay UA</t>
  </si>
  <si>
    <t>Devon</t>
  </si>
  <si>
    <t>Darlington UA</t>
  </si>
  <si>
    <t>Durham Fire Authority</t>
  </si>
  <si>
    <t>East Sussex Fire Authority</t>
  </si>
  <si>
    <t>East Sussex</t>
  </si>
  <si>
    <t>Southend-on-Sea UA</t>
  </si>
  <si>
    <t>Thurrock UA</t>
  </si>
  <si>
    <t>Essex</t>
  </si>
  <si>
    <t>Gloucestershire</t>
  </si>
  <si>
    <t>Portsmouth UA</t>
  </si>
  <si>
    <t>Southampton UA</t>
  </si>
  <si>
    <t>Hampshire</t>
  </si>
  <si>
    <t>Herefordshire UA</t>
  </si>
  <si>
    <t>Hereford and Worcester Fire Authority</t>
  </si>
  <si>
    <t>Worcestershire</t>
  </si>
  <si>
    <t>Hertfordshire</t>
  </si>
  <si>
    <t>East Riding of Yorkshire UA</t>
  </si>
  <si>
    <t>Humberside Fire Authority</t>
  </si>
  <si>
    <t>North East Lincolnshire UA</t>
  </si>
  <si>
    <t>North Lincolnshire UA</t>
  </si>
  <si>
    <t>Medway UA</t>
  </si>
  <si>
    <t>Kent Fire Authority</t>
  </si>
  <si>
    <t>Kent</t>
  </si>
  <si>
    <t>Blackburn with Darwen UA</t>
  </si>
  <si>
    <t>Lancashire Fire Authority</t>
  </si>
  <si>
    <t>Blackpool UA</t>
  </si>
  <si>
    <t>Lancashire</t>
  </si>
  <si>
    <t>Leicester UA</t>
  </si>
  <si>
    <t>Leicestershire Fire Authority</t>
  </si>
  <si>
    <t>Rutland UA</t>
  </si>
  <si>
    <t>Leicestershire</t>
  </si>
  <si>
    <t>Lincolnshire</t>
  </si>
  <si>
    <t>Norfolk</t>
  </si>
  <si>
    <t>York UA</t>
  </si>
  <si>
    <t>North Yorkshire Fire Authority</t>
  </si>
  <si>
    <t>North Yorkshire</t>
  </si>
  <si>
    <t>Nottingham UA</t>
  </si>
  <si>
    <t>Nottinghamshire Fire Authority</t>
  </si>
  <si>
    <t>Nottinghamshire</t>
  </si>
  <si>
    <t>Oxfordshire</t>
  </si>
  <si>
    <t>Shropshire Fire Authority</t>
  </si>
  <si>
    <t>Somerset</t>
  </si>
  <si>
    <t>Stoke-on-Trent UA</t>
  </si>
  <si>
    <t>Staffordshire</t>
  </si>
  <si>
    <t>Suffolk</t>
  </si>
  <si>
    <t>Surrey</t>
  </si>
  <si>
    <t>Warwickshire</t>
  </si>
  <si>
    <t>West Sussex</t>
  </si>
  <si>
    <t>Swindon UA</t>
  </si>
  <si>
    <t>MD</t>
  </si>
  <si>
    <t>Merseyside Fire</t>
  </si>
  <si>
    <t>South Yorkshire Fire</t>
  </si>
  <si>
    <t>Tyne and Wear Fire</t>
  </si>
  <si>
    <t>West Midlands Fire</t>
  </si>
  <si>
    <t>West Yorkshire Fire</t>
  </si>
  <si>
    <t>Greater London Authority</t>
  </si>
  <si>
    <t>£</t>
  </si>
  <si>
    <t>2.  Sums due to the authority</t>
  </si>
  <si>
    <t xml:space="preserve">3.  Sums due from the authority </t>
  </si>
  <si>
    <t>Authority Name</t>
  </si>
  <si>
    <t>E-code</t>
  </si>
  <si>
    <t>Local authority contact name</t>
  </si>
  <si>
    <t>Local authority contact number</t>
  </si>
  <si>
    <t>Local authority e-mail address</t>
  </si>
  <si>
    <t>Column 1</t>
  </si>
  <si>
    <t>Column 2</t>
  </si>
  <si>
    <t>Column 3</t>
  </si>
  <si>
    <t>Column 4</t>
  </si>
  <si>
    <t>Small Business Rate Relief</t>
  </si>
  <si>
    <t>Community Amateur Sports Clubs (CASCs)</t>
  </si>
  <si>
    <t>Non-profit making bodies</t>
  </si>
  <si>
    <t>Small rural businesses</t>
  </si>
  <si>
    <t>i)   the Secretary of State in accordance with Regulation 4 of the Non-Domestic Rating (Rates Retention) Regulations 2013;</t>
  </si>
  <si>
    <t>ii)  major precepting authorities in accordance with Regulations 5, 6 and 7; and to be</t>
  </si>
  <si>
    <t xml:space="preserve">iii) transferred by the billing authority from its Collection Fund to its General Fund, </t>
  </si>
  <si>
    <t>are set out below</t>
  </si>
  <si>
    <t>Total</t>
  </si>
  <si>
    <t xml:space="preserve"> </t>
  </si>
  <si>
    <t>TOTAL FOR THE YEAR</t>
  </si>
  <si>
    <t xml:space="preserve">NET RATES PAYABLE </t>
  </si>
  <si>
    <t>5.  Legal costs</t>
  </si>
  <si>
    <t>6.  Allowance for cost of collection</t>
  </si>
  <si>
    <t>4. Cost of collection formula</t>
  </si>
  <si>
    <t>SPECIAL AUTHORITY DEDUCTIONS</t>
  </si>
  <si>
    <t>Column 5</t>
  </si>
  <si>
    <t>4.  Estimated growth/decline in gross rates</t>
  </si>
  <si>
    <t>Charitable occupation</t>
  </si>
  <si>
    <t>Rural shops etc</t>
  </si>
  <si>
    <t>Rural rate relief</t>
  </si>
  <si>
    <t>NATIONAL NON-DOMESTIC RATES RETURN - NNDR1</t>
  </si>
  <si>
    <t>13. of which: relief on existing properties where a 2nd property is occupied</t>
  </si>
  <si>
    <t>1. Rateable Value at</t>
  </si>
  <si>
    <t>(LESS) LOSSES</t>
  </si>
  <si>
    <t xml:space="preserve">COLLECTIBLE RATES </t>
  </si>
  <si>
    <t xml:space="preserve">TRANSITIONAL PROTECTION PAYMENTS </t>
  </si>
  <si>
    <t xml:space="preserve">NON-DOMESTIC RATING INCOME </t>
  </si>
  <si>
    <t xml:space="preserve">DISREGARDED AMOUNTS </t>
  </si>
  <si>
    <t>4.  Net Rates payable less losses</t>
  </si>
  <si>
    <t>8.  Net cost of transitional arrangements</t>
  </si>
  <si>
    <t>10. Forecast net cost of transitional arrangements</t>
  </si>
  <si>
    <t>11. Sum due to/(from) authority</t>
  </si>
  <si>
    <t xml:space="preserve">1.  Net amount receivable from rate payers after taking account of transitional adjustments, empty property rate, mandatory and discretionary reliefs and accounting adjustments </t>
  </si>
  <si>
    <t xml:space="preserve">TOTAL:  </t>
  </si>
  <si>
    <t>1.  Sum payable by rate payers after taking account of transitional adjustments, empty property rate, mandatory and discretionary reliefs</t>
  </si>
  <si>
    <t>Local Authority</t>
  </si>
  <si>
    <t>Ecodes</t>
  </si>
  <si>
    <t>Adur</t>
  </si>
  <si>
    <t>E3831</t>
  </si>
  <si>
    <t>Allerdale</t>
  </si>
  <si>
    <t>E0931</t>
  </si>
  <si>
    <t>Amber Valley</t>
  </si>
  <si>
    <t>E1031</t>
  </si>
  <si>
    <t>Arun</t>
  </si>
  <si>
    <t>E3832</t>
  </si>
  <si>
    <t>Ashfield</t>
  </si>
  <si>
    <t>E3031</t>
  </si>
  <si>
    <t>Ashford</t>
  </si>
  <si>
    <t>E2231</t>
  </si>
  <si>
    <t>Babergh</t>
  </si>
  <si>
    <t>E3531</t>
  </si>
  <si>
    <t>Barking and Dagenham</t>
  </si>
  <si>
    <t>E5030</t>
  </si>
  <si>
    <t>Barnet</t>
  </si>
  <si>
    <t>E5031</t>
  </si>
  <si>
    <t>Barnsley</t>
  </si>
  <si>
    <t>E4401</t>
  </si>
  <si>
    <t>Barrow-in-Furness</t>
  </si>
  <si>
    <t>E0932</t>
  </si>
  <si>
    <t>Basildon</t>
  </si>
  <si>
    <t>E1531</t>
  </si>
  <si>
    <t>Basingstoke &amp; Deane</t>
  </si>
  <si>
    <t>E1731</t>
  </si>
  <si>
    <t>Bassetlaw</t>
  </si>
  <si>
    <t>E3032</t>
  </si>
  <si>
    <t>Bath &amp; North East Somerset</t>
  </si>
  <si>
    <t>E0101</t>
  </si>
  <si>
    <t>Bedford UA</t>
  </si>
  <si>
    <t>E0202</t>
  </si>
  <si>
    <t>Bexley</t>
  </si>
  <si>
    <t>E5032</t>
  </si>
  <si>
    <t>Birmingham</t>
  </si>
  <si>
    <t>E4601</t>
  </si>
  <si>
    <t>Blaby</t>
  </si>
  <si>
    <t>E2431</t>
  </si>
  <si>
    <t>E2301</t>
  </si>
  <si>
    <t>Blackpool</t>
  </si>
  <si>
    <t>E2302</t>
  </si>
  <si>
    <t>Bolsover</t>
  </si>
  <si>
    <t>E1032</t>
  </si>
  <si>
    <t>Bolton</t>
  </si>
  <si>
    <t>E4201</t>
  </si>
  <si>
    <t>Boston</t>
  </si>
  <si>
    <t>E2531</t>
  </si>
  <si>
    <t>E0301</t>
  </si>
  <si>
    <t>Bradford</t>
  </si>
  <si>
    <t>E4701</t>
  </si>
  <si>
    <t>Braintree</t>
  </si>
  <si>
    <t>E1532</t>
  </si>
  <si>
    <t>Breckland</t>
  </si>
  <si>
    <t>E2631</t>
  </si>
  <si>
    <t>Brent</t>
  </si>
  <si>
    <t>E5033</t>
  </si>
  <si>
    <t>Brentwood</t>
  </si>
  <si>
    <t>E1533</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</si>
  <si>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</si>
  <si>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</si>
  <si>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</si>
  <si>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</si>
  <si>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</si>
  <si>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</si>
  <si>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</si>
  <si>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</si>
  <si>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</si>
  <si>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</si>
  <si>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</si>
  <si>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</si>
  <si>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</si>
  <si>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</si>
  <si>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</si>
  <si>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</si>
  <si>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</si>
  <si>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</si>
  <si>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</si>
  <si>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</si>
  <si>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</si>
  <si>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</si>
  <si>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</si>
  <si>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</si>
  <si>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</si>
  <si>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</si>
  <si>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</si>
  <si>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</si>
  <si>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</si>
  <si>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</si>
  <si>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</si>
  <si>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Central Bedfordshire UA</t>
  </si>
  <si>
    <t>E0203</t>
  </si>
  <si>
    <t>Charnwood</t>
  </si>
  <si>
    <t>E2432</t>
  </si>
  <si>
    <t>Chelmsford</t>
  </si>
  <si>
    <t>E1535</t>
  </si>
  <si>
    <t>Cheltenham</t>
  </si>
  <si>
    <t>E1631</t>
  </si>
  <si>
    <t>Cherwell</t>
  </si>
  <si>
    <t>E3131</t>
  </si>
  <si>
    <t>Cheshire East UA</t>
  </si>
  <si>
    <t>E0603</t>
  </si>
  <si>
    <t>E0604</t>
  </si>
  <si>
    <t>Chesterfield</t>
  </si>
  <si>
    <t>E1033</t>
  </si>
  <si>
    <t>Chichester</t>
  </si>
  <si>
    <t>E3833</t>
  </si>
  <si>
    <t>Chorley</t>
  </si>
  <si>
    <t>E2334</t>
  </si>
  <si>
    <t>City of London</t>
  </si>
  <si>
    <t>BA Area (exc. Designated areas)</t>
  </si>
  <si>
    <t>Designated
areas</t>
  </si>
  <si>
    <t>Sheffield City region</t>
  </si>
  <si>
    <t>Enterprise Area</t>
  </si>
  <si>
    <t>West of England</t>
  </si>
  <si>
    <t>Notts Broxtowe</t>
  </si>
  <si>
    <t>Sheffield City Region</t>
  </si>
  <si>
    <t>NewQuay Aerohub</t>
  </si>
  <si>
    <t>Humber Port Corridor</t>
  </si>
  <si>
    <t>Humber Super Energy Cluster</t>
  </si>
  <si>
    <t>Solent</t>
  </si>
  <si>
    <t>Lancs Advanced Eng. &amp; Manufacturing</t>
  </si>
  <si>
    <t>Development Area</t>
  </si>
  <si>
    <t>New Anglia</t>
  </si>
  <si>
    <t>Sci-Tech Daresbury</t>
  </si>
  <si>
    <t>Tees Valley</t>
  </si>
  <si>
    <t>Hereford</t>
  </si>
  <si>
    <t>MIRA Technology Park</t>
  </si>
  <si>
    <t>Alconbury Enterprise Campus</t>
  </si>
  <si>
    <t>Aire Valley</t>
  </si>
  <si>
    <t>Mersey Waters</t>
  </si>
  <si>
    <t>Liverpool City</t>
  </si>
  <si>
    <t>NE Newcastle</t>
  </si>
  <si>
    <t>Royal Docks</t>
  </si>
  <si>
    <t>North East</t>
  </si>
  <si>
    <t>Waterside</t>
  </si>
  <si>
    <t xml:space="preserve">North East </t>
  </si>
  <si>
    <t>Nottingham City</t>
  </si>
  <si>
    <t>Development  Area</t>
  </si>
  <si>
    <t>Black Country</t>
  </si>
  <si>
    <t>Science Vale UK</t>
  </si>
  <si>
    <t xml:space="preserve">     (+ = increase, - = decrease)</t>
  </si>
  <si>
    <t>6.  Revenue foregone because increases in rates have been deferred (Show as -ve)</t>
  </si>
  <si>
    <t>14. Additional yield from the small business supplement (Show as +ve)</t>
  </si>
  <si>
    <t>This page is for information only; please do not amend any of the figures</t>
  </si>
  <si>
    <t>Birmingham City Centre</t>
  </si>
  <si>
    <t>n/a</t>
  </si>
  <si>
    <t>7.  Additional income received because reductions in rates have been deferred
(Show as +ve)</t>
  </si>
  <si>
    <t>PART 3: COLLECTABLE RATES AND DISREGARDED AMOUNTS</t>
  </si>
  <si>
    <t>All figures must be entered in whole £</t>
  </si>
  <si>
    <r>
      <t>9</t>
    </r>
    <r>
      <rPr>
        <sz val="12"/>
        <color indexed="10"/>
        <rFont val="Arial"/>
        <family val="2"/>
      </rPr>
      <t xml:space="preserve">. </t>
    </r>
    <r>
      <rPr>
        <sz val="12"/>
        <rFont val="Arial"/>
        <family val="2"/>
      </rPr>
      <t>Changes as a result of estimated growth / decline in cost of transitional arrangements 
(+ = decline, - = increase)</t>
    </r>
  </si>
  <si>
    <t>MANDATORY RELIEFS (See Note G) (All data should be entered as -ve unless specified otherwise)</t>
  </si>
  <si>
    <t xml:space="preserve">Checked by Chief Financial / Section 151 Officer : </t>
  </si>
  <si>
    <t>Manchester City Airport</t>
  </si>
  <si>
    <t>Infinity Park</t>
  </si>
  <si>
    <t>BUSINESS RATES CREDITS AND CHARGES</t>
  </si>
  <si>
    <t>3. Sums written off in excess of the allowance for non-collection</t>
  </si>
  <si>
    <t>4. Changes to the allowance for non-collection</t>
  </si>
  <si>
    <t>7. Total business rates credits and charges (Total lines 2 to 6)</t>
  </si>
  <si>
    <t xml:space="preserve">9.  Transfers/payments to the Collection Fund for end-year reconciliations </t>
  </si>
  <si>
    <r>
      <t xml:space="preserve">11.  Total Other Credits </t>
    </r>
    <r>
      <rPr>
        <sz val="12"/>
        <rFont val="Arial"/>
        <family val="2"/>
      </rPr>
      <t>(Total lines 8 to 10)</t>
    </r>
  </si>
  <si>
    <t xml:space="preserve">14  Payments made, or to be made to, major precepting authorities in respect of business </t>
  </si>
  <si>
    <t xml:space="preserve">16.  Transfers made, or to be made, to the billing authority's General Fund; and payments made, </t>
  </si>
  <si>
    <t>17. Transfers/payments from the Collection Fund for end-year reconciliations</t>
  </si>
  <si>
    <r>
      <t xml:space="preserve">19.  Total Other Charges </t>
    </r>
    <r>
      <rPr>
        <sz val="12"/>
        <rFont val="Arial"/>
        <family val="2"/>
      </rPr>
      <t>(Total lines 12 to 18)</t>
    </r>
  </si>
  <si>
    <t>15. Net cost of small business rate relief (line 12 + line 14)</t>
  </si>
  <si>
    <t>Ver</t>
  </si>
  <si>
    <t>MIRA extension</t>
  </si>
  <si>
    <t>Infinity Park Extension</t>
  </si>
  <si>
    <t>Newcastle upon Tyne</t>
  </si>
  <si>
    <t>Nine Elms and Battersea Power station</t>
  </si>
  <si>
    <t>Nine Elms</t>
  </si>
  <si>
    <t>DISREGARDED AMOUNTS</t>
  </si>
  <si>
    <t>DEDUCTIONS FROM CENTRAL SHARE</t>
  </si>
  <si>
    <t>Port of Bristol</t>
  </si>
  <si>
    <t>Baseline</t>
  </si>
  <si>
    <t>EZ Name</t>
  </si>
  <si>
    <t>Ezcode</t>
  </si>
  <si>
    <t>ecode</t>
  </si>
  <si>
    <t>Designated Areas</t>
  </si>
  <si>
    <t>Sum payable by rate payers after taking account of transitional adjustments, empty property rate, mandatory and discretionary reliefs</t>
  </si>
  <si>
    <t>NET RATES PAYABLE</t>
  </si>
  <si>
    <t>LOSSES</t>
  </si>
  <si>
    <t>Net Rates payable less losses</t>
  </si>
  <si>
    <t xml:space="preserve"> Renewable Energy</t>
  </si>
  <si>
    <t>Total Disregarded Amounts</t>
  </si>
  <si>
    <t>8.  Amounts retained in respect of Designated Areas</t>
  </si>
  <si>
    <t>Rural Rate Relief</t>
  </si>
  <si>
    <t>Designated Area</t>
  </si>
  <si>
    <t>Total Designated Area value</t>
  </si>
  <si>
    <t>Windsor and Maidenhead UA</t>
  </si>
  <si>
    <t>St. Helens</t>
  </si>
  <si>
    <t>Redcar and Cleveland UA</t>
  </si>
  <si>
    <t>Kingston upon Hull UA</t>
  </si>
  <si>
    <t>Isle of Wight UA</t>
  </si>
  <si>
    <t>Isles of Scilly UA</t>
  </si>
  <si>
    <t>Epsom and Ewell</t>
  </si>
  <si>
    <t>King’s Lynn and West Norfolk</t>
  </si>
  <si>
    <t>Brighton and Hove UA</t>
  </si>
  <si>
    <t>Basingstoke and Deane</t>
  </si>
  <si>
    <t>Bath and North East Somerset UA</t>
  </si>
  <si>
    <t>Telford and Wrekin UA</t>
  </si>
  <si>
    <t>Buckinghamshire Thames Valley: Silverstone</t>
  </si>
  <si>
    <t>Buckinghamshire Thames Valley: Aria/Woodlands</t>
  </si>
  <si>
    <t>Buckinghamshire Thames Valley: Westcott</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</si>
  <si>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</si>
  <si>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</si>
  <si>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</si>
  <si>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</si>
  <si>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</si>
  <si>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</si>
  <si>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</si>
  <si>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</si>
  <si>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</si>
  <si>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</si>
  <si>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</si>
  <si>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</si>
  <si>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</si>
  <si>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</si>
  <si>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</si>
  <si>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</si>
  <si>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</si>
  <si>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</si>
  <si>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</si>
  <si>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</si>
  <si>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</si>
  <si>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</si>
  <si>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</si>
  <si>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</si>
  <si>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</si>
  <si>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</si>
  <si>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</si>
  <si>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</si>
  <si>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</si>
  <si>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Kier site</t>
  </si>
  <si>
    <t>Spencer's Park (Phase 2) site</t>
  </si>
  <si>
    <t>HCA site</t>
  </si>
  <si>
    <t>DBC site</t>
  </si>
  <si>
    <t>Tees Valley EZ Growth Extension: Central Park</t>
  </si>
  <si>
    <t>Ebsfleet Central - Northfleet Rise</t>
  </si>
  <si>
    <t>Waterfront</t>
  </si>
  <si>
    <t>Archill</t>
  </si>
  <si>
    <t>Harts Hill</t>
  </si>
  <si>
    <t>Canal Walk</t>
  </si>
  <si>
    <t>Blackbrook Valley</t>
  </si>
  <si>
    <t>Pensnett</t>
  </si>
  <si>
    <t>Hawthorn Prestige Business Park</t>
  </si>
  <si>
    <t>Cambridge Compass: Lancaster Way</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</si>
  <si>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</si>
  <si>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</si>
  <si>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</si>
  <si>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</si>
  <si>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</si>
  <si>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</si>
  <si>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</si>
  <si>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</si>
  <si>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</si>
  <si>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</si>
  <si>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Follingsby Business Park</t>
  </si>
  <si>
    <t>Northfleet Riverside East</t>
  </si>
  <si>
    <t>Northfleet Riverside West</t>
  </si>
  <si>
    <t>Beacon Park Phase 3</t>
  </si>
  <si>
    <t>Vanguard Point</t>
  </si>
  <si>
    <t>Havenshore Base South</t>
  </si>
  <si>
    <t>Victory Court</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</si>
  <si>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</si>
  <si>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</si>
  <si>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</si>
  <si>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</si>
  <si>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</si>
  <si>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</si>
  <si>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</si>
  <si>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</si>
  <si>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</si>
  <si>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</si>
  <si>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</si>
  <si>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</si>
  <si>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</si>
  <si>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</si>
  <si>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</si>
  <si>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</si>
  <si>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</si>
  <si>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</si>
  <si>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</si>
  <si>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</si>
  <si>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</si>
  <si>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</si>
  <si>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</si>
  <si>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</si>
  <si>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</si>
  <si>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</si>
  <si>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</si>
  <si>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Leicester Waterside</t>
  </si>
  <si>
    <t>East Quay</t>
  </si>
  <si>
    <t>Eastside North</t>
  </si>
  <si>
    <t>Eastside South</t>
  </si>
  <si>
    <t>North Quay</t>
  </si>
  <si>
    <t>Railway Quay</t>
  </si>
  <si>
    <t>Bevan Funnell</t>
  </si>
  <si>
    <t>Town Centre</t>
  </si>
  <si>
    <t>Avis Way</t>
  </si>
  <si>
    <t>Luton Airport EZ</t>
  </si>
  <si>
    <t>Kent Medical Campus</t>
  </si>
  <si>
    <t>Greater Manchester Airport City</t>
  </si>
  <si>
    <t>Greater Manchester Life Science: MSP Central Campus</t>
  </si>
  <si>
    <t>Greater Manchester Life Science: CMFT Site</t>
  </si>
  <si>
    <t>Rochester Airport Technology Park</t>
  </si>
  <si>
    <t>New Anglia EZ: Sproughton Road</t>
  </si>
  <si>
    <t>New Anglia EZ: Mill Lane</t>
  </si>
  <si>
    <t>Tees Valley EZ Growth Extension: Middlesbrough historic quarter</t>
  </si>
  <si>
    <t>Ceramics Valley: Chatterley Valley West</t>
  </si>
  <si>
    <t>North Bank of the Tyne extension</t>
  </si>
  <si>
    <t>Newcastle International Airport Business Park</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</si>
  <si>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</si>
  <si>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</si>
  <si>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</si>
  <si>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</si>
  <si>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</si>
  <si>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</si>
  <si>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</si>
  <si>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</si>
  <si>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</si>
  <si>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</si>
  <si>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</si>
  <si>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</si>
  <si>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</si>
  <si>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</si>
  <si>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</si>
  <si>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</si>
  <si>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Cambridge Compass: Cambourne Business Park</t>
  </si>
  <si>
    <t>Cambridge Compass: Cambridge Research Park</t>
  </si>
  <si>
    <t>Cambridge Compass: Northstowe</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</si>
  <si>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</si>
  <si>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</si>
  <si>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</si>
  <si>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</si>
  <si>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</si>
  <si>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</si>
  <si>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</si>
  <si>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</si>
  <si>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</si>
  <si>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</si>
  <si>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Cambridge Compass: Haverhill Research Park</t>
  </si>
  <si>
    <t>New Anglia EZ: Suffolk Business Park</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</si>
  <si>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</si>
  <si>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</si>
  <si>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</si>
  <si>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</si>
  <si>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</si>
  <si>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</si>
  <si>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</si>
  <si>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</si>
  <si>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</si>
  <si>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</si>
  <si>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</si>
  <si>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</si>
  <si>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</si>
  <si>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</si>
  <si>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</si>
  <si>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</si>
  <si>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</si>
  <si>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</si>
  <si>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</si>
  <si>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Cheshire Science Corridor EZ: Birchwood Sites</t>
  </si>
  <si>
    <t>Riverside Road</t>
  </si>
  <si>
    <t>Mobbs Way</t>
  </si>
  <si>
    <t>Wirral Waters</t>
  </si>
  <si>
    <t>Lancashire - Hillhouse Chemicals and Energy EZ</t>
  </si>
  <si>
    <t>York Central site</t>
  </si>
  <si>
    <t>Enter as +ve figure</t>
  </si>
  <si>
    <t>Enter as -ve figure</t>
  </si>
  <si>
    <t>formula</t>
  </si>
  <si>
    <t>Relief Given to Case A Hereditaments</t>
  </si>
  <si>
    <t>Column 9  for non Pilot Authorities</t>
  </si>
  <si>
    <t>Compensation Due</t>
  </si>
  <si>
    <t xml:space="preserve">Transitional Protection Payment  </t>
  </si>
  <si>
    <t>A</t>
  </si>
  <si>
    <t>B</t>
  </si>
  <si>
    <t>Enter as either a +ve or -ve figure consistent with the calculation in Part 2 Line 11</t>
  </si>
  <si>
    <t>Supporting Small Businesses Relief</t>
  </si>
  <si>
    <t>Development Area - Gateshead Quays and Baltic Business Centre</t>
  </si>
  <si>
    <t>Greater Manchester Airport City 2</t>
  </si>
  <si>
    <t>Multiplier Cap</t>
  </si>
  <si>
    <t>Pre-filled entry</t>
  </si>
  <si>
    <t>IAMP</t>
  </si>
  <si>
    <t>Brent Cross LGZ</t>
  </si>
  <si>
    <t>Croydon LGZ</t>
  </si>
  <si>
    <t>DESIGNATED AREAS RELIEF</t>
  </si>
  <si>
    <t xml:space="preserve">1. Opening Balance (From Collection Fund Statement) </t>
  </si>
  <si>
    <t>COLLECTIBLE RATES</t>
  </si>
  <si>
    <t>Folkestone &amp; Hythe</t>
  </si>
  <si>
    <t>E1204</t>
  </si>
  <si>
    <t>Dorset Council</t>
  </si>
  <si>
    <t>E1203</t>
  </si>
  <si>
    <t>East Suffolk</t>
  </si>
  <si>
    <t>E3538</t>
  </si>
  <si>
    <t>Somerset West &amp; Taunton</t>
  </si>
  <si>
    <t>E3336</t>
  </si>
  <si>
    <t>West Suffolk</t>
  </si>
  <si>
    <t>E3539</t>
  </si>
  <si>
    <t>Northamptonshire PCC-Fire</t>
  </si>
  <si>
    <t>Bournemouth, Christchurch &amp; Poole</t>
  </si>
  <si>
    <t xml:space="preserve">7.  Transitional Protection Payment </t>
  </si>
  <si>
    <t xml:space="preserve">8.  Baseline </t>
  </si>
  <si>
    <t>9. Total Disregarded Amounts</t>
  </si>
  <si>
    <t>10. Designated Areas Qualifying Relief</t>
  </si>
  <si>
    <t>Telecoms Relief</t>
  </si>
  <si>
    <t>Designated Areas qualifying relief in 100% pilot areas</t>
  </si>
  <si>
    <t>PART 1C: SECTION 31 GRANT (See Note D)</t>
  </si>
  <si>
    <t>GROSS RATES PAYABLE
(All data should be entered as +ve unless specified otherwise) - see Note E</t>
  </si>
  <si>
    <t xml:space="preserve">TRANSITIONAL ARRANGEMENTS (See Note F) </t>
  </si>
  <si>
    <t xml:space="preserve">TRANSITIONAL PROTECTION PAYMENTS (See Note F(a)) </t>
  </si>
  <si>
    <t>5. Forecast gross rates payable in 2020-21</t>
  </si>
  <si>
    <t>2. Business rates credited and charged to the Collection Fund in 2019-20</t>
  </si>
  <si>
    <t>10. Transfers/payments into the Collection Fund in 2019-20 in respect of a previous year's deficit</t>
  </si>
  <si>
    <t>18. Transfers/payments made from the Collection Fund in 2019-20 in respect of a previous year's surplus</t>
  </si>
  <si>
    <t>21. Changes as a result of estimated growth/decline in mandatory relief
(+ = decline, - = increase)</t>
  </si>
  <si>
    <t>26.  Changes as a result of estimated growth/decline in unoccupied property 'relief'
(+ = decline, - = increase)</t>
  </si>
  <si>
    <t>34. Relief given to Case A hereditaments</t>
  </si>
  <si>
    <t>35. Relief given to Case B hereditaments</t>
  </si>
  <si>
    <t>37.  Changes as a result of estimated growth/decline in discretionary relief
(+ = decline, - = increase)</t>
  </si>
  <si>
    <t>Buckinghamshire UA</t>
  </si>
  <si>
    <t>E0402</t>
  </si>
  <si>
    <t xml:space="preserve">5. Amounts charged against the provision for alteration of lists and appeals following RV list changes </t>
  </si>
  <si>
    <t>6. Changes to the provision for alteration of lists and appeals</t>
  </si>
  <si>
    <r>
      <t xml:space="preserve">PART 4: ESTIMATED COLLECTION FUND BALANCE                                    </t>
    </r>
    <r>
      <rPr>
        <sz val="12"/>
        <rFont val="Arial"/>
        <family val="2"/>
      </rPr>
      <t>(Please refer to guidance notes for details about these cells.)</t>
    </r>
  </si>
  <si>
    <t>9.  Amounts retained in respect of Renewable Energy Schemes
(see Note B)</t>
  </si>
  <si>
    <t>Shale oil and gas sites scheme</t>
  </si>
  <si>
    <t>6.  Shale oil and gas sites scheme (see Note C)</t>
  </si>
  <si>
    <t>Other ratepayers (refer to guidance for further details)</t>
  </si>
  <si>
    <t>2021-22</t>
  </si>
  <si>
    <r>
      <t xml:space="preserve">The payments to be made, during the course of </t>
    </r>
    <r>
      <rPr>
        <b/>
        <sz val="12"/>
        <rFont val="Arial"/>
        <family val="2"/>
      </rPr>
      <t>2021-22</t>
    </r>
    <r>
      <rPr>
        <sz val="12"/>
        <rFont val="Arial"/>
        <family val="2"/>
      </rPr>
      <t xml:space="preserve"> to: </t>
    </r>
  </si>
  <si>
    <t>Non-Domestic Rating Income for 2021-22</t>
  </si>
  <si>
    <t>Other Income for 2021-22</t>
  </si>
  <si>
    <t xml:space="preserve"> 2021-22</t>
  </si>
  <si>
    <t>2. Small business rating multiplier for 2021-22 (pence)</t>
  </si>
  <si>
    <t>3.  Gross rates 2021-22 (RV x multiplier)</t>
  </si>
  <si>
    <t>5. Forecast gross rates payable in 2021-22</t>
  </si>
  <si>
    <t>12. Forecast of relief to be provided in 2021-22</t>
  </si>
  <si>
    <t>16. Forecast of relief to be provided in 2021-22</t>
  </si>
  <si>
    <t>17. Forecast of relief to be provided in 2021-22</t>
  </si>
  <si>
    <t>18. Forecast of relief to be provided in 2021-22</t>
  </si>
  <si>
    <t>19. Forecast of relief to be provided in 2021-22</t>
  </si>
  <si>
    <t>24. Forecast of 'relief' to be provided in 2021-22</t>
  </si>
  <si>
    <t>29. Forecast of relief to be provided in 2021-22</t>
  </si>
  <si>
    <t>30. Forecast of relief to be provided in 2021-22</t>
  </si>
  <si>
    <t>31. Forecast of relief to be provided in 2021-22</t>
  </si>
  <si>
    <t>32. Forecast of relief to be provided in 2021-22</t>
  </si>
  <si>
    <t>33. Forecast of relief to be provided in 2021-22</t>
  </si>
  <si>
    <t>40. Forecast of relief to be provided in 2021-22</t>
  </si>
  <si>
    <t>41. Forecast of relief to be provided in 2021-22</t>
  </si>
  <si>
    <t>2. Estimated bad debts in respect of 2021-22 rates payable</t>
  </si>
  <si>
    <t xml:space="preserve">3. Estimated repayments in respect of 2021-22 rates payable </t>
  </si>
  <si>
    <t>Estimated bad debts in respect of 2021-22 rates payable</t>
  </si>
  <si>
    <t xml:space="preserve">Estimated repayments in respect of 2021-22 rates payable </t>
  </si>
  <si>
    <t>2. Business rates credited and charged to the Collection Fund in 2020-21</t>
  </si>
  <si>
    <t>8.  Transitional protection payments received, or to be received in 2020-21</t>
  </si>
  <si>
    <t>10. Transfers/payments into the Collection Fund in 2020-21 in respect of a previous year's deficit</t>
  </si>
  <si>
    <t xml:space="preserve">12.  Transitional protection payments made, or to be made, in 2020-21 </t>
  </si>
  <si>
    <t xml:space="preserve">13. Payments made, or to be made, to the Secretary of State in respect of the central share
in 2020-21 </t>
  </si>
  <si>
    <t xml:space="preserve"> rates income in 2020-21</t>
  </si>
  <si>
    <t>15. Transfers made, or to be made, to the billing authority's General Fund in respect of business rates income in 2020-21</t>
  </si>
  <si>
    <t>or to be made, to a precepting authority in respect of disregarded amounts in 2020-21</t>
  </si>
  <si>
    <t>18. Transfers/payments made from the Collection Fund in 2020-21 in respect of a previous year's surplus</t>
  </si>
  <si>
    <t xml:space="preserve">ESTIMATED SURPLUS/(DEFICIT) ON COLLECTION FUND IN RESPECT OF FINANCIAL YEAR 2020-21 - Surplus (positive), Deficit (Negative) </t>
  </si>
  <si>
    <t>Local newspaper relief</t>
  </si>
  <si>
    <t>North Northamptonshire</t>
  </si>
  <si>
    <t>West Northamptonshire</t>
  </si>
  <si>
    <t>9a. sums retained by billing authority</t>
  </si>
  <si>
    <t>9b. sums retained by major precepting authority</t>
  </si>
  <si>
    <t>10. Amounts retained in respect of Shale Oil and Gas Sites Schemes (see Note C)</t>
  </si>
  <si>
    <t>12. % of non-domestic rating income to be allocated to each authority in 2021-22</t>
  </si>
  <si>
    <t xml:space="preserve">13. Non-domestic rating income from rates retention scheme </t>
  </si>
  <si>
    <t>14.(less) deductions from central share</t>
  </si>
  <si>
    <t>16. add: cost of collection allowance</t>
  </si>
  <si>
    <t>17. add: amounts retained in respect of Designated Areas</t>
  </si>
  <si>
    <t xml:space="preserve">18. add: amounts retained in respect of renewable energy schemes </t>
  </si>
  <si>
    <t>19. add: amounts retained in respect of Shale oil and gas sites schemes</t>
  </si>
  <si>
    <t>20. add: qualifying relief in Designated Areas</t>
  </si>
  <si>
    <t>21. add: City of London Offset</t>
  </si>
  <si>
    <t>32. Cost to authorities of providing relief</t>
  </si>
  <si>
    <t>11.  Line 1 plus line 2, minus lines 3, 6 - 9 and 10</t>
  </si>
  <si>
    <t>DESIGNATED AREAS IN 100% BRR AUTHORITIES</t>
  </si>
  <si>
    <t>21.  Opening balance plus total credits, less total charges, plus adjustment for three year spread (Total lines 1, 7, 11,19 &amp; 20)</t>
  </si>
  <si>
    <r>
      <t xml:space="preserve">PART 4a: ESTIMATED COLLECTION FUND BALANCE
Adjustment for three year spend
</t>
    </r>
    <r>
      <rPr>
        <sz val="12"/>
        <rFont val="Arial"/>
        <family val="2"/>
      </rPr>
      <t>(Please refer to guidance notes for details about these cells.)</t>
    </r>
  </si>
  <si>
    <t>CALCULATION OF EXCEPTIONAL BALANCE</t>
  </si>
  <si>
    <t>1. Estimated surplus/deficit for 2020-21 excluding adjustment for 3 year spend (total Part 4 lines 1, 7, 11 &amp; 19)</t>
  </si>
  <si>
    <t>7. Amount to be added to surplus/deficit calculation as "adjustment for 3 year spread"</t>
  </si>
  <si>
    <t>APPORTIONMENT OF ESTIMATED SURPLUS DEFICIT</t>
  </si>
  <si>
    <t>8. Surplus/deficit to be apportioned (Part 4 line 21)</t>
  </si>
  <si>
    <t>12. Total</t>
  </si>
  <si>
    <t>9. % for distribution of prior year surplus/deficit (ie 2019-20)</t>
  </si>
  <si>
    <t>10. % for distribution of in-year surplus/deficit (ie 2020-21)</t>
  </si>
  <si>
    <t>11a. Spread amount</t>
  </si>
  <si>
    <t>OTHER RATES RETENTION SCHEME CHARGES  (enter as -ve)</t>
  </si>
  <si>
    <t>OTHER RATES RETENTION SCHEME CREDITS (enter as +ve)</t>
  </si>
  <si>
    <t>6. Exceptional balance (line 1 minus line 2 plus line 5)</t>
  </si>
  <si>
    <t>2. Prior year surplus/deficit (total Part 4 lines 1, 10 &amp; 18)</t>
  </si>
  <si>
    <t>Date</t>
  </si>
  <si>
    <t>E2801</t>
  </si>
  <si>
    <t>E2802</t>
  </si>
  <si>
    <t>(including adjustment for three year spread)</t>
  </si>
  <si>
    <t>30. Cost to authorities of providing relief</t>
  </si>
  <si>
    <t>31. Cost to authorities of providing relief</t>
  </si>
  <si>
    <t>5. Compensation due to retail, nursery &amp; local newspaper relief (line 3 minus line 4)</t>
  </si>
  <si>
    <t>11. % for distribution of spread amount (2020-21)</t>
  </si>
  <si>
    <t>20.  Forecast of mandatory reliefs to be provided in 2021-22 (Sum of lines 15 to 19)</t>
  </si>
  <si>
    <t>22. Total forecast mandatory reliefs to be provided in 2021-22</t>
  </si>
  <si>
    <t>23. Forecast of 'relief' to be provided in 2021-22</t>
  </si>
  <si>
    <t>25.  Forecast of unoccupied property 'relief' to be provided in 2021-22 (Line 23 + line 24)</t>
  </si>
  <si>
    <t>27. Total forecast unoccupied property 'relief' to be provided in 2021-22</t>
  </si>
  <si>
    <t>28. Forecast of relief to be provided in 2021-22</t>
  </si>
  <si>
    <t>38. Total forecast discretionary relief to be provided in 2021-22</t>
  </si>
  <si>
    <t>39. Forecast of relief to be provided in 2021-22</t>
  </si>
  <si>
    <t>9a. Prior year surplus (+)/deficit (-)</t>
  </si>
  <si>
    <t>10a. In-year surplus (+)/deficit (-)</t>
  </si>
  <si>
    <t>Telecoms relief (see Note H)</t>
  </si>
  <si>
    <t>UNOCCUPIED PROPERTY (See Note J) (All data should be entered as -ve unless specified otherwise)</t>
  </si>
  <si>
    <t>DISCRETIONARY RELIEFS (See Note K) (All data should be entered as -ve unless specified otherwise)</t>
  </si>
  <si>
    <t>DISCRETIONARY RELIEFS FUNDED THROUGH SECTION 31 GRANT
(See Note L) (All data should be entered as -ve unless specified otherwise)</t>
  </si>
  <si>
    <t>20.  Adjustment for 3 year spread (See Note M)</t>
  </si>
  <si>
    <t>South Tees Development Corporation</t>
  </si>
  <si>
    <t>Estimated sums due from Government via Section 31 grant, to compensate authorities for the cost of changes to the business rates system announced 
in the 2013 to 2016 Autumn Statements, 2020 spending review, and 2017 (March and November), 2018 (October) Budgets</t>
  </si>
  <si>
    <r>
      <rPr>
        <sz val="12"/>
        <rFont val="Arial"/>
        <family val="2"/>
      </rPr>
      <t>4.</t>
    </r>
    <r>
      <rPr>
        <b/>
        <sz val="12"/>
        <rFont val="Arial"/>
        <family val="2"/>
      </rPr>
      <t xml:space="preserve"> </t>
    </r>
    <r>
      <rPr>
        <sz val="12"/>
        <rFont val="Arial"/>
        <family val="2"/>
      </rPr>
      <t>NNDR1 2020-21 estimate of retail discount relief</t>
    </r>
  </si>
  <si>
    <t>12. Total (total lines 9a, 10a, 11a)</t>
  </si>
  <si>
    <t>Note that any reliefs for the year 2021/22 announced after this form has gone out will be covered by future supplementary data collections</t>
  </si>
  <si>
    <t>42.  Forecast of discretionary reliefs funded through S31 grant to be provided in 2021-22
(Sum of lines 39 to 41)</t>
  </si>
  <si>
    <t>43.  Changes as a result of estimated growth/decline in Section 31 discretionary relief
(+ = decline, - = increase)</t>
  </si>
  <si>
    <t>44.  Total forecast of discretionary reliefs funded through S31 grant to be provided in 2021-22</t>
  </si>
  <si>
    <t>45.  Forecast of net rates payable by rate payers after taking account of transitional adjustments, unoccupied property relief, mandatory and discretionary reliefs</t>
  </si>
  <si>
    <t>13. Total Deductions</t>
  </si>
  <si>
    <t>22. add: in respect of Port of Bristol hereditament</t>
  </si>
  <si>
    <t>23. Surplus/Deficit at end of 2020-21</t>
  </si>
  <si>
    <t>24.  Total amount due to authorities</t>
  </si>
  <si>
    <t>26. Cost of doubling SBRR &amp; threshold changes for 2021-22</t>
  </si>
  <si>
    <t>26a. Additional compensation for loss of supplementary multipler income</t>
  </si>
  <si>
    <t>27. Cost to authorities of maintaining relief on "first" property</t>
  </si>
  <si>
    <t xml:space="preserve">28. Cost to authorities of providing 100% rural rate relief </t>
  </si>
  <si>
    <t>29. Cost to authorities of providing relief</t>
  </si>
  <si>
    <t>33.  Amount of Section 31 grant due to authorities to compensate for reliefs</t>
  </si>
  <si>
    <r>
      <t>NB</t>
    </r>
    <r>
      <rPr>
        <sz val="12"/>
        <color rgb="FFFF0000"/>
        <rFont val="Arial"/>
        <family val="2"/>
      </rPr>
      <t xml:space="preserve"> To determine the amount of S31 grant due to it, the authority will have to add / deduct from the amount shown in line 33, a sum to reflect the adjustment to tariffs / top-ups in respect of the multiplier cap (See notes for Line 33)</t>
    </r>
  </si>
  <si>
    <t>3. Current total estimate of retail, nursery &amp; local newspaper relief in 2020-21</t>
  </si>
  <si>
    <t>25. Cost of cap on 2014-15, 2015-16 and post-2018-19 and freezing of</t>
  </si>
  <si>
    <t>2021-22 small business rates multipliers</t>
  </si>
  <si>
    <t>36.  Forecast of discretionary relief to be provided in 2021-22 (Sum of lines 28 to 33)</t>
  </si>
  <si>
    <t>Background</t>
  </si>
  <si>
    <t>https://www.gov.uk/government/collections/national-non-domestic-rates-collected-by-councils</t>
  </si>
  <si>
    <t xml:space="preserve">The form is split into 4 separate parts.
</t>
  </si>
  <si>
    <t>Part 1</t>
  </si>
  <si>
    <t>Provides the headline forecast numbers for non-domestic rating income, allowable deductions and disregarded amounts.</t>
  </si>
  <si>
    <t>Part 2</t>
  </si>
  <si>
    <t>Net rates payable by ratepayers after taking account of any reliefs awarded leading to figures for collectible rates and disregarded amounts for the year.</t>
  </si>
  <si>
    <t>Part 3</t>
  </si>
  <si>
    <t>Collectible Rates taking into account of adjustments for bad debts and appeal provisions, Disregarded Amounts and Deductions from Central Share</t>
  </si>
  <si>
    <t>Part 4</t>
  </si>
  <si>
    <t>Definitions</t>
  </si>
  <si>
    <t>Data collection and quality</t>
  </si>
  <si>
    <t>Public Enquiries</t>
  </si>
  <si>
    <t>For enquiries about these data please contact: nndr.statistics@communities.gov.uk</t>
  </si>
  <si>
    <t>Revisions</t>
  </si>
  <si>
    <t>This workbook provides the detailed information on the Business Rates income forecast for 2021-22. Data within this release are used to calculate the schedule of payments under the business rates retention scheme which covers payments for the central share, tariff and top-ups, transitional protection and safety net on account. This data will also feed into forecasts of public finance which are compiled by the Office for Budget Responsibility.</t>
  </si>
  <si>
    <t>Estimated surplus/deficit on collection fund in respect of 2020-21.</t>
  </si>
  <si>
    <t>Part 4a</t>
  </si>
  <si>
    <t>Adjustment to the estimated surplus/deficit for exceptional deficits in 2020-21</t>
  </si>
  <si>
    <t>Definitions are described in the 2021-22 NNDR1 Statistical Release on the Ministry’s website.</t>
  </si>
  <si>
    <r>
      <rPr>
        <b/>
        <sz val="10"/>
        <rFont val="Arial"/>
        <family val="2"/>
      </rPr>
      <t>Next Update</t>
    </r>
    <r>
      <rPr>
        <sz val="10"/>
        <rFont val="Arial"/>
        <family val="2"/>
      </rPr>
      <t>:  February 2022 (2022-23 NNDR1)</t>
    </r>
  </si>
  <si>
    <t>11.  Designated Areas Qualifying Relief</t>
  </si>
  <si>
    <t xml:space="preserve">1.  Net amount receivable from rate payers </t>
  </si>
  <si>
    <t xml:space="preserve">4. Cost of collection </t>
  </si>
  <si>
    <t xml:space="preserve">7. City of London Offset </t>
  </si>
  <si>
    <t xml:space="preserve">9.  Amounts retained in respect of Renewable Energy </t>
  </si>
  <si>
    <t>Fire Authority (if applicable)</t>
  </si>
  <si>
    <t>ONS Code</t>
  </si>
  <si>
    <t>Class</t>
  </si>
  <si>
    <t>Region</t>
  </si>
  <si>
    <t>SD</t>
  </si>
  <si>
    <t>SE</t>
  </si>
  <si>
    <t>E07000223</t>
  </si>
  <si>
    <t>NW</t>
  </si>
  <si>
    <t>E07000026</t>
  </si>
  <si>
    <t>EM</t>
  </si>
  <si>
    <t>E07000032</t>
  </si>
  <si>
    <t>E07000224</t>
  </si>
  <si>
    <t>E07000170</t>
  </si>
  <si>
    <t>E07000105</t>
  </si>
  <si>
    <t>E</t>
  </si>
  <si>
    <t>E07000200</t>
  </si>
  <si>
    <t>OLB</t>
  </si>
  <si>
    <t>L</t>
  </si>
  <si>
    <t>E09000002</t>
  </si>
  <si>
    <t>E09000003</t>
  </si>
  <si>
    <t>Met</t>
  </si>
  <si>
    <t>YH</t>
  </si>
  <si>
    <t>E08000016</t>
  </si>
  <si>
    <t>E07000027</t>
  </si>
  <si>
    <t>E07000066</t>
  </si>
  <si>
    <t>E07000084</t>
  </si>
  <si>
    <t>E07000171</t>
  </si>
  <si>
    <t>SW</t>
  </si>
  <si>
    <t>E06000022</t>
  </si>
  <si>
    <t>E06000055</t>
  </si>
  <si>
    <t>E09000004</t>
  </si>
  <si>
    <t>WM</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</si>
  <si>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</si>
  <si>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</si>
  <si>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</si>
  <si>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</si>
  <si>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</si>
  <si>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</si>
  <si>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</si>
  <si>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</si>
  <si>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</si>
  <si>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</si>
  <si>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</si>
  <si>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</si>
  <si>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</si>
  <si>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</si>
  <si>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</si>
  <si>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</si>
  <si>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</si>
  <si>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</si>
  <si>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</si>
  <si>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</si>
  <si>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</si>
  <si>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Buckinghamshire Council</t>
  </si>
  <si>
    <t xml:space="preserve">Buckinghamshire Council </t>
  </si>
  <si>
    <t>E06000059</t>
  </si>
  <si>
    <t>E07000117</t>
  </si>
  <si>
    <t>E08000002</t>
  </si>
  <si>
    <t>E08000033</t>
  </si>
  <si>
    <t>E07000008</t>
  </si>
  <si>
    <t>ILB</t>
  </si>
  <si>
    <t>E09000007</t>
  </si>
  <si>
    <t>E07000192</t>
  </si>
  <si>
    <t>E07000106</t>
  </si>
  <si>
    <t>E07000028</t>
  </si>
  <si>
    <t>E07000069</t>
  </si>
  <si>
    <t>E06000056</t>
  </si>
  <si>
    <t>E07000130</t>
  </si>
  <si>
    <t>E07000070</t>
  </si>
  <si>
    <t>E07000078</t>
  </si>
  <si>
    <t>E07000177</t>
  </si>
  <si>
    <t>E06000049</t>
  </si>
  <si>
    <t>E06000050</t>
  </si>
  <si>
    <t>E07000034</t>
  </si>
  <si>
    <t>E07000225</t>
  </si>
  <si>
    <t>E07000118</t>
  </si>
  <si>
    <t>E09000001</t>
  </si>
  <si>
    <t>E07000071</t>
  </si>
  <si>
    <t>E07000029</t>
  </si>
  <si>
    <t>E06000052</t>
  </si>
  <si>
    <t>E07000079</t>
  </si>
  <si>
    <t>E08000026</t>
  </si>
  <si>
    <t>E07000163</t>
  </si>
  <si>
    <t>E07000226</t>
  </si>
  <si>
    <t>E09000008</t>
  </si>
  <si>
    <t>E07000096</t>
  </si>
  <si>
    <t>NE</t>
  </si>
  <si>
    <t>E06000005</t>
  </si>
  <si>
    <t>E07000107</t>
  </si>
  <si>
    <t>E06000015</t>
  </si>
  <si>
    <t>E07000035</t>
  </si>
  <si>
    <t>E08000017</t>
  </si>
  <si>
    <t>E07000108</t>
  </si>
  <si>
    <t>E08000027</t>
  </si>
  <si>
    <t>E06000047</t>
  </si>
  <si>
    <t>E09000009</t>
  </si>
  <si>
    <t>E07000009</t>
  </si>
  <si>
    <t>E07000040</t>
  </si>
  <si>
    <t>E07000085</t>
  </si>
  <si>
    <t>E07000242</t>
  </si>
  <si>
    <t>E07000137</t>
  </si>
  <si>
    <t>E06000011</t>
  </si>
  <si>
    <t>E07000193</t>
  </si>
  <si>
    <t>E07000244</t>
  </si>
  <si>
    <t>E07000061</t>
  </si>
  <si>
    <t>E07000086</t>
  </si>
  <si>
    <t>E07000030</t>
  </si>
  <si>
    <t>E07000207</t>
  </si>
  <si>
    <t>E09000010</t>
  </si>
  <si>
    <t>E07000072</t>
  </si>
  <si>
    <t>E07000208</t>
  </si>
  <si>
    <t>E07000036</t>
  </si>
  <si>
    <t>E07000041</t>
  </si>
  <si>
    <t>E07000087</t>
  </si>
  <si>
    <t>E07000010</t>
  </si>
  <si>
    <t>E07000112</t>
  </si>
  <si>
    <t>E07000080</t>
  </si>
  <si>
    <t>E07000119</t>
  </si>
  <si>
    <t>E08000037</t>
  </si>
  <si>
    <t>E07000173</t>
  </si>
  <si>
    <t>E07000081</t>
  </si>
  <si>
    <t>E07000088</t>
  </si>
  <si>
    <t>E07000109</t>
  </si>
  <si>
    <t>E07000145</t>
  </si>
  <si>
    <t>E09000011</t>
  </si>
  <si>
    <t>E07000209</t>
  </si>
  <si>
    <t>E09000012</t>
  </si>
  <si>
    <t>E06000006</t>
  </si>
  <si>
    <t>E07000164</t>
  </si>
  <si>
    <t>E09000013</t>
  </si>
  <si>
    <t>E07000131</t>
  </si>
  <si>
    <t>E09000014</t>
  </si>
  <si>
    <t>E07000073</t>
  </si>
  <si>
    <t>E07000165</t>
  </si>
  <si>
    <t>E09000015</t>
  </si>
  <si>
    <t>E07000089</t>
  </si>
  <si>
    <t>E06000001</t>
  </si>
  <si>
    <t>E07000062</t>
  </si>
  <si>
    <t>E07000090</t>
  </si>
  <si>
    <t>E09000016</t>
  </si>
  <si>
    <t>E06000019</t>
  </si>
  <si>
    <t>E07000098</t>
  </si>
  <si>
    <t>E07000037</t>
  </si>
  <si>
    <t>E09000017</t>
  </si>
  <si>
    <t>E07000132</t>
  </si>
  <si>
    <t>E07000227</t>
  </si>
  <si>
    <t>E09000018</t>
  </si>
  <si>
    <t>E07000011</t>
  </si>
  <si>
    <t>E07000120</t>
  </si>
  <si>
    <t>E07000202</t>
  </si>
  <si>
    <t>E06000046</t>
  </si>
  <si>
    <t>E06000053</t>
  </si>
  <si>
    <t>E09000019</t>
  </si>
  <si>
    <t>E09000020</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</si>
  <si>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</si>
  <si>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</si>
  <si>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</si>
  <si>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</si>
  <si>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</si>
  <si>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</si>
  <si>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</si>
  <si>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</si>
  <si>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</si>
  <si>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</si>
  <si>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</si>
  <si>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</si>
  <si>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</si>
  <si>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</si>
  <si>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</si>
  <si>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</si>
  <si>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</si>
  <si>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</si>
  <si>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</si>
  <si>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</si>
  <si>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</si>
  <si>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</si>
  <si>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E07000187</t>
  </si>
  <si>
    <t>E09000024</t>
  </si>
  <si>
    <t>E07000042</t>
  </si>
  <si>
    <t>E07000203</t>
  </si>
  <si>
    <t>E07000228</t>
  </si>
  <si>
    <t>E06000002</t>
  </si>
  <si>
    <t>E06000042</t>
  </si>
  <si>
    <t>E07000210</t>
  </si>
  <si>
    <t>E07000091</t>
  </si>
  <si>
    <t>E07000175</t>
  </si>
  <si>
    <t>E08000021</t>
  </si>
  <si>
    <t>E07000195</t>
  </si>
  <si>
    <t>E09000025</t>
  </si>
  <si>
    <t>E07000043</t>
  </si>
  <si>
    <t>E07000038</t>
  </si>
  <si>
    <t>E06000012</t>
  </si>
  <si>
    <t>E07000099</t>
  </si>
  <si>
    <t>E07000139</t>
  </si>
  <si>
    <t>E06000013</t>
  </si>
  <si>
    <t>E07000147</t>
  </si>
  <si>
    <t>E06000024</t>
  </si>
  <si>
    <t>E08000022</t>
  </si>
  <si>
    <t>E07000218</t>
  </si>
  <si>
    <t>E07000134</t>
  </si>
  <si>
    <t>E06000057</t>
  </si>
  <si>
    <t>E07000148</t>
  </si>
  <si>
    <t>E06000018</t>
  </si>
  <si>
    <t>E07000219</t>
  </si>
  <si>
    <t>E07000135</t>
  </si>
  <si>
    <t>E08000004</t>
  </si>
  <si>
    <t>E07000178</t>
  </si>
  <si>
    <t>E07000122</t>
  </si>
  <si>
    <t>E06000031</t>
  </si>
  <si>
    <t>E06000026</t>
  </si>
  <si>
    <t>E06000044</t>
  </si>
  <si>
    <t>E07000123</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</si>
  <si>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</si>
  <si>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</si>
  <si>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</si>
  <si>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</si>
  <si>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</si>
  <si>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</si>
  <si>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</si>
  <si>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</si>
  <si>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</si>
  <si>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</si>
  <si>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</si>
  <si>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</si>
  <si>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</si>
  <si>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</si>
  <si>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</si>
  <si>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</si>
  <si>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</si>
  <si>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</si>
  <si>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</si>
  <si>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</si>
  <si>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</si>
  <si>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</si>
  <si>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</si>
  <si>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</si>
  <si>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</si>
  <si>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</si>
  <si>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</si>
  <si>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E06000051</t>
  </si>
  <si>
    <t>E06000039</t>
  </si>
  <si>
    <t>E08000029</t>
  </si>
  <si>
    <t>E07000246</t>
  </si>
  <si>
    <t>E07000012</t>
  </si>
  <si>
    <t>E07000039</t>
  </si>
  <si>
    <t>E06000025</t>
  </si>
  <si>
    <t>E07000044</t>
  </si>
  <si>
    <t>E07000140</t>
  </si>
  <si>
    <t>E07000141</t>
  </si>
  <si>
    <t>E07000031</t>
  </si>
  <si>
    <t>E07000149</t>
  </si>
  <si>
    <t>E07000179</t>
  </si>
  <si>
    <t>E07000126</t>
  </si>
  <si>
    <t>E07000189</t>
  </si>
  <si>
    <t>E07000196</t>
  </si>
  <si>
    <t>E08000023</t>
  </si>
  <si>
    <t>E06000045</t>
  </si>
  <si>
    <t>E06000033</t>
  </si>
  <si>
    <t>E09000028</t>
  </si>
  <si>
    <t>E07000213</t>
  </si>
  <si>
    <t>E07000240</t>
  </si>
  <si>
    <t>E08000013</t>
  </si>
  <si>
    <t>E07000197</t>
  </si>
  <si>
    <t>E07000198</t>
  </si>
  <si>
    <t>E07000243</t>
  </si>
  <si>
    <t>E08000007</t>
  </si>
  <si>
    <t>E06000004</t>
  </si>
  <si>
    <t>E06000021</t>
  </si>
  <si>
    <t>E07000221</t>
  </si>
  <si>
    <t>E07000082</t>
  </si>
  <si>
    <t>E08000024</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</si>
  <si>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</si>
  <si>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</si>
  <si>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</si>
  <si>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</si>
  <si>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</si>
  <si>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</si>
  <si>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</si>
  <si>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</si>
  <si>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</si>
  <si>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</si>
  <si>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</si>
  <si>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</si>
  <si>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</si>
  <si>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</si>
  <si>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</si>
  <si>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</si>
  <si>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</si>
  <si>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</si>
  <si>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</si>
  <si>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</si>
  <si>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</si>
  <si>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</si>
  <si>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</si>
  <si>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</si>
  <si>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</si>
  <si>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</si>
  <si>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</si>
  <si>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</si>
  <si>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</si>
  <si>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</si>
  <si>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E07000216</t>
  </si>
  <si>
    <t>E07000065</t>
  </si>
  <si>
    <t>E07000241</t>
  </si>
  <si>
    <t>E06000037</t>
  </si>
  <si>
    <t>E07000047</t>
  </si>
  <si>
    <t>E07000127</t>
  </si>
  <si>
    <t>E07000142</t>
  </si>
  <si>
    <t>E07000181</t>
  </si>
  <si>
    <t>E07000245</t>
  </si>
  <si>
    <t>E09000033</t>
  </si>
  <si>
    <t>E08000010</t>
  </si>
  <si>
    <t>E06000054</t>
  </si>
  <si>
    <t>E07000094</t>
  </si>
  <si>
    <t>E06000040</t>
  </si>
  <si>
    <t>E08000015</t>
  </si>
  <si>
    <t>E07000217</t>
  </si>
  <si>
    <t>E06000041</t>
  </si>
  <si>
    <t>E08000031</t>
  </si>
  <si>
    <t>E07000237</t>
  </si>
  <si>
    <t>E07000229</t>
  </si>
  <si>
    <t>E07000238</t>
  </si>
  <si>
    <t>E07000128</t>
  </si>
  <si>
    <t>E07000239</t>
  </si>
  <si>
    <t>E06000014</t>
  </si>
  <si>
    <t>Billing Authority</t>
  </si>
  <si>
    <t>County/GLA</t>
  </si>
  <si>
    <t>England</t>
  </si>
  <si>
    <t>12. % of non-domestic rating income</t>
  </si>
  <si>
    <t>14. (less) deductions from central share</t>
  </si>
  <si>
    <t>15. Total Non-domestic rating income from rates retention scheme</t>
  </si>
  <si>
    <t>19. add: amounts retained in respect of shale gas schemes</t>
  </si>
  <si>
    <t>23.  Estimated Surplus/Deficit at end of 2020-21</t>
  </si>
  <si>
    <t>25. Cost of cap on small business rates multiplier</t>
  </si>
  <si>
    <t>26. Cost of temporary doubling SBRR and threshold changes</t>
  </si>
  <si>
    <t>26a. Additional compensation for loss of supplementary multiplier income</t>
  </si>
  <si>
    <t>29 Cost to authorities of providing Supporting Small Business relief</t>
  </si>
  <si>
    <t>30. Amount of Designated Areas qualifying relief in 100% pilot areas</t>
  </si>
  <si>
    <t xml:space="preserve">31. Cost of providing Telecomms relief </t>
  </si>
  <si>
    <t>32 Cost to authorities of providing Local newspaper relief</t>
  </si>
  <si>
    <t xml:space="preserve">33.  Amount of Section 31 grant </t>
  </si>
  <si>
    <t xml:space="preserve">10.  Amounts retained in respect of Shale Gas </t>
  </si>
  <si>
    <t>11. Line 1 plus line 2, minus lines 3, 6 - 9 and 12</t>
  </si>
  <si>
    <t>E06000061</t>
  </si>
  <si>
    <t>E06000062</t>
  </si>
  <si>
    <t>1. Total rateable value</t>
  </si>
  <si>
    <t>2. Small Business Rate Multiplier</t>
  </si>
  <si>
    <t>3. Gross rates 2020-21</t>
  </si>
  <si>
    <t>4. Estimated growth/decline in gross rates</t>
  </si>
  <si>
    <t xml:space="preserve">6. Revenue foregone because increases in rates have been deferred </t>
  </si>
  <si>
    <t xml:space="preserve">7. Additional income received because reductions in rates have been deferred </t>
  </si>
  <si>
    <t>8. Net cost of transitional arrangements</t>
  </si>
  <si>
    <t>9. Changes as a result of estimated growth/decline in transitional relief</t>
  </si>
  <si>
    <t>11. TPP : Sum due to/(from) authority</t>
  </si>
  <si>
    <t>12. SBRR : Relief to be provided in 2020-21</t>
  </si>
  <si>
    <t>13. SBRR : relief on existing properties where a 2nd property is occupied</t>
  </si>
  <si>
    <t>14. SBRR : Additional yield from the supplement</t>
  </si>
  <si>
    <t>15. SBRR : Net cost of SBRR</t>
  </si>
  <si>
    <t>16. Mandatory - Charity : relief to be provided in 2020-21</t>
  </si>
  <si>
    <t>17. Mandatory - CASCs : relief to be provided in 2020-21</t>
  </si>
  <si>
    <t>18. Mandatory - Rural rates : relief to be provided in 2020-21</t>
  </si>
  <si>
    <t>19. Mandatory - Telecomms : relief to be provided in 2020-21</t>
  </si>
  <si>
    <t>20. Mandatory - reliefs to be provided in 2020-21</t>
  </si>
  <si>
    <t>21. Mandatory - changes as a result of estimated growth/decline in relief</t>
  </si>
  <si>
    <t>22. Mandatory - Total forecast reliefs to be provided in 2020-21</t>
  </si>
  <si>
    <t>23. Partially occupied : relief to be provided in 2020-21</t>
  </si>
  <si>
    <t>24. Empty premises : relief to be provided in 2020-21</t>
  </si>
  <si>
    <t>25. Unoccupied property relief to be provided in 2020-21</t>
  </si>
  <si>
    <t>26. Changes as a result of estimated growth/decline in unoccupied property relief</t>
  </si>
  <si>
    <t>27. Total forecast unoccupied property relief to be provided in 2020-21</t>
  </si>
  <si>
    <t>28. Discretionary - Charity : relief to be provided in 2020-21</t>
  </si>
  <si>
    <t>29. Discretionary - non-profit making bodies : relief to be provided in 2020-21</t>
  </si>
  <si>
    <t>30. Discretionary - CASCs : relief to be provided in 2020-21</t>
  </si>
  <si>
    <t>31. Discretionary - rural shops : relief to be provided in 2020-21</t>
  </si>
  <si>
    <t>32. Discretionary small rural businesses : relief to be provided in 2020-21</t>
  </si>
  <si>
    <t>33. Discretionary - other reliefs : relief to be provided in 2020-21</t>
  </si>
  <si>
    <t>34. Case A hereditament relief</t>
  </si>
  <si>
    <t>35. Case B hereditament relief</t>
  </si>
  <si>
    <t>36. Discretionary - Relief to be provided in 2020-21</t>
  </si>
  <si>
    <t>37. Discretionary - changes as a result of estimated growth/decline in relief</t>
  </si>
  <si>
    <t>38. Discretionary - Total forecast relief to be provided in 2020-21</t>
  </si>
  <si>
    <t>39. S31 grants - rural rate relief: relief to be provided in 2020-21</t>
  </si>
  <si>
    <t>40. S31 grants - supporting small businesses: relief to be provided in 2020-21</t>
  </si>
  <si>
    <t>41. S31 grants -Local newspaper: relief to be provided in 2020-21</t>
  </si>
  <si>
    <t>42. S31 grants - discretionary reliefs funded through S31 grant to be provided in 2020-21</t>
  </si>
  <si>
    <t>43. S31 grants - Changes as a result of estimated growth/decline</t>
  </si>
  <si>
    <t>44. S31 grants - Total forecast of discretionary reliefs funded through S31 grant to be provided in 2020-21</t>
  </si>
  <si>
    <t>45. Net rates payable</t>
  </si>
  <si>
    <t>1. Net rates payable</t>
  </si>
  <si>
    <t>2. Losses : bad debts in respect of 2020-21</t>
  </si>
  <si>
    <t>3. Losses : repayments in respect of 2020-21</t>
  </si>
  <si>
    <t>4. Collectible rates</t>
  </si>
  <si>
    <t>5. Disregarded amount : Renewable Energy</t>
  </si>
  <si>
    <t>6. Disregarded amount : Shale Gas</t>
  </si>
  <si>
    <t xml:space="preserve">12. Port of Bristol </t>
  </si>
  <si>
    <t>13. Total Deduction from Central Share</t>
  </si>
  <si>
    <t>Estimated bad debts in respect of 2017-18 rates payable</t>
  </si>
  <si>
    <t xml:space="preserve">Estimated repayments in respect of 2017-18 rates payable </t>
  </si>
  <si>
    <t>Shale Gas</t>
  </si>
  <si>
    <t>E0402EZ1</t>
  </si>
  <si>
    <t>E0402EZ2</t>
  </si>
  <si>
    <t>E0402EZ3</t>
  </si>
  <si>
    <t>E5031EZ1</t>
  </si>
  <si>
    <t>E4401EZ1</t>
  </si>
  <si>
    <t>E1731EZ1</t>
  </si>
  <si>
    <t>E0101EZ1</t>
  </si>
  <si>
    <t>E0101EZ2</t>
  </si>
  <si>
    <t>E0101EZ3</t>
  </si>
  <si>
    <t>E0101EZ4</t>
  </si>
  <si>
    <t>E4601EZ1</t>
  </si>
  <si>
    <t>E4601EZ2</t>
  </si>
  <si>
    <t>E2302EZ1</t>
  </si>
  <si>
    <t>E4701EZ1</t>
  </si>
  <si>
    <t>E4701EZ2</t>
  </si>
  <si>
    <t>E4701EZ3</t>
  </si>
  <si>
    <t>E0102EZ1</t>
  </si>
  <si>
    <t>E0102EZ2</t>
  </si>
  <si>
    <t>E0102EZ3</t>
  </si>
  <si>
    <t>E3033EZ1</t>
  </si>
  <si>
    <t>E4702EZ1</t>
  </si>
  <si>
    <t>E0933EZ1</t>
  </si>
  <si>
    <t>E2432EZ1</t>
  </si>
  <si>
    <t>E2432EZ2</t>
  </si>
  <si>
    <t>E0603EZ1</t>
  </si>
  <si>
    <t>E0604EZ1</t>
  </si>
  <si>
    <t>E0604EZ2</t>
  </si>
  <si>
    <t>E0604EZ3</t>
  </si>
  <si>
    <t>E0604EZ4</t>
  </si>
  <si>
    <t>E0604EZ5</t>
  </si>
  <si>
    <t>E0604EZ6</t>
  </si>
  <si>
    <t>E0604EZ7</t>
  </si>
  <si>
    <t>E0604EZ8</t>
  </si>
  <si>
    <t>E0604EZ9</t>
  </si>
  <si>
    <t>E0604EZ10</t>
  </si>
  <si>
    <t>E1033EZ1</t>
  </si>
  <si>
    <t>E0801EZ1</t>
  </si>
  <si>
    <t>E0801EZ2</t>
  </si>
  <si>
    <t>E0801EZ3</t>
  </si>
  <si>
    <t>E0801EZ4</t>
  </si>
  <si>
    <t>E0801EZ5</t>
  </si>
  <si>
    <t>E5035EZ1</t>
  </si>
  <si>
    <t>E1932EZ1</t>
  </si>
  <si>
    <t>E1932EZ2</t>
  </si>
  <si>
    <t>E1932EZ3</t>
  </si>
  <si>
    <t>E1932EZ4</t>
  </si>
  <si>
    <t>E1301EZ1</t>
  </si>
  <si>
    <t>E2233EZ1</t>
  </si>
  <si>
    <t>E1001EZ1</t>
  </si>
  <si>
    <t>E1001EZ2</t>
  </si>
  <si>
    <t>E4603EZ1</t>
  </si>
  <si>
    <t>E4603EZ2</t>
  </si>
  <si>
    <t>E4603EZ3</t>
  </si>
  <si>
    <t>E4603EZ4</t>
  </si>
  <si>
    <t>E4603EZ5</t>
  </si>
  <si>
    <t>E4603EZ6</t>
  </si>
  <si>
    <t>E1302EZ1</t>
  </si>
  <si>
    <t>E0532EZ1</t>
  </si>
  <si>
    <t>E1131EZ1</t>
  </si>
  <si>
    <t>E1131EZ2</t>
  </si>
  <si>
    <t>E1131EZ3</t>
  </si>
  <si>
    <t>E1131EZ4</t>
  </si>
  <si>
    <t>E1732EZ1</t>
  </si>
  <si>
    <t>E2001EZ1</t>
  </si>
  <si>
    <t>E2001EZ2</t>
  </si>
  <si>
    <t>E2001EZ3</t>
  </si>
  <si>
    <t>E2001EZ4</t>
  </si>
  <si>
    <t>E2001EZ5</t>
  </si>
  <si>
    <t>E2001EZ6</t>
  </si>
  <si>
    <t>E2001EZ7</t>
  </si>
  <si>
    <t>E1734EZ1</t>
  </si>
  <si>
    <t>E2335EZ1</t>
  </si>
  <si>
    <t>E2335EZ2</t>
  </si>
  <si>
    <t>E4501EZ1</t>
  </si>
  <si>
    <t>E4501EZ2</t>
  </si>
  <si>
    <t>E1735EZ1</t>
  </si>
  <si>
    <t>E2236EZ1</t>
  </si>
  <si>
    <t>E2236EZ2</t>
  </si>
  <si>
    <t>E2236EZ3</t>
  </si>
  <si>
    <t>E2633EZ1</t>
  </si>
  <si>
    <t>E2633EZ2</t>
  </si>
  <si>
    <t>E2633EZ3</t>
  </si>
  <si>
    <t>E2633EZ4</t>
  </si>
  <si>
    <t>E2633EZ5</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</si>
  <si>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</si>
  <si>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</si>
  <si>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</si>
  <si>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</si>
  <si>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</si>
  <si>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</si>
  <si>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</si>
  <si>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</si>
  <si>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</si>
  <si>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</si>
  <si>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</si>
  <si>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</si>
  <si>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</si>
  <si>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</si>
  <si>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</si>
  <si>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</si>
  <si>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</si>
  <si>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</si>
  <si>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</si>
  <si>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</si>
  <si>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</si>
  <si>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</si>
  <si>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</si>
  <si>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</si>
  <si>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</si>
  <si>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</si>
  <si>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</si>
  <si>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</si>
  <si>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</si>
  <si>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</si>
  <si>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</si>
  <si>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</si>
  <si>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</si>
  <si>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E4703EZ1</t>
  </si>
  <si>
    <t>E4703EZ2</t>
  </si>
  <si>
    <t>E4703EZ3</t>
  </si>
  <si>
    <t>E5017EZ1</t>
  </si>
  <si>
    <t>E4704EZ1</t>
  </si>
  <si>
    <t>E2401EZ1</t>
  </si>
  <si>
    <t>E1435EZ1</t>
  </si>
  <si>
    <t>E1435EZ2</t>
  </si>
  <si>
    <t>E1435EZ3</t>
  </si>
  <si>
    <t>E1435EZ4</t>
  </si>
  <si>
    <t>E1435EZ5</t>
  </si>
  <si>
    <t>E1435EZ6</t>
  </si>
  <si>
    <t>E1435EZ7</t>
  </si>
  <si>
    <t>E1435EZ8</t>
  </si>
  <si>
    <t>E4302EZ1</t>
  </si>
  <si>
    <t>E4302EZ2</t>
  </si>
  <si>
    <t>E0201EZ1</t>
  </si>
  <si>
    <t>E2237EZ1</t>
  </si>
  <si>
    <t>E4203EZ1</t>
  </si>
  <si>
    <t>E4203EZ2</t>
  </si>
  <si>
    <t>E4203EZ3</t>
  </si>
  <si>
    <t>E4203EZ4</t>
  </si>
  <si>
    <t>E2201EZ1</t>
  </si>
  <si>
    <t>E3531EZ1</t>
  </si>
  <si>
    <t>E3534EZ1</t>
  </si>
  <si>
    <t>E0702EZ1</t>
  </si>
  <si>
    <t>E0702EZ2</t>
  </si>
  <si>
    <t>E4502EZ1</t>
  </si>
  <si>
    <t>E4502EZ2</t>
  </si>
  <si>
    <t>E4502EZ3</t>
  </si>
  <si>
    <t>E4502EZ4</t>
  </si>
  <si>
    <t>E3434EZ1</t>
  </si>
  <si>
    <t>E5045EZ1</t>
  </si>
  <si>
    <t>E2003EZ1</t>
  </si>
  <si>
    <t>E2003EZ2</t>
  </si>
  <si>
    <t>E2003EZ3</t>
  </si>
  <si>
    <t>E2003EZ4</t>
  </si>
  <si>
    <t>E2003EZ5</t>
  </si>
  <si>
    <t>E2003EZ6</t>
  </si>
  <si>
    <t>E2003EZ7</t>
  </si>
  <si>
    <t>E2003EZ8</t>
  </si>
  <si>
    <t>E2004EZ1</t>
  </si>
  <si>
    <t>E2004EZ2</t>
  </si>
  <si>
    <t>E2635EZ1</t>
  </si>
  <si>
    <t>E2635EZ2</t>
  </si>
  <si>
    <t>E0104EZ1</t>
  </si>
  <si>
    <t>E4503EZ1</t>
  </si>
  <si>
    <t>E2901EZ1</t>
  </si>
  <si>
    <t>E2901EZ2</t>
  </si>
  <si>
    <t>E2901EZ3</t>
  </si>
  <si>
    <t>E2901EZ4</t>
  </si>
  <si>
    <t>E3001EZ1</t>
  </si>
  <si>
    <t>E3001EZ2</t>
  </si>
  <si>
    <t>E1101EZ1</t>
  </si>
  <si>
    <t>E1203EZ1</t>
  </si>
  <si>
    <t>E0703EZ1</t>
  </si>
  <si>
    <t>E2340EZ1</t>
  </si>
  <si>
    <t>E4403EZ1</t>
  </si>
  <si>
    <t>E3636EZ1</t>
  </si>
  <si>
    <t>E3332EZ1</t>
  </si>
  <si>
    <t>E4404EZ1</t>
  </si>
  <si>
    <t>E4404EZ2</t>
  </si>
  <si>
    <t>E0536EZ1</t>
  </si>
  <si>
    <t>E0536EZ2</t>
  </si>
  <si>
    <t>E0536EZ3</t>
  </si>
  <si>
    <t>E0103EZ1</t>
  </si>
  <si>
    <t>E2637EZ1</t>
  </si>
  <si>
    <t>E3133EZ1</t>
  </si>
  <si>
    <t>E3133EZ2</t>
  </si>
  <si>
    <t>E3133EZ3</t>
  </si>
  <si>
    <t>E3133EZ4</t>
  </si>
  <si>
    <t>E2342EZ1</t>
  </si>
  <si>
    <t>E3435EZ1</t>
  </si>
  <si>
    <t>E4504EZ1</t>
  </si>
  <si>
    <t>E4504EZ2</t>
  </si>
  <si>
    <t>E1936EZ1</t>
  </si>
  <si>
    <t>E1936EZ2</t>
  </si>
  <si>
    <t>E1936EZ3</t>
  </si>
  <si>
    <t>E3539EZ1</t>
  </si>
  <si>
    <t>E3539EZ2</t>
  </si>
  <si>
    <t>E4207EZ1</t>
  </si>
  <si>
    <t>E0704EZ1</t>
  </si>
  <si>
    <t>E0704EZ2</t>
  </si>
  <si>
    <t>E3401EZ1</t>
  </si>
  <si>
    <t>E3401EZ2</t>
  </si>
  <si>
    <t>E3401EZ3</t>
  </si>
  <si>
    <t>E3401EZ4</t>
  </si>
  <si>
    <t>E3401EZ5</t>
  </si>
  <si>
    <t>E4505EZ1</t>
  </si>
  <si>
    <t>E4505EZ2</t>
  </si>
  <si>
    <t>E4505EZ3</t>
  </si>
  <si>
    <t>E2243EZ1</t>
  </si>
  <si>
    <t>E3134EZ1</t>
  </si>
  <si>
    <t>E3134EZ2</t>
  </si>
  <si>
    <t>E3134EZ3</t>
  </si>
  <si>
    <t>E3134EZ4</t>
  </si>
  <si>
    <t>E3134EZ5</t>
  </si>
  <si>
    <t>E3134EZ6</t>
  </si>
  <si>
    <t>E3134EZ7</t>
  </si>
  <si>
    <t>E3134EZ8</t>
  </si>
  <si>
    <t>E3134EZ9</t>
  </si>
  <si>
    <t>E3134EZ10</t>
  </si>
  <si>
    <t>E3134EZ11</t>
  </si>
  <si>
    <t>E4705EZ1</t>
  </si>
  <si>
    <t>E4705EZ2</t>
  </si>
  <si>
    <t>E4606EZ1</t>
  </si>
  <si>
    <t>E5021EZ1</t>
  </si>
  <si>
    <t>E0602EZ1</t>
  </si>
  <si>
    <t>E3538EZ1</t>
  </si>
  <si>
    <t>E3538EZ2</t>
  </si>
  <si>
    <t>E3538EZ3</t>
  </si>
  <si>
    <t>E4305EZ1</t>
  </si>
  <si>
    <t>E4305EZ2</t>
  </si>
  <si>
    <t>E4607EZ1</t>
  </si>
  <si>
    <t>E2344EZ1</t>
  </si>
  <si>
    <t>E2701EZ1</t>
  </si>
  <si>
    <t>E0703EZ2</t>
  </si>
  <si>
    <t>E2802EZ1</t>
  </si>
  <si>
    <t>1. Opening Balance from Collection Fund Statement</t>
  </si>
  <si>
    <t xml:space="preserve">5. Amounts charged against the provision for appeals following RV list changes </t>
  </si>
  <si>
    <t>6. Changes to the provision for appeals</t>
  </si>
  <si>
    <t>7. Total business rates credits and charges</t>
  </si>
  <si>
    <t>8. Transitional protection payments received, or to be received in 2019-20</t>
  </si>
  <si>
    <t xml:space="preserve">9. Transfers/payments to the Collection Fund for end-year reconciliations </t>
  </si>
  <si>
    <t>11. Total Other Credits</t>
  </si>
  <si>
    <t>12. Transitional protection payments made, or to be made, in 2019-20</t>
  </si>
  <si>
    <t>13. Payments to the SoS in respect of the central share in 2019-20</t>
  </si>
  <si>
    <t>14. Payments to major precepting authorities in respect of income in 2019-20</t>
  </si>
  <si>
    <t>15. Transfers to the billing authority's General Fund in respect of income in 2019-20</t>
  </si>
  <si>
    <t>16. Transfers to the billing authority's General Fund in respect of disregarded amounts in 2019-20</t>
  </si>
  <si>
    <t xml:space="preserve">19. Total Other Charges </t>
  </si>
  <si>
    <t>20. Adjustment for 3 year spread</t>
  </si>
  <si>
    <t>21. Estimated surplus/deficit opening balance plus total credits in respect of financial year 2019-20</t>
  </si>
  <si>
    <t xml:space="preserve">1. Estimated surplus/deficit for 2020-21 excluding adjustment for 3 year spend </t>
  </si>
  <si>
    <t>2. Prior year surplus/deficit</t>
  </si>
  <si>
    <t>4. NNDR1 2020-21 estimate of retail discount relief</t>
  </si>
  <si>
    <t>5. Compensation due to retail, nursery &amp; local newspaper relief</t>
  </si>
  <si>
    <t>6. Exceptional balance</t>
  </si>
  <si>
    <t>8. Surplus/deficit to be apportioned</t>
  </si>
  <si>
    <t>Data from Part 2</t>
  </si>
  <si>
    <t>Data from Part 1</t>
  </si>
  <si>
    <t>Data from Part 3</t>
  </si>
  <si>
    <t xml:space="preserve">7. Disregarded amount : Transitional Protection Payment </t>
  </si>
  <si>
    <t xml:space="preserve">8. Disregarded amount : Baseline </t>
  </si>
  <si>
    <t>9. Disregarded Amount : Total</t>
  </si>
  <si>
    <t>10. Designated Areas Qualifying Relief - 100% Pilots</t>
  </si>
  <si>
    <t>11. Designated Areas Qualifying Relief -  Non 100% Pilot Areas</t>
  </si>
  <si>
    <t>Of which</t>
  </si>
  <si>
    <t xml:space="preserve">Data is collected through the NNDR1 form submitted by the 309 local authorities in England that will exist from 1 April 2021. Figures are subjected to rigorous pre-defined validation tests both within the form itself, while the form is being completed by the authority and also by MHCLG as the data are received and stored.  </t>
  </si>
  <si>
    <t>The original release of this data covered only 305 of the authorities. All 309 are now included in this release.</t>
  </si>
  <si>
    <r>
      <t>Carlisle</t>
    </r>
    <r>
      <rPr>
        <vertAlign val="superscript"/>
        <sz val="10"/>
        <rFont val="Arial"/>
        <family val="2"/>
      </rPr>
      <t>(R)</t>
    </r>
  </si>
  <si>
    <r>
      <t>Derby UA</t>
    </r>
    <r>
      <rPr>
        <vertAlign val="superscript"/>
        <sz val="10"/>
        <rFont val="Arial"/>
        <family val="2"/>
      </rPr>
      <t>(R)</t>
    </r>
  </si>
  <si>
    <r>
      <t>Mole Valley</t>
    </r>
    <r>
      <rPr>
        <vertAlign val="superscript"/>
        <sz val="10"/>
        <rFont val="Arial"/>
        <family val="2"/>
      </rPr>
      <t>(R)</t>
    </r>
  </si>
  <si>
    <r>
      <t>Windsor and Maidenhead UA</t>
    </r>
    <r>
      <rPr>
        <vertAlign val="superscript"/>
        <sz val="10"/>
        <rFont val="Arial"/>
        <family val="2"/>
      </rPr>
      <t>(R)</t>
    </r>
  </si>
  <si>
    <r>
      <t>Central Bedfordshire UA</t>
    </r>
    <r>
      <rPr>
        <vertAlign val="superscript"/>
        <sz val="10"/>
        <rFont val="Arial"/>
        <family val="2"/>
      </rPr>
      <t>(R)</t>
    </r>
  </si>
  <si>
    <r>
      <t>Eden</t>
    </r>
    <r>
      <rPr>
        <vertAlign val="superscript"/>
        <sz val="10"/>
        <rFont val="Arial"/>
        <family val="2"/>
      </rPr>
      <t>(R)</t>
    </r>
  </si>
  <si>
    <r>
      <t>Runnymede</t>
    </r>
    <r>
      <rPr>
        <vertAlign val="superscript"/>
        <sz val="10"/>
        <rFont val="Arial"/>
        <family val="2"/>
      </rPr>
      <t>(R)</t>
    </r>
  </si>
  <si>
    <r>
      <rPr>
        <b/>
        <vertAlign val="superscript"/>
        <sz val="10"/>
        <rFont val="Arial"/>
        <family val="2"/>
      </rPr>
      <t>(R)</t>
    </r>
    <r>
      <rPr>
        <b/>
        <sz val="10"/>
        <rFont val="Arial"/>
        <family val="2"/>
      </rPr>
      <t xml:space="preserve"> - Revised data since the original release</t>
    </r>
  </si>
  <si>
    <r>
      <t>Ashfield</t>
    </r>
    <r>
      <rPr>
        <vertAlign val="superscript"/>
        <sz val="10"/>
        <rFont val="Arial"/>
        <family val="2"/>
      </rPr>
      <t>(R)</t>
    </r>
  </si>
  <si>
    <r>
      <t>Medway UA</t>
    </r>
    <r>
      <rPr>
        <vertAlign val="superscript"/>
        <sz val="10"/>
        <rFont val="Arial"/>
        <family val="2"/>
      </rPr>
      <t>(R)</t>
    </r>
  </si>
  <si>
    <t>1/18/2021</t>
  </si>
  <si>
    <t>1/27/2021</t>
  </si>
  <si>
    <t>12/31/2020</t>
  </si>
  <si>
    <t>1/1/2021</t>
  </si>
  <si>
    <t>1/14/2021</t>
  </si>
  <si>
    <t>1/4/2021</t>
  </si>
  <si>
    <t>12/30/2020</t>
  </si>
  <si>
    <t>1/25/2021</t>
  </si>
  <si>
    <t>1/11/2021</t>
  </si>
  <si>
    <t>1/6/2021</t>
  </si>
  <si>
    <t>12/19/2020</t>
  </si>
  <si>
    <t>12/18/2020</t>
  </si>
  <si>
    <t>1/10/2021</t>
  </si>
  <si>
    <t>12/20/2020</t>
  </si>
  <si>
    <t>12/23/2020</t>
  </si>
  <si>
    <t>1/2/2021</t>
  </si>
  <si>
    <t>1/21/2021</t>
  </si>
  <si>
    <t>1/15/2021</t>
  </si>
  <si>
    <t>1/20/2021</t>
  </si>
  <si>
    <t>1/16/2021</t>
  </si>
  <si>
    <t>1/24/2021</t>
  </si>
  <si>
    <t>1/13/2021</t>
  </si>
  <si>
    <t>1/17/2021</t>
  </si>
  <si>
    <t>1/8/2021</t>
  </si>
  <si>
    <t>1/23/2021</t>
  </si>
  <si>
    <t>12/27/2020</t>
  </si>
  <si>
    <t>12/22/2020</t>
  </si>
  <si>
    <t>1/29/2021</t>
  </si>
  <si>
    <t>1/9/2021</t>
  </si>
  <si>
    <t>1/28/2021</t>
  </si>
  <si>
    <t>1/3/2021</t>
  </si>
  <si>
    <t>1/12/2021</t>
  </si>
  <si>
    <t>1/22/2021</t>
  </si>
  <si>
    <t>1/19/2021</t>
  </si>
  <si>
    <t>1/26/2021</t>
  </si>
  <si>
    <t>1/7/2021</t>
  </si>
  <si>
    <t>1/31/2021</t>
  </si>
  <si>
    <t>12/24/2020</t>
  </si>
  <si>
    <t>10/1/2021</t>
  </si>
  <si>
    <t xml:space="preserve">Data from this workbook have been used to compile the National Statistics release "National non-domestic rates collected by local authorities in England 2021-22 (revised)" which was published on 3 March 2021. This is available on the Department’s website at </t>
  </si>
  <si>
    <t>Essex Police, Fire &amp; Crime Commissioner</t>
  </si>
  <si>
    <t>Hampshire and Isle of Wight Fire and Rescue</t>
  </si>
  <si>
    <t>Greater Manchester Combined Authority</t>
  </si>
  <si>
    <t>Dorset &amp; Wiltshire Fire &amp; Rescue Authority</t>
  </si>
  <si>
    <t>Staffordshire Police, Fire and Rescue and Crime Commissioner</t>
  </si>
  <si>
    <t>West of England CA</t>
  </si>
  <si>
    <r>
      <t>Bromley</t>
    </r>
    <r>
      <rPr>
        <vertAlign val="superscript"/>
        <sz val="10"/>
        <rFont val="Arial"/>
        <family val="2"/>
      </rPr>
      <t>(R)</t>
    </r>
  </si>
  <si>
    <t>Hampshire and Isle of Wight FRA</t>
  </si>
  <si>
    <r>
      <t>East Hampshire</t>
    </r>
    <r>
      <rPr>
        <vertAlign val="superscript"/>
        <sz val="10"/>
        <rFont val="Arial"/>
        <family val="2"/>
      </rPr>
      <t>(R)</t>
    </r>
  </si>
  <si>
    <r>
      <t>Havant</t>
    </r>
    <r>
      <rPr>
        <vertAlign val="superscript"/>
        <sz val="10"/>
        <rFont val="Arial"/>
        <family val="2"/>
      </rPr>
      <t>(R)</t>
    </r>
  </si>
  <si>
    <t>Essex Fire Authority</t>
  </si>
  <si>
    <r>
      <t>Thurrock UA</t>
    </r>
    <r>
      <rPr>
        <vertAlign val="superscript"/>
        <sz val="10"/>
        <rFont val="Arial"/>
        <family val="2"/>
      </rPr>
      <t>(R)</t>
    </r>
  </si>
  <si>
    <t>This revised table, published on 17 March 2021, includes data for Carlisle, Derby, Mole Valley, and Windsor and Maidenhead which had been missing from the original publication on the 17 February. It also contains some minor revisions to the data submitted by Ashfield, Bromley, Central Befordshire, East Hampshire, Eden, Havant, Medway, Runnymede, and Thurrock.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</si>
</sst>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quot;£&quot;* #,##0.00_-;_-&quot;£&quot;* &quot;-&quot;??_-;_-@_-"/>
    <numFmt numFmtId="43" formatCode="_-* #,##0.00_-;\-* #,##0.00_-;_-* &quot;-&quot;??_-;_-@_-"/>
    <numFmt numFmtId="164" formatCode="_(* #,##0.00_);_(* \(#,##0.00\);_(* &quot;-&quot;??_);_(@_)"/>
    <numFmt numFmtId="165" formatCode="#,##0.000"/>
    <numFmt numFmtId="166" formatCode="#,##0.000000000000"/>
    <numFmt numFmtId="167" formatCode="#,##0.000000000000000"/>
    <numFmt numFmtId="168" formatCode="0.0"/>
    <numFmt numFmtId="169" formatCode="#,##0.0"/>
    <numFmt numFmtId="170" formatCode="0000"/>
    <numFmt numFmtId="171" formatCode="dd/mm/yy;@"/>
    <numFmt numFmtId="172" formatCode="0_)"/>
    <numFmt numFmtId="173" formatCode="_(* #,##0_);_(* \(#,##0\);_(* &quot;-&quot;??_);_(@_)"/>
  </numFmts>
  <fonts count="89" x14ac:knownFonts="1">
    <font>
      <sz val="10"/>
      <name val="Arial"/>
    </font>
    <font>
      <sz val="11"/>
      <color theme="1"/>
      <name val="Calibri"/>
      <family val="2"/>
      <scheme val="minor"/>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b/>
      <sz val="11"/>
      <name val="Arial"/>
      <family val="2"/>
    </font>
    <font>
      <sz val="1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4"/>
      <name val="Arial"/>
      <family val="2"/>
    </font>
    <font>
      <b/>
      <sz val="16"/>
      <name val="Arial"/>
      <family val="2"/>
    </font>
    <font>
      <sz val="14"/>
      <name val="Arial"/>
      <family val="2"/>
    </font>
    <font>
      <sz val="12"/>
      <color indexed="10"/>
      <name val="Arial"/>
      <family val="2"/>
    </font>
    <font>
      <sz val="10"/>
      <color indexed="10"/>
      <name val="Arial"/>
      <family val="2"/>
    </font>
    <font>
      <b/>
      <sz val="12"/>
      <color indexed="10"/>
      <name val="Arial"/>
      <family val="2"/>
    </font>
    <font>
      <i/>
      <sz val="12"/>
      <name val="Arial"/>
      <family val="2"/>
    </font>
    <font>
      <sz val="12"/>
      <color indexed="10"/>
      <name val="Arial"/>
      <family val="2"/>
    </font>
    <font>
      <b/>
      <sz val="12"/>
      <color indexed="10"/>
      <name val="Arial"/>
      <family val="2"/>
    </font>
    <font>
      <sz val="8"/>
      <color indexed="10"/>
      <name val="Arial"/>
      <family val="2"/>
    </font>
    <font>
      <sz val="11"/>
      <color indexed="10"/>
      <name val="Arial"/>
      <family val="2"/>
    </font>
    <font>
      <sz val="12"/>
      <color indexed="44"/>
      <name val="Arial"/>
      <family val="2"/>
    </font>
    <font>
      <sz val="12"/>
      <color indexed="10"/>
      <name val="Arial"/>
      <family val="2"/>
    </font>
    <font>
      <b/>
      <sz val="12"/>
      <color indexed="10"/>
      <name val="Arial"/>
      <family val="2"/>
    </font>
    <font>
      <sz val="9"/>
      <name val="Arial"/>
      <family val="2"/>
    </font>
    <font>
      <b/>
      <sz val="18"/>
      <name val="Arial"/>
      <family val="2"/>
    </font>
    <font>
      <b/>
      <sz val="12"/>
      <color rgb="FFFF0000"/>
      <name val="Arial"/>
      <family val="2"/>
    </font>
    <font>
      <b/>
      <sz val="10"/>
      <color rgb="FFFF0000"/>
      <name val="Arial"/>
      <family val="2"/>
    </font>
    <font>
      <sz val="12"/>
      <color rgb="FFFF0000"/>
      <name val="Arial"/>
      <family val="2"/>
    </font>
    <font>
      <sz val="12"/>
      <color theme="0"/>
      <name val="Arial"/>
      <family val="2"/>
    </font>
    <font>
      <b/>
      <sz val="12"/>
      <color theme="0"/>
      <name val="Arial"/>
      <family val="2"/>
    </font>
    <font>
      <b/>
      <sz val="8"/>
      <color theme="0"/>
      <name val="Arial"/>
      <family val="2"/>
    </font>
    <font>
      <sz val="10"/>
      <color theme="0"/>
      <name val="Arial"/>
      <family val="2"/>
    </font>
    <font>
      <b/>
      <sz val="11"/>
      <color rgb="FFFF0000"/>
      <name val="Arial"/>
      <family val="2"/>
    </font>
    <font>
      <b/>
      <sz val="8"/>
      <color theme="0" tint="-0.249977111117893"/>
      <name val="Arial"/>
      <family val="2"/>
    </font>
    <font>
      <sz val="14"/>
      <color rgb="FFFF0000"/>
      <name val="Arial"/>
      <family val="2"/>
    </font>
    <font>
      <sz val="10"/>
      <color rgb="FFFF0000"/>
      <name val="Arial"/>
      <family val="2"/>
    </font>
    <font>
      <strike/>
      <sz val="12"/>
      <color rgb="FFFF0000"/>
      <name val="Arial"/>
      <family val="2"/>
    </font>
    <font>
      <strike/>
      <sz val="10"/>
      <color rgb="FFFF0000"/>
      <name val="Arial"/>
      <family val="2"/>
    </font>
    <font>
      <b/>
      <sz val="12"/>
      <color rgb="FFFFFFCC"/>
      <name val="Arial"/>
      <family val="2"/>
    </font>
    <font>
      <u/>
      <sz val="10"/>
      <color theme="10"/>
      <name val="Arial"/>
      <family val="2"/>
    </font>
    <font>
      <sz val="11"/>
      <color theme="1"/>
      <name val="Calibri"/>
      <family val="2"/>
      <scheme val="minor"/>
    </font>
    <font>
      <b/>
      <sz val="10"/>
      <color indexed="10"/>
      <name val="Arial"/>
      <family val="2"/>
    </font>
    <font>
      <b/>
      <sz val="14"/>
      <color rgb="FFFFFF99"/>
      <name val="Arial"/>
      <family val="2"/>
    </font>
    <font>
      <b/>
      <sz val="13"/>
      <name val="Arial"/>
      <family val="2"/>
    </font>
    <font>
      <sz val="10"/>
      <color indexed="9"/>
      <name val="Arial"/>
      <family val="2"/>
    </font>
    <font>
      <sz val="10"/>
      <color indexed="43"/>
      <name val="Arial"/>
      <family val="2"/>
    </font>
    <font>
      <sz val="18"/>
      <color indexed="9"/>
      <name val="Arial"/>
      <family val="2"/>
    </font>
    <font>
      <b/>
      <sz val="18"/>
      <color indexed="9"/>
      <name val="Arial"/>
      <family val="2"/>
    </font>
    <font>
      <u/>
      <sz val="12"/>
      <color indexed="12"/>
      <name val="Arial"/>
      <family val="2"/>
    </font>
    <font>
      <b/>
      <sz val="18"/>
      <color rgb="FFFF0000"/>
      <name val="Arial"/>
      <family val="2"/>
    </font>
    <font>
      <sz val="14"/>
      <color rgb="FFFFFF99"/>
      <name val="Arial"/>
      <family val="2"/>
    </font>
    <font>
      <sz val="10"/>
      <color theme="6" tint="0.39997558519241921"/>
      <name val="Arial"/>
      <family val="2"/>
    </font>
    <font>
      <sz val="9"/>
      <color theme="6" tint="0.39997558519241921"/>
      <name val="Arial"/>
      <family val="2"/>
    </font>
    <font>
      <sz val="12"/>
      <color theme="1" tint="0.499984740745262"/>
      <name val="Arial"/>
      <family val="2"/>
    </font>
    <font>
      <b/>
      <sz val="12"/>
      <color theme="1" tint="0.499984740745262"/>
      <name val="Arial"/>
      <family val="2"/>
    </font>
    <font>
      <sz val="9"/>
      <color rgb="FFFF0000"/>
      <name val="Arial"/>
      <family val="2"/>
    </font>
    <font>
      <sz val="10"/>
      <name val="Tahoma"/>
      <family val="2"/>
    </font>
    <font>
      <b/>
      <strike/>
      <sz val="12"/>
      <name val="Arial"/>
      <family val="2"/>
    </font>
    <font>
      <strike/>
      <sz val="12"/>
      <name val="Arial"/>
      <family val="2"/>
    </font>
    <font>
      <strike/>
      <sz val="10"/>
      <name val="Arial"/>
      <family val="2"/>
    </font>
    <font>
      <strike/>
      <sz val="12"/>
      <color theme="0"/>
      <name val="Arial"/>
      <family val="2"/>
    </font>
    <font>
      <sz val="10"/>
      <name val="Courier"/>
      <family val="3"/>
    </font>
    <font>
      <sz val="10"/>
      <color indexed="8"/>
      <name val="Arial"/>
      <family val="2"/>
    </font>
    <font>
      <vertAlign val="superscript"/>
      <sz val="10"/>
      <name val="Arial"/>
      <family val="2"/>
    </font>
    <font>
      <b/>
      <vertAlign val="superscript"/>
      <sz val="10"/>
      <name val="Arial"/>
      <family val="2"/>
    </font>
  </fonts>
  <fills count="32">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indexed="22"/>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rgb="FFFFFFCC"/>
        <bgColor indexed="64"/>
      </patternFill>
    </fill>
    <fill>
      <patternFill patternType="solid">
        <fgColor rgb="FF99CCFF"/>
        <bgColor indexed="64"/>
      </patternFill>
    </fill>
    <fill>
      <patternFill patternType="solid">
        <fgColor rgb="FFFFFF00"/>
        <bgColor indexed="64"/>
      </patternFill>
    </fill>
    <fill>
      <patternFill patternType="solid">
        <fgColor theme="6" tint="0.39994506668294322"/>
        <bgColor indexed="64"/>
      </patternFill>
    </fill>
    <fill>
      <patternFill patternType="solid">
        <fgColor rgb="FF000080"/>
        <bgColor indexed="64"/>
      </patternFill>
    </fill>
    <fill>
      <patternFill patternType="solid">
        <fgColor rgb="FFC4D79B"/>
        <bgColor indexed="64"/>
      </patternFill>
    </fill>
    <fill>
      <patternFill patternType="solid">
        <fgColor rgb="FFFFFFFF"/>
        <bgColor indexed="64"/>
      </patternFill>
    </fill>
  </fills>
  <borders count="147">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57"/>
      </left>
      <right/>
      <top style="medium">
        <color indexed="57"/>
      </top>
      <bottom/>
      <diagonal/>
    </border>
    <border>
      <left style="medium">
        <color indexed="57"/>
      </left>
      <right/>
      <top/>
      <bottom/>
      <diagonal/>
    </border>
    <border>
      <left style="medium">
        <color indexed="57"/>
      </left>
      <right/>
      <top/>
      <bottom style="medium">
        <color indexed="57"/>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53"/>
      </left>
      <right/>
      <top style="medium">
        <color indexed="53"/>
      </top>
      <bottom/>
      <diagonal/>
    </border>
    <border>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top/>
      <bottom style="medium">
        <color indexed="53"/>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bottom style="medium">
        <color indexed="64"/>
      </bottom>
      <diagonal/>
    </border>
    <border>
      <left/>
      <right/>
      <top style="medium">
        <color indexed="57"/>
      </top>
      <bottom/>
      <diagonal/>
    </border>
    <border>
      <left/>
      <right/>
      <top/>
      <bottom style="medium">
        <color indexed="57"/>
      </bottom>
      <diagonal/>
    </border>
    <border>
      <left/>
      <right style="medium">
        <color indexed="31"/>
      </right>
      <top/>
      <bottom/>
      <diagonal/>
    </border>
    <border>
      <left/>
      <right/>
      <top/>
      <bottom style="thin">
        <color indexed="64"/>
      </bottom>
      <diagonal/>
    </border>
    <border>
      <left/>
      <right style="medium">
        <color indexed="64"/>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44"/>
      </left>
      <right/>
      <top style="medium">
        <color indexed="44"/>
      </top>
      <bottom/>
      <diagonal/>
    </border>
    <border>
      <left/>
      <right/>
      <top style="medium">
        <color indexed="44"/>
      </top>
      <bottom/>
      <diagonal/>
    </border>
    <border>
      <left/>
      <right style="medium">
        <color indexed="44"/>
      </right>
      <top style="medium">
        <color indexed="44"/>
      </top>
      <bottom/>
      <diagonal/>
    </border>
    <border>
      <left style="medium">
        <color indexed="44"/>
      </left>
      <right/>
      <top/>
      <bottom/>
      <diagonal/>
    </border>
    <border>
      <left/>
      <right style="medium">
        <color indexed="44"/>
      </right>
      <top/>
      <bottom/>
      <diagonal/>
    </border>
    <border>
      <left style="medium">
        <color indexed="44"/>
      </left>
      <right/>
      <top/>
      <bottom style="medium">
        <color indexed="44"/>
      </bottom>
      <diagonal/>
    </border>
    <border>
      <left/>
      <right/>
      <top/>
      <bottom style="medium">
        <color indexed="44"/>
      </bottom>
      <diagonal/>
    </border>
    <border>
      <left/>
      <right style="medium">
        <color indexed="44"/>
      </right>
      <top/>
      <bottom style="medium">
        <color indexed="4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53"/>
      </right>
      <top style="medium">
        <color indexed="53"/>
      </top>
      <bottom/>
      <diagonal/>
    </border>
    <border>
      <left/>
      <right style="medium">
        <color indexed="53"/>
      </right>
      <top/>
      <bottom/>
      <diagonal/>
    </border>
    <border>
      <left/>
      <right style="medium">
        <color indexed="53"/>
      </right>
      <top/>
      <bottom style="medium">
        <color indexed="53"/>
      </bottom>
      <diagonal/>
    </border>
    <border>
      <left/>
      <right style="medium">
        <color indexed="57"/>
      </right>
      <top style="medium">
        <color indexed="57"/>
      </top>
      <bottom/>
      <diagonal/>
    </border>
    <border>
      <left/>
      <right style="medium">
        <color indexed="57"/>
      </right>
      <top/>
      <bottom/>
      <diagonal/>
    </border>
    <border>
      <left/>
      <right style="medium">
        <color indexed="57"/>
      </right>
      <top/>
      <bottom style="medium">
        <color indexed="57"/>
      </bottom>
      <diagonal/>
    </border>
    <border>
      <left style="medium">
        <color indexed="30"/>
      </left>
      <right style="medium">
        <color indexed="30"/>
      </right>
      <top style="medium">
        <color indexed="30"/>
      </top>
      <bottom style="medium">
        <color indexed="30"/>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0"/>
      </left>
      <right/>
      <top style="medium">
        <color indexed="30"/>
      </top>
      <bottom style="medium">
        <color indexed="30"/>
      </bottom>
      <diagonal/>
    </border>
    <border>
      <left/>
      <right style="medium">
        <color indexed="30"/>
      </right>
      <top style="medium">
        <color indexed="30"/>
      </top>
      <bottom style="medium">
        <color indexed="30"/>
      </bottom>
      <diagonal/>
    </border>
    <border>
      <left/>
      <right/>
      <top/>
      <bottom style="medium">
        <color indexed="17"/>
      </bottom>
      <diagonal/>
    </border>
    <border>
      <left style="medium">
        <color theme="3" tint="-0.24994659260841701"/>
      </left>
      <right/>
      <top style="medium">
        <color theme="3" tint="-0.24994659260841701"/>
      </top>
      <bottom/>
      <diagonal/>
    </border>
    <border>
      <left/>
      <right/>
      <top style="medium">
        <color theme="3" tint="-0.24994659260841701"/>
      </top>
      <bottom/>
      <diagonal/>
    </border>
    <border>
      <left/>
      <right style="medium">
        <color indexed="31"/>
      </right>
      <top style="medium">
        <color theme="3" tint="-0.24994659260841701"/>
      </top>
      <bottom/>
      <diagonal/>
    </border>
    <border>
      <left/>
      <right style="medium">
        <color theme="3" tint="-0.24994659260841701"/>
      </right>
      <top style="medium">
        <color theme="3" tint="-0.24994659260841701"/>
      </top>
      <bottom/>
      <diagonal/>
    </border>
    <border>
      <left style="medium">
        <color theme="3" tint="-0.24994659260841701"/>
      </left>
      <right/>
      <top/>
      <bottom/>
      <diagonal/>
    </border>
    <border>
      <left/>
      <right style="medium">
        <color theme="3" tint="-0.24994659260841701"/>
      </right>
      <top/>
      <bottom/>
      <diagonal/>
    </border>
    <border>
      <left style="medium">
        <color theme="3" tint="-0.24994659260841701"/>
      </left>
      <right/>
      <top/>
      <bottom style="medium">
        <color theme="3" tint="-0.24994659260841701"/>
      </bottom>
      <diagonal/>
    </border>
    <border>
      <left/>
      <right/>
      <top/>
      <bottom style="medium">
        <color theme="3" tint="-0.24994659260841701"/>
      </bottom>
      <diagonal/>
    </border>
    <border>
      <left/>
      <right style="medium">
        <color indexed="31"/>
      </right>
      <top/>
      <bottom style="medium">
        <color theme="3" tint="-0.24994659260841701"/>
      </bottom>
      <diagonal/>
    </border>
    <border>
      <left/>
      <right style="medium">
        <color theme="3" tint="-0.24994659260841701"/>
      </right>
      <top/>
      <bottom style="medium">
        <color theme="3" tint="-0.24994659260841701"/>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style="medium">
        <color indexed="31"/>
      </right>
      <top style="medium">
        <color theme="3" tint="-0.499984740745262"/>
      </top>
      <bottom/>
      <diagonal/>
    </border>
    <border>
      <left/>
      <right style="medium">
        <color theme="3" tint="-0.499984740745262"/>
      </right>
      <top style="medium">
        <color theme="3" tint="-0.499984740745262"/>
      </top>
      <bottom/>
      <diagonal/>
    </border>
    <border>
      <left style="medium">
        <color theme="3" tint="-0.499984740745262"/>
      </left>
      <right/>
      <top/>
      <bottom/>
      <diagonal/>
    </border>
    <border>
      <left/>
      <right style="medium">
        <color theme="3" tint="-0.499984740745262"/>
      </right>
      <top/>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right style="medium">
        <color indexed="31"/>
      </right>
      <top/>
      <bottom style="medium">
        <color theme="3" tint="-0.499984740745262"/>
      </bottom>
      <diagonal/>
    </border>
    <border>
      <left/>
      <right style="medium">
        <color theme="3" tint="-0.499984740745262"/>
      </right>
      <top/>
      <bottom style="medium">
        <color theme="3" tint="-0.499984740745262"/>
      </bottom>
      <diagonal/>
    </border>
    <border>
      <left style="medium">
        <color rgb="FFFF6600"/>
      </left>
      <right/>
      <top/>
      <bottom/>
      <diagonal/>
    </border>
    <border>
      <left style="medium">
        <color rgb="FFFF6600"/>
      </left>
      <right/>
      <top style="medium">
        <color indexed="53"/>
      </top>
      <bottom/>
      <diagonal/>
    </border>
    <border>
      <left style="medium">
        <color rgb="FFFF6600"/>
      </left>
      <right/>
      <top/>
      <bottom style="medium">
        <color indexed="53"/>
      </bottom>
      <diagonal/>
    </border>
    <border>
      <left style="medium">
        <color rgb="FFFF6600"/>
      </left>
      <right/>
      <top/>
      <bottom style="medium">
        <color rgb="FFFF6600"/>
      </bottom>
      <diagonal/>
    </border>
    <border>
      <left style="medium">
        <color rgb="FFFF6600"/>
      </left>
      <right/>
      <top style="medium">
        <color rgb="FFFF6600"/>
      </top>
      <bottom/>
      <diagonal/>
    </border>
    <border>
      <left style="medium">
        <color rgb="FF0066CC"/>
      </left>
      <right/>
      <top style="medium">
        <color rgb="FF0066CC"/>
      </top>
      <bottom style="medium">
        <color rgb="FF0066CC"/>
      </bottom>
      <diagonal/>
    </border>
    <border>
      <left/>
      <right style="medium">
        <color rgb="FF0066CC"/>
      </right>
      <top style="medium">
        <color rgb="FF0066CC"/>
      </top>
      <bottom style="medium">
        <color rgb="FF0066CC"/>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rgb="FF008000"/>
      </left>
      <right/>
      <top style="medium">
        <color indexed="17"/>
      </top>
      <bottom style="medium">
        <color rgb="FF008000"/>
      </bottom>
      <diagonal/>
    </border>
    <border>
      <left/>
      <right style="medium">
        <color rgb="FF008000"/>
      </right>
      <top style="medium">
        <color indexed="17"/>
      </top>
      <bottom style="medium">
        <color rgb="FF008000"/>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style="medium">
        <color indexed="64"/>
      </bottom>
      <diagonal/>
    </border>
    <border>
      <left/>
      <right/>
      <top style="medium">
        <color indexed="53"/>
      </top>
      <bottom/>
      <diagonal/>
    </border>
    <border>
      <left style="medium">
        <color indexed="53"/>
      </left>
      <right/>
      <top style="medium">
        <color indexed="53"/>
      </top>
      <bottom/>
      <diagonal/>
    </border>
    <border>
      <left/>
      <right/>
      <top/>
      <bottom style="medium">
        <color rgb="FFFF6600"/>
      </bottom>
      <diagonal/>
    </border>
    <border>
      <left/>
      <right/>
      <top style="medium">
        <color rgb="FFFF6600"/>
      </top>
      <bottom/>
      <diagonal/>
    </border>
    <border>
      <left style="medium">
        <color rgb="FF008000"/>
      </left>
      <right style="medium">
        <color rgb="FF008000"/>
      </right>
      <top style="medium">
        <color rgb="FF008000"/>
      </top>
      <bottom style="medium">
        <color rgb="FF008000"/>
      </bottom>
      <diagonal/>
    </border>
    <border>
      <left/>
      <right/>
      <top/>
      <bottom style="medium">
        <color rgb="FF008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style="medium">
        <color rgb="FF008000"/>
      </right>
      <top style="medium">
        <color rgb="FF008000"/>
      </top>
      <bottom style="medium">
        <color rgb="FF008000"/>
      </bottom>
      <diagonal/>
    </border>
    <border>
      <left style="medium">
        <color rgb="FF008000"/>
      </left>
      <right style="thin">
        <color rgb="FFFF0000"/>
      </right>
      <top style="medium">
        <color rgb="FF008000"/>
      </top>
      <bottom style="medium">
        <color rgb="FF008000"/>
      </bottom>
      <diagonal/>
    </border>
    <border>
      <left style="thin">
        <color rgb="FFFF0000"/>
      </left>
      <right/>
      <top style="medium">
        <color rgb="FF008000"/>
      </top>
      <bottom/>
      <diagonal/>
    </border>
    <border>
      <left/>
      <right style="medium">
        <color auto="1"/>
      </right>
      <top/>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right style="thin">
        <color rgb="FFFF0000"/>
      </right>
      <top style="medium">
        <color rgb="FF008000"/>
      </top>
      <bottom/>
      <diagonal/>
    </border>
    <border>
      <left style="medium">
        <color rgb="FFCCCCFF"/>
      </left>
      <right style="medium">
        <color indexed="64"/>
      </right>
      <top/>
      <bottom/>
      <diagonal/>
    </border>
    <border>
      <left style="medium">
        <color rgb="FFCCCCFF"/>
      </left>
      <right/>
      <top style="medium">
        <color indexed="57"/>
      </top>
      <bottom/>
      <diagonal/>
    </border>
    <border>
      <left style="medium">
        <color rgb="FFCCCCFF"/>
      </left>
      <right/>
      <top/>
      <bottom/>
      <diagonal/>
    </border>
    <border>
      <left style="medium">
        <color rgb="FFCCCCFF"/>
      </left>
      <right/>
      <top/>
      <bottom style="medium">
        <color indexed="57"/>
      </bottom>
      <diagonal/>
    </border>
    <border>
      <left style="medium">
        <color rgb="FF0000FF"/>
      </left>
      <right style="medium">
        <color rgb="FF0000FF"/>
      </right>
      <top style="medium">
        <color rgb="FF0000FF"/>
      </top>
      <bottom style="medium">
        <color rgb="FF0000FF"/>
      </bottom>
      <diagonal/>
    </border>
    <border>
      <left/>
      <right/>
      <top style="medium">
        <color auto="1"/>
      </top>
      <bottom style="medium">
        <color auto="1"/>
      </bottom>
      <diagonal/>
    </border>
    <border>
      <left style="medium">
        <color auto="1"/>
      </left>
      <right style="medium">
        <color auto="1"/>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right style="medium">
        <color auto="1"/>
      </right>
      <top/>
      <bottom/>
      <diagonal/>
    </border>
    <border>
      <left style="medium">
        <color auto="1"/>
      </left>
      <right/>
      <top style="medium">
        <color auto="1"/>
      </top>
      <bottom/>
      <diagonal/>
    </border>
    <border>
      <left style="medium">
        <color auto="1"/>
      </left>
      <right/>
      <top/>
      <bottom/>
      <diagonal/>
    </border>
    <border>
      <left style="medium">
        <color auto="1"/>
      </left>
      <right style="medium">
        <color auto="1"/>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s>
  <cellStyleXfs count="102">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6" borderId="0" applyNumberFormat="0" applyBorder="0" applyAlignment="0" applyProtection="0"/>
    <xf numFmtId="0" fontId="16" fillId="4"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8" borderId="0" applyNumberFormat="0" applyBorder="0" applyAlignment="0" applyProtection="0"/>
    <xf numFmtId="0" fontId="17" fillId="6" borderId="0" applyNumberFormat="0" applyBorder="0" applyAlignment="0" applyProtection="0"/>
    <xf numFmtId="0" fontId="17" fillId="3" borderId="0" applyNumberFormat="0" applyBorder="0" applyAlignment="0" applyProtection="0"/>
    <xf numFmtId="0" fontId="17" fillId="11"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8" fillId="15" borderId="0" applyNumberFormat="0" applyBorder="0" applyAlignment="0" applyProtection="0"/>
    <xf numFmtId="0" fontId="19" fillId="16" borderId="1" applyNumberFormat="0" applyAlignment="0" applyProtection="0"/>
    <xf numFmtId="3" fontId="5" fillId="17" borderId="2">
      <alignment horizontal="right"/>
    </xf>
    <xf numFmtId="3" fontId="3" fillId="17" borderId="2">
      <alignment horizontal="right"/>
    </xf>
    <xf numFmtId="3" fontId="4" fillId="17" borderId="3">
      <alignment horizontal="right"/>
    </xf>
    <xf numFmtId="3" fontId="5" fillId="17" borderId="3">
      <alignment horizontal="right"/>
    </xf>
    <xf numFmtId="3" fontId="3" fillId="17" borderId="3">
      <alignment horizontal="right"/>
    </xf>
    <xf numFmtId="0" fontId="20" fillId="18" borderId="4" applyNumberFormat="0" applyAlignment="0" applyProtection="0"/>
    <xf numFmtId="164" fontId="3" fillId="0" borderId="0" applyFont="0" applyFill="0" applyBorder="0" applyAlignment="0" applyProtection="0"/>
    <xf numFmtId="0" fontId="21" fillId="0" borderId="0" applyNumberFormat="0" applyFill="0" applyBorder="0" applyAlignment="0" applyProtection="0"/>
    <xf numFmtId="0" fontId="22" fillId="6" borderId="0" applyNumberFormat="0" applyBorder="0" applyAlignment="0" applyProtection="0"/>
    <xf numFmtId="0" fontId="23" fillId="0" borderId="5" applyNumberFormat="0" applyFill="0" applyAlignment="0" applyProtection="0"/>
    <xf numFmtId="0" fontId="24" fillId="0" borderId="6" applyNumberFormat="0" applyFill="0" applyAlignment="0" applyProtection="0"/>
    <xf numFmtId="0" fontId="25" fillId="0" borderId="7" applyNumberFormat="0" applyFill="0" applyAlignment="0" applyProtection="0"/>
    <xf numFmtId="0" fontId="25" fillId="0" borderId="0" applyNumberFormat="0" applyFill="0" applyBorder="0" applyAlignment="0" applyProtection="0"/>
    <xf numFmtId="0" fontId="27" fillId="7" borderId="1" applyNumberFormat="0" applyAlignment="0" applyProtection="0"/>
    <xf numFmtId="0" fontId="28" fillId="0" borderId="8" applyNumberFormat="0" applyFill="0" applyAlignment="0" applyProtection="0"/>
    <xf numFmtId="0" fontId="29" fillId="7" borderId="0" applyNumberFormat="0" applyBorder="0" applyAlignment="0" applyProtection="0"/>
    <xf numFmtId="0" fontId="3" fillId="0" borderId="0"/>
    <xf numFmtId="0" fontId="3" fillId="4" borderId="9" applyNumberFormat="0" applyFont="0" applyAlignment="0" applyProtection="0"/>
    <xf numFmtId="0" fontId="30" fillId="16" borderId="10" applyNumberFormat="0" applyAlignment="0" applyProtection="0"/>
    <xf numFmtId="9" fontId="3" fillId="0" borderId="0" applyFont="0" applyFill="0" applyBorder="0" applyAlignment="0" applyProtection="0"/>
    <xf numFmtId="0" fontId="31" fillId="0" borderId="0" applyNumberFormat="0" applyFill="0" applyBorder="0" applyAlignment="0" applyProtection="0"/>
    <xf numFmtId="0" fontId="32" fillId="0" borderId="11" applyNumberFormat="0" applyFill="0" applyAlignment="0" applyProtection="0"/>
    <xf numFmtId="0" fontId="28"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63" fillId="0" borderId="0" applyNumberFormat="0" applyFill="0" applyBorder="0" applyAlignment="0" applyProtection="0"/>
    <xf numFmtId="0" fontId="64" fillId="0" borderId="0"/>
    <xf numFmtId="0" fontId="29" fillId="7" borderId="0" applyNumberFormat="0" applyBorder="0" applyAlignment="0" applyProtection="0"/>
    <xf numFmtId="0" fontId="2" fillId="0" borderId="0"/>
    <xf numFmtId="9" fontId="3" fillId="0" borderId="0" applyFont="0" applyFill="0" applyBorder="0" applyAlignment="0" applyProtection="0"/>
    <xf numFmtId="0" fontId="64" fillId="0" borderId="0"/>
    <xf numFmtId="0" fontId="3" fillId="0" borderId="0"/>
    <xf numFmtId="164" fontId="3" fillId="0" borderId="0" applyFont="0" applyFill="0" applyBorder="0" applyAlignment="0" applyProtection="0"/>
    <xf numFmtId="0" fontId="3" fillId="0" borderId="0"/>
    <xf numFmtId="0" fontId="7" fillId="0" borderId="0"/>
    <xf numFmtId="0" fontId="72"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170" fontId="3" fillId="17" borderId="2">
      <alignment horizontal="right" vertical="top"/>
    </xf>
    <xf numFmtId="0" fontId="3" fillId="17" borderId="2">
      <alignment horizontal="left" indent="5"/>
    </xf>
    <xf numFmtId="170" fontId="3" fillId="17" borderId="3" applyNumberFormat="0">
      <alignment horizontal="right" vertical="top"/>
    </xf>
    <xf numFmtId="0" fontId="3" fillId="17" borderId="3">
      <alignment horizontal="left" indent="3"/>
    </xf>
    <xf numFmtId="170" fontId="4" fillId="17" borderId="3" applyNumberFormat="0">
      <alignment horizontal="right" vertical="top"/>
    </xf>
    <xf numFmtId="0" fontId="4" fillId="17" borderId="3">
      <alignment horizontal="left" indent="1"/>
    </xf>
    <xf numFmtId="0" fontId="4" fillId="17" borderId="3">
      <alignment horizontal="right" vertical="top"/>
    </xf>
    <xf numFmtId="0" fontId="4" fillId="17" borderId="3">
      <alignment horizontal="left" indent="2"/>
    </xf>
    <xf numFmtId="170" fontId="3" fillId="17" borderId="3" applyNumberFormat="0">
      <alignment horizontal="right" vertical="top"/>
    </xf>
    <xf numFmtId="0" fontId="3" fillId="17" borderId="3">
      <alignment horizontal="left" indent="3"/>
    </xf>
    <xf numFmtId="0" fontId="4" fillId="0" borderId="0"/>
    <xf numFmtId="0" fontId="4" fillId="0" borderId="0"/>
    <xf numFmtId="0" fontId="3" fillId="0" borderId="0">
      <alignment textRotation="90"/>
    </xf>
    <xf numFmtId="0" fontId="3" fillId="0" borderId="0"/>
    <xf numFmtId="0" fontId="80" fillId="17" borderId="0"/>
    <xf numFmtId="0" fontId="9" fillId="0" borderId="0"/>
    <xf numFmtId="0" fontId="4" fillId="0" borderId="0"/>
    <xf numFmtId="0" fontId="3" fillId="0" borderId="0"/>
    <xf numFmtId="170" fontId="3" fillId="17" borderId="2">
      <alignment horizontal="right" vertical="top"/>
    </xf>
    <xf numFmtId="0" fontId="3" fillId="17" borderId="2">
      <alignment horizontal="left" indent="5"/>
    </xf>
    <xf numFmtId="170" fontId="3" fillId="17" borderId="3" applyNumberFormat="0">
      <alignment horizontal="right" vertical="top"/>
    </xf>
    <xf numFmtId="0" fontId="3" fillId="17" borderId="3">
      <alignment horizontal="left" indent="3"/>
    </xf>
    <xf numFmtId="170" fontId="3" fillId="17" borderId="3" applyNumberFormat="0">
      <alignment horizontal="right" vertical="top"/>
    </xf>
    <xf numFmtId="0" fontId="3" fillId="17" borderId="3">
      <alignment horizontal="left" indent="3"/>
    </xf>
    <xf numFmtId="0" fontId="4" fillId="0" borderId="0"/>
    <xf numFmtId="0" fontId="4" fillId="0" borderId="0"/>
    <xf numFmtId="172" fontId="85" fillId="0" borderId="0"/>
    <xf numFmtId="0" fontId="3" fillId="0" borderId="0"/>
  </cellStyleXfs>
  <cellXfs count="1037">
    <xf numFmtId="0" fontId="0" fillId="0" borderId="0" xfId="0"/>
    <xf numFmtId="0" fontId="0" fillId="19" borderId="0" xfId="0" applyFill="1" applyBorder="1" applyAlignment="1">
      <alignment horizontal="center"/>
    </xf>
    <xf numFmtId="0" fontId="0" fillId="19" borderId="0" xfId="0" applyFill="1" applyBorder="1"/>
    <xf numFmtId="0" fontId="4" fillId="19" borderId="0" xfId="0" applyFont="1" applyFill="1" applyBorder="1" applyAlignment="1">
      <alignment horizontal="center"/>
    </xf>
    <xf numFmtId="0" fontId="0" fillId="19" borderId="12" xfId="0" applyFill="1" applyBorder="1"/>
    <xf numFmtId="0" fontId="0" fillId="19" borderId="13" xfId="0" applyFill="1" applyBorder="1"/>
    <xf numFmtId="0" fontId="4" fillId="19" borderId="0" xfId="0" applyFont="1" applyFill="1" applyBorder="1"/>
    <xf numFmtId="0" fontId="0" fillId="19" borderId="14" xfId="0" applyFill="1" applyBorder="1"/>
    <xf numFmtId="0" fontId="7" fillId="17" borderId="0" xfId="0" applyFont="1" applyFill="1" applyBorder="1"/>
    <xf numFmtId="0" fontId="7" fillId="0" borderId="0" xfId="0" applyFont="1"/>
    <xf numFmtId="0" fontId="7" fillId="19" borderId="0" xfId="0" applyFont="1" applyFill="1" applyBorder="1"/>
    <xf numFmtId="0" fontId="7" fillId="19" borderId="15" xfId="0" applyFont="1" applyFill="1" applyBorder="1"/>
    <xf numFmtId="0" fontId="9" fillId="19" borderId="0" xfId="0" applyFont="1" applyFill="1" applyBorder="1" applyAlignment="1">
      <alignment horizontal="left"/>
    </xf>
    <xf numFmtId="0" fontId="9" fillId="19" borderId="0" xfId="0" applyFont="1" applyFill="1" applyBorder="1"/>
    <xf numFmtId="0" fontId="9" fillId="19" borderId="0" xfId="0" applyFont="1" applyFill="1" applyBorder="1" applyAlignment="1">
      <alignment horizontal="center"/>
    </xf>
    <xf numFmtId="0" fontId="7" fillId="19" borderId="0" xfId="0" applyFont="1" applyFill="1" applyBorder="1" applyAlignment="1">
      <alignment horizontal="left"/>
    </xf>
    <xf numFmtId="0" fontId="9" fillId="19" borderId="0" xfId="0" applyFont="1" applyFill="1" applyBorder="1" applyAlignment="1"/>
    <xf numFmtId="0" fontId="7" fillId="17" borderId="18" xfId="0" applyFont="1" applyFill="1" applyBorder="1"/>
    <xf numFmtId="0" fontId="7" fillId="17" borderId="19" xfId="0" applyFont="1" applyFill="1" applyBorder="1"/>
    <xf numFmtId="0" fontId="7" fillId="17" borderId="20" xfId="0" applyFont="1" applyFill="1" applyBorder="1"/>
    <xf numFmtId="0" fontId="9" fillId="17" borderId="0" xfId="0" applyFont="1" applyFill="1" applyBorder="1"/>
    <xf numFmtId="0" fontId="7" fillId="17" borderId="21" xfId="0" applyFont="1" applyFill="1" applyBorder="1"/>
    <xf numFmtId="0" fontId="7" fillId="17" borderId="22" xfId="0" applyFont="1" applyFill="1" applyBorder="1"/>
    <xf numFmtId="0" fontId="0" fillId="19" borderId="23" xfId="0" applyFill="1" applyBorder="1"/>
    <xf numFmtId="0" fontId="0" fillId="19" borderId="24" xfId="0" applyFill="1" applyBorder="1"/>
    <xf numFmtId="0" fontId="0" fillId="19" borderId="25" xfId="0" applyFill="1" applyBorder="1"/>
    <xf numFmtId="0" fontId="12" fillId="19" borderId="0" xfId="0" applyFont="1" applyFill="1" applyBorder="1"/>
    <xf numFmtId="0" fontId="13" fillId="19" borderId="0" xfId="0" applyFont="1" applyFill="1" applyBorder="1"/>
    <xf numFmtId="0" fontId="13" fillId="19" borderId="15" xfId="0" applyFont="1" applyFill="1" applyBorder="1"/>
    <xf numFmtId="0" fontId="13" fillId="17" borderId="19" xfId="0" applyFont="1" applyFill="1" applyBorder="1"/>
    <xf numFmtId="0" fontId="12" fillId="17" borderId="0" xfId="0" applyFont="1" applyFill="1" applyBorder="1"/>
    <xf numFmtId="0" fontId="13" fillId="17" borderId="0" xfId="0" applyFont="1" applyFill="1" applyBorder="1"/>
    <xf numFmtId="0" fontId="13" fillId="17" borderId="22" xfId="0" applyFont="1" applyFill="1" applyBorder="1"/>
    <xf numFmtId="0" fontId="13" fillId="0" borderId="0" xfId="0" applyFont="1"/>
    <xf numFmtId="0" fontId="13" fillId="17" borderId="18" xfId="0" applyFont="1" applyFill="1" applyBorder="1"/>
    <xf numFmtId="0" fontId="13" fillId="17" borderId="20" xfId="0" applyFont="1" applyFill="1" applyBorder="1"/>
    <xf numFmtId="0" fontId="13" fillId="17" borderId="21" xfId="0" applyFont="1" applyFill="1" applyBorder="1"/>
    <xf numFmtId="0" fontId="12" fillId="19" borderId="23" xfId="0" applyFont="1" applyFill="1" applyBorder="1" applyAlignment="1">
      <alignment horizontal="left"/>
    </xf>
    <xf numFmtId="0" fontId="13" fillId="19" borderId="0" xfId="0" applyFont="1" applyFill="1" applyBorder="1" applyAlignment="1"/>
    <xf numFmtId="0" fontId="13" fillId="19" borderId="23" xfId="0" applyFont="1" applyFill="1" applyBorder="1" applyAlignment="1"/>
    <xf numFmtId="0" fontId="12" fillId="19" borderId="0" xfId="0" applyFont="1" applyFill="1" applyBorder="1" applyAlignment="1"/>
    <xf numFmtId="0" fontId="13" fillId="19" borderId="23" xfId="0" applyFont="1" applyFill="1" applyBorder="1"/>
    <xf numFmtId="0" fontId="0" fillId="20" borderId="0" xfId="0" applyNumberFormat="1" applyFill="1" applyBorder="1" applyAlignment="1" applyProtection="1">
      <alignment horizontal="center"/>
      <protection locked="0"/>
    </xf>
    <xf numFmtId="0" fontId="0" fillId="20" borderId="0" xfId="0" applyFill="1" applyBorder="1" applyAlignment="1" applyProtection="1">
      <alignment horizontal="center"/>
      <protection locked="0"/>
    </xf>
    <xf numFmtId="0" fontId="0" fillId="20" borderId="0" xfId="0" applyFill="1" applyBorder="1" applyProtection="1">
      <protection locked="0"/>
    </xf>
    <xf numFmtId="0" fontId="0" fillId="20" borderId="0" xfId="0" applyNumberFormat="1" applyFill="1" applyBorder="1" applyProtection="1">
      <protection locked="0"/>
    </xf>
    <xf numFmtId="0" fontId="7" fillId="20" borderId="0" xfId="0" applyFont="1" applyFill="1" applyBorder="1" applyProtection="1">
      <protection locked="0"/>
    </xf>
    <xf numFmtId="0" fontId="0" fillId="0" borderId="0" xfId="0" applyBorder="1"/>
    <xf numFmtId="0" fontId="0" fillId="19" borderId="26" xfId="0" applyFill="1" applyBorder="1"/>
    <xf numFmtId="0" fontId="0" fillId="19" borderId="16" xfId="0" applyFill="1" applyBorder="1"/>
    <xf numFmtId="0" fontId="0" fillId="19" borderId="17" xfId="0" applyFill="1" applyBorder="1"/>
    <xf numFmtId="0" fontId="0" fillId="19" borderId="15" xfId="0" applyFill="1" applyBorder="1"/>
    <xf numFmtId="0" fontId="0" fillId="19" borderId="27" xfId="0" applyFill="1" applyBorder="1"/>
    <xf numFmtId="0" fontId="13" fillId="19" borderId="28" xfId="0" applyFont="1" applyFill="1" applyBorder="1"/>
    <xf numFmtId="0" fontId="13" fillId="19" borderId="29" xfId="0" applyFont="1" applyFill="1" applyBorder="1"/>
    <xf numFmtId="0" fontId="13" fillId="19" borderId="0" xfId="0" applyFont="1" applyFill="1" applyBorder="1" applyAlignment="1">
      <alignment vertical="top" wrapText="1"/>
    </xf>
    <xf numFmtId="0" fontId="13" fillId="19" borderId="0" xfId="0" applyFont="1" applyFill="1" applyBorder="1" applyAlignment="1">
      <alignment horizontal="center"/>
    </xf>
    <xf numFmtId="3" fontId="13" fillId="19" borderId="0" xfId="0" applyNumberFormat="1" applyFont="1" applyFill="1" applyBorder="1" applyAlignment="1">
      <alignment horizontal="right" vertical="center" indent="1"/>
    </xf>
    <xf numFmtId="3" fontId="12" fillId="19" borderId="0" xfId="0" applyNumberFormat="1" applyFont="1" applyFill="1" applyBorder="1" applyAlignment="1">
      <alignment horizontal="right" vertical="center" indent="1"/>
    </xf>
    <xf numFmtId="3" fontId="13" fillId="19" borderId="30" xfId="0" applyNumberFormat="1" applyFont="1" applyFill="1" applyBorder="1" applyAlignment="1">
      <alignment horizontal="right" vertical="center" indent="1"/>
    </xf>
    <xf numFmtId="3" fontId="12" fillId="19" borderId="28" xfId="0" applyNumberFormat="1" applyFont="1" applyFill="1" applyBorder="1" applyAlignment="1">
      <alignment horizontal="right" vertical="center" indent="1"/>
    </xf>
    <xf numFmtId="3" fontId="13" fillId="19" borderId="28" xfId="0" applyNumberFormat="1" applyFont="1" applyFill="1" applyBorder="1" applyAlignment="1">
      <alignment horizontal="right" vertical="center" indent="1"/>
    </xf>
    <xf numFmtId="3" fontId="12" fillId="19" borderId="29" xfId="0" applyNumberFormat="1" applyFont="1" applyFill="1" applyBorder="1" applyAlignment="1">
      <alignment horizontal="right" vertical="center" indent="1"/>
    </xf>
    <xf numFmtId="3" fontId="13" fillId="19" borderId="29" xfId="0" applyNumberFormat="1" applyFont="1" applyFill="1" applyBorder="1" applyAlignment="1">
      <alignment horizontal="right" vertical="center" indent="1"/>
    </xf>
    <xf numFmtId="3" fontId="13" fillId="17" borderId="19" xfId="0" applyNumberFormat="1" applyFont="1" applyFill="1" applyBorder="1" applyAlignment="1">
      <alignment horizontal="right" vertical="center" indent="1"/>
    </xf>
    <xf numFmtId="3" fontId="13" fillId="17" borderId="0" xfId="0" applyNumberFormat="1" applyFont="1" applyFill="1" applyBorder="1" applyAlignment="1">
      <alignment horizontal="right" vertical="center" indent="1"/>
    </xf>
    <xf numFmtId="0" fontId="7" fillId="20" borderId="26" xfId="0" applyFont="1" applyFill="1" applyBorder="1" applyAlignment="1"/>
    <xf numFmtId="0" fontId="7" fillId="20" borderId="16" xfId="0" applyFont="1" applyFill="1" applyBorder="1" applyAlignment="1"/>
    <xf numFmtId="0" fontId="7" fillId="20" borderId="17" xfId="0" applyFont="1" applyFill="1" applyBorder="1" applyAlignment="1"/>
    <xf numFmtId="0" fontId="7" fillId="20" borderId="24" xfId="0" applyFont="1" applyFill="1" applyBorder="1" applyAlignment="1"/>
    <xf numFmtId="0" fontId="7" fillId="20" borderId="25" xfId="0" applyFont="1" applyFill="1" applyBorder="1" applyAlignment="1"/>
    <xf numFmtId="0" fontId="7" fillId="20" borderId="27" xfId="0" applyFont="1" applyFill="1" applyBorder="1" applyAlignment="1"/>
    <xf numFmtId="0" fontId="41" fillId="19" borderId="0" xfId="0" applyFont="1" applyFill="1" applyBorder="1" applyAlignment="1">
      <alignment horizontal="center"/>
    </xf>
    <xf numFmtId="0" fontId="33" fillId="19" borderId="0" xfId="0" applyFont="1" applyFill="1" applyBorder="1" applyAlignment="1">
      <alignment horizontal="left"/>
    </xf>
    <xf numFmtId="3" fontId="13" fillId="19" borderId="23" xfId="0" applyNumberFormat="1" applyFont="1" applyFill="1" applyBorder="1" applyAlignment="1">
      <alignment horizontal="right" vertical="center" indent="1"/>
    </xf>
    <xf numFmtId="3" fontId="7" fillId="19" borderId="0" xfId="0" applyNumberFormat="1" applyFont="1" applyFill="1" applyBorder="1" applyAlignment="1">
      <alignment horizontal="right" vertical="center" indent="1"/>
    </xf>
    <xf numFmtId="3" fontId="10" fillId="19" borderId="0" xfId="0" applyNumberFormat="1" applyFont="1" applyFill="1" applyBorder="1" applyAlignment="1">
      <alignment horizontal="right" vertical="center" indent="1"/>
    </xf>
    <xf numFmtId="3" fontId="11" fillId="19" borderId="0" xfId="0" applyNumberFormat="1" applyFont="1" applyFill="1" applyBorder="1" applyAlignment="1">
      <alignment horizontal="right" vertical="center" indent="1"/>
    </xf>
    <xf numFmtId="3" fontId="7" fillId="17" borderId="19" xfId="0" applyNumberFormat="1" applyFont="1" applyFill="1" applyBorder="1" applyAlignment="1">
      <alignment horizontal="right" vertical="center" indent="1"/>
    </xf>
    <xf numFmtId="3" fontId="10" fillId="19" borderId="0" xfId="0" applyNumberFormat="1" applyFont="1" applyFill="1" applyBorder="1" applyAlignment="1">
      <alignment horizontal="left" vertical="center" indent="1"/>
    </xf>
    <xf numFmtId="3" fontId="7" fillId="19" borderId="0" xfId="0" applyNumberFormat="1" applyFont="1" applyFill="1" applyBorder="1" applyAlignment="1">
      <alignment horizontal="left" vertical="center" indent="1"/>
    </xf>
    <xf numFmtId="3" fontId="7" fillId="19" borderId="0" xfId="0" applyNumberFormat="1" applyFont="1" applyFill="1" applyBorder="1" applyAlignment="1">
      <alignment horizontal="center" vertical="center"/>
    </xf>
    <xf numFmtId="0" fontId="13" fillId="19" borderId="25" xfId="0" applyFont="1" applyFill="1" applyBorder="1"/>
    <xf numFmtId="3" fontId="12" fillId="19" borderId="25" xfId="0" applyNumberFormat="1" applyFont="1" applyFill="1" applyBorder="1" applyAlignment="1">
      <alignment horizontal="right" vertical="center" indent="1"/>
    </xf>
    <xf numFmtId="3" fontId="13" fillId="19" borderId="25" xfId="0" applyNumberFormat="1" applyFont="1" applyFill="1" applyBorder="1" applyAlignment="1">
      <alignment horizontal="right" vertical="center" indent="1"/>
    </xf>
    <xf numFmtId="0" fontId="7" fillId="17" borderId="25" xfId="0" applyFont="1" applyFill="1" applyBorder="1"/>
    <xf numFmtId="0" fontId="41" fillId="19" borderId="0" xfId="0" applyFont="1" applyFill="1" applyBorder="1" applyAlignment="1">
      <alignment horizontal="left"/>
    </xf>
    <xf numFmtId="0" fontId="9" fillId="19" borderId="0" xfId="0" applyFont="1" applyFill="1" applyBorder="1" applyAlignment="1">
      <alignment vertical="top"/>
    </xf>
    <xf numFmtId="0" fontId="7" fillId="19" borderId="31" xfId="0" applyFont="1" applyFill="1" applyBorder="1"/>
    <xf numFmtId="3" fontId="40" fillId="19" borderId="31" xfId="0" applyNumberFormat="1" applyFont="1" applyFill="1" applyBorder="1" applyAlignment="1">
      <alignment horizontal="right" vertical="center"/>
    </xf>
    <xf numFmtId="3" fontId="10" fillId="19" borderId="31" xfId="0" applyNumberFormat="1" applyFont="1" applyFill="1" applyBorder="1" applyAlignment="1">
      <alignment horizontal="right" vertical="center"/>
    </xf>
    <xf numFmtId="3" fontId="43" fillId="19" borderId="31" xfId="0" applyNumberFormat="1" applyFont="1" applyFill="1" applyBorder="1" applyAlignment="1">
      <alignment horizontal="left" vertical="center" indent="1"/>
    </xf>
    <xf numFmtId="3" fontId="7" fillId="19" borderId="31" xfId="0" applyNumberFormat="1" applyFont="1" applyFill="1" applyBorder="1" applyAlignment="1">
      <alignment horizontal="left" vertical="center" indent="1"/>
    </xf>
    <xf numFmtId="3" fontId="7" fillId="19" borderId="31" xfId="0" applyNumberFormat="1" applyFont="1" applyFill="1" applyBorder="1" applyAlignment="1">
      <alignment horizontal="right" vertical="center" indent="1"/>
    </xf>
    <xf numFmtId="0" fontId="7" fillId="19" borderId="32" xfId="0" applyFont="1" applyFill="1" applyBorder="1"/>
    <xf numFmtId="0" fontId="7" fillId="17" borderId="33" xfId="0" applyFont="1" applyFill="1" applyBorder="1"/>
    <xf numFmtId="3" fontId="40" fillId="17" borderId="33" xfId="0" applyNumberFormat="1" applyFont="1" applyFill="1" applyBorder="1" applyAlignment="1">
      <alignment horizontal="right" vertical="center"/>
    </xf>
    <xf numFmtId="3" fontId="10" fillId="17" borderId="33" xfId="0" applyNumberFormat="1" applyFont="1" applyFill="1" applyBorder="1" applyAlignment="1">
      <alignment horizontal="right" vertical="center"/>
    </xf>
    <xf numFmtId="3" fontId="43" fillId="17" borderId="33" xfId="0" applyNumberFormat="1" applyFont="1" applyFill="1" applyBorder="1" applyAlignment="1">
      <alignment horizontal="left" vertical="center" indent="1"/>
    </xf>
    <xf numFmtId="3" fontId="7" fillId="17" borderId="33" xfId="0" applyNumberFormat="1" applyFont="1" applyFill="1" applyBorder="1" applyAlignment="1">
      <alignment horizontal="left" vertical="center" indent="1"/>
    </xf>
    <xf numFmtId="3" fontId="7" fillId="17" borderId="33" xfId="0" applyNumberFormat="1" applyFont="1" applyFill="1" applyBorder="1" applyAlignment="1">
      <alignment horizontal="right" vertical="center" indent="1"/>
    </xf>
    <xf numFmtId="3" fontId="7" fillId="17" borderId="25" xfId="0" applyNumberFormat="1" applyFont="1" applyFill="1" applyBorder="1" applyAlignment="1">
      <alignment horizontal="left" vertical="center" indent="1"/>
    </xf>
    <xf numFmtId="3" fontId="7" fillId="17" borderId="25" xfId="0" applyNumberFormat="1" applyFont="1" applyFill="1" applyBorder="1" applyAlignment="1">
      <alignment horizontal="right" vertical="center" indent="1"/>
    </xf>
    <xf numFmtId="3" fontId="43" fillId="17" borderId="25" xfId="0" applyNumberFormat="1" applyFont="1" applyFill="1" applyBorder="1" applyAlignment="1">
      <alignment horizontal="left" vertical="center" indent="1"/>
    </xf>
    <xf numFmtId="0" fontId="7" fillId="17" borderId="34" xfId="0" applyFont="1" applyFill="1" applyBorder="1"/>
    <xf numFmtId="0" fontId="7" fillId="17" borderId="27" xfId="0" applyFont="1" applyFill="1" applyBorder="1"/>
    <xf numFmtId="0" fontId="7" fillId="19" borderId="0" xfId="0" applyFont="1" applyFill="1" applyBorder="1" applyAlignment="1">
      <alignment vertical="top"/>
    </xf>
    <xf numFmtId="3" fontId="45" fillId="19" borderId="0" xfId="0" applyNumberFormat="1" applyFont="1" applyFill="1" applyBorder="1" applyAlignment="1">
      <alignment horizontal="left" vertical="center" indent="1"/>
    </xf>
    <xf numFmtId="3" fontId="9" fillId="19" borderId="0" xfId="0" applyNumberFormat="1" applyFont="1" applyFill="1" applyBorder="1" applyAlignment="1">
      <alignment horizontal="right" vertical="center" indent="1"/>
    </xf>
    <xf numFmtId="3" fontId="9" fillId="17" borderId="0" xfId="0" applyNumberFormat="1" applyFont="1" applyFill="1" applyBorder="1" applyAlignment="1">
      <alignment horizontal="right" vertical="center" indent="1"/>
    </xf>
    <xf numFmtId="0" fontId="3" fillId="0" borderId="0" xfId="0" applyFont="1"/>
    <xf numFmtId="0" fontId="0" fillId="17" borderId="43" xfId="0" applyFill="1" applyBorder="1"/>
    <xf numFmtId="0" fontId="12" fillId="17" borderId="44" xfId="0" applyFont="1" applyFill="1" applyBorder="1"/>
    <xf numFmtId="0" fontId="13" fillId="17" borderId="44" xfId="0" applyFont="1" applyFill="1" applyBorder="1"/>
    <xf numFmtId="3" fontId="13" fillId="17" borderId="44" xfId="0" applyNumberFormat="1" applyFont="1" applyFill="1" applyBorder="1" applyAlignment="1">
      <alignment horizontal="right" vertical="center" indent="1"/>
    </xf>
    <xf numFmtId="0" fontId="13" fillId="17" borderId="45" xfId="0" applyFont="1" applyFill="1" applyBorder="1"/>
    <xf numFmtId="0" fontId="0" fillId="17" borderId="46" xfId="0" applyFill="1" applyBorder="1"/>
    <xf numFmtId="0" fontId="13" fillId="17" borderId="47" xfId="0" applyFont="1" applyFill="1" applyBorder="1"/>
    <xf numFmtId="0" fontId="13" fillId="17" borderId="47" xfId="0" applyFont="1" applyFill="1" applyBorder="1" applyAlignment="1">
      <alignment horizontal="center"/>
    </xf>
    <xf numFmtId="0" fontId="0" fillId="17" borderId="48" xfId="0" applyFill="1" applyBorder="1"/>
    <xf numFmtId="0" fontId="12" fillId="17" borderId="49" xfId="0" applyFont="1" applyFill="1" applyBorder="1"/>
    <xf numFmtId="0" fontId="13" fillId="17" borderId="49" xfId="0" applyFont="1" applyFill="1" applyBorder="1"/>
    <xf numFmtId="0" fontId="13" fillId="17" borderId="50" xfId="0" applyFont="1" applyFill="1" applyBorder="1"/>
    <xf numFmtId="0" fontId="38" fillId="19" borderId="15" xfId="0" applyFont="1" applyFill="1" applyBorder="1" applyAlignment="1">
      <alignment horizontal="center"/>
    </xf>
    <xf numFmtId="0" fontId="38" fillId="17" borderId="51" xfId="0" applyFont="1" applyFill="1" applyBorder="1" applyAlignment="1">
      <alignment horizontal="center"/>
    </xf>
    <xf numFmtId="0" fontId="38" fillId="17" borderId="52" xfId="0" applyFont="1" applyFill="1" applyBorder="1" applyAlignment="1">
      <alignment horizontal="center"/>
    </xf>
    <xf numFmtId="0" fontId="38" fillId="17" borderId="53" xfId="0" applyFont="1" applyFill="1" applyBorder="1" applyAlignment="1">
      <alignment horizontal="center"/>
    </xf>
    <xf numFmtId="0" fontId="13" fillId="19" borderId="24" xfId="0" applyFont="1" applyFill="1" applyBorder="1"/>
    <xf numFmtId="0" fontId="13" fillId="19" borderId="27" xfId="0" applyFont="1" applyFill="1" applyBorder="1"/>
    <xf numFmtId="3" fontId="0" fillId="0" borderId="0" xfId="0" applyNumberFormat="1"/>
    <xf numFmtId="0" fontId="7" fillId="20" borderId="0" xfId="0" applyFont="1" applyFill="1" applyBorder="1" applyAlignment="1">
      <alignment horizontal="center"/>
    </xf>
    <xf numFmtId="0" fontId="7" fillId="20" borderId="15" xfId="0" applyFont="1" applyFill="1" applyBorder="1" applyAlignment="1">
      <alignment horizontal="center"/>
    </xf>
    <xf numFmtId="0" fontId="13" fillId="19" borderId="18" xfId="0" applyFont="1" applyFill="1" applyBorder="1" applyAlignment="1"/>
    <xf numFmtId="0" fontId="13" fillId="19" borderId="19" xfId="0" applyFont="1" applyFill="1" applyBorder="1" applyAlignment="1">
      <alignment wrapText="1"/>
    </xf>
    <xf numFmtId="0" fontId="13" fillId="19" borderId="19" xfId="0" applyFont="1" applyFill="1" applyBorder="1" applyAlignment="1"/>
    <xf numFmtId="3" fontId="12" fillId="19" borderId="19" xfId="0" applyNumberFormat="1" applyFont="1" applyFill="1" applyBorder="1" applyAlignment="1">
      <alignment horizontal="right" vertical="center" indent="1"/>
    </xf>
    <xf numFmtId="0" fontId="13" fillId="19" borderId="20" xfId="0" applyFont="1" applyFill="1" applyBorder="1" applyAlignment="1"/>
    <xf numFmtId="0" fontId="12" fillId="19" borderId="20" xfId="0" applyFont="1" applyFill="1" applyBorder="1" applyAlignment="1"/>
    <xf numFmtId="0" fontId="13" fillId="19" borderId="21" xfId="0" applyFont="1" applyFill="1" applyBorder="1" applyAlignment="1"/>
    <xf numFmtId="0" fontId="13" fillId="19" borderId="22" xfId="0" applyFont="1" applyFill="1" applyBorder="1" applyAlignment="1"/>
    <xf numFmtId="3" fontId="13" fillId="19" borderId="22" xfId="0" applyNumberFormat="1" applyFont="1" applyFill="1" applyBorder="1" applyAlignment="1">
      <alignment horizontal="right" vertical="center" indent="1"/>
    </xf>
    <xf numFmtId="3" fontId="13" fillId="22" borderId="0" xfId="0" applyNumberFormat="1" applyFont="1" applyFill="1" applyBorder="1" applyAlignment="1">
      <alignment horizontal="right" vertical="center" indent="1"/>
    </xf>
    <xf numFmtId="3" fontId="12" fillId="22" borderId="0" xfId="0" applyNumberFormat="1" applyFont="1" applyFill="1" applyBorder="1" applyAlignment="1">
      <alignment horizontal="right" vertical="center" indent="1"/>
    </xf>
    <xf numFmtId="3" fontId="12" fillId="22" borderId="19" xfId="0" applyNumberFormat="1" applyFont="1" applyFill="1" applyBorder="1" applyAlignment="1">
      <alignment horizontal="right" vertical="center" indent="1"/>
    </xf>
    <xf numFmtId="3" fontId="13" fillId="22" borderId="19" xfId="0" applyNumberFormat="1" applyFont="1" applyFill="1" applyBorder="1" applyAlignment="1">
      <alignment horizontal="right" vertical="center" indent="1"/>
    </xf>
    <xf numFmtId="3" fontId="13" fillId="22" borderId="22" xfId="0" applyNumberFormat="1" applyFont="1" applyFill="1" applyBorder="1" applyAlignment="1">
      <alignment horizontal="right" vertical="center" indent="1"/>
    </xf>
    <xf numFmtId="0" fontId="0" fillId="22" borderId="0" xfId="0" applyFill="1" applyBorder="1"/>
    <xf numFmtId="3" fontId="12" fillId="22" borderId="28" xfId="0" applyNumberFormat="1" applyFont="1" applyFill="1" applyBorder="1" applyAlignment="1">
      <alignment horizontal="right" vertical="center" indent="1"/>
    </xf>
    <xf numFmtId="3" fontId="13" fillId="22" borderId="28" xfId="0" applyNumberFormat="1" applyFont="1" applyFill="1" applyBorder="1" applyAlignment="1">
      <alignment horizontal="right" vertical="center" indent="1"/>
    </xf>
    <xf numFmtId="3" fontId="12" fillId="22" borderId="29" xfId="0" applyNumberFormat="1" applyFont="1" applyFill="1" applyBorder="1" applyAlignment="1">
      <alignment horizontal="right" vertical="center" indent="1"/>
    </xf>
    <xf numFmtId="3" fontId="13" fillId="22" borderId="29" xfId="0" applyNumberFormat="1" applyFont="1" applyFill="1" applyBorder="1" applyAlignment="1">
      <alignment horizontal="right" vertical="center" indent="1"/>
    </xf>
    <xf numFmtId="3" fontId="12" fillId="22" borderId="25" xfId="0" applyNumberFormat="1" applyFont="1" applyFill="1" applyBorder="1" applyAlignment="1">
      <alignment horizontal="right" vertical="center" indent="1"/>
    </xf>
    <xf numFmtId="3" fontId="13" fillId="22" borderId="25" xfId="0" applyNumberFormat="1" applyFont="1" applyFill="1" applyBorder="1" applyAlignment="1">
      <alignment horizontal="right" vertical="center" indent="1"/>
    </xf>
    <xf numFmtId="0" fontId="13" fillId="22" borderId="0" xfId="0" applyFont="1" applyFill="1" applyBorder="1"/>
    <xf numFmtId="3" fontId="12" fillId="22" borderId="0" xfId="0" applyNumberFormat="1" applyFont="1" applyFill="1" applyBorder="1" applyAlignment="1">
      <alignment horizontal="right" vertical="center" indent="1"/>
    </xf>
    <xf numFmtId="0" fontId="49" fillId="19" borderId="0" xfId="0" applyFont="1" applyFill="1" applyBorder="1"/>
    <xf numFmtId="0" fontId="13" fillId="22" borderId="0" xfId="0" applyFont="1" applyFill="1" applyBorder="1" applyAlignment="1">
      <alignment horizontal="center"/>
    </xf>
    <xf numFmtId="0" fontId="13" fillId="22" borderId="54" xfId="0" applyFont="1" applyFill="1" applyBorder="1" applyAlignment="1">
      <alignment horizontal="center"/>
    </xf>
    <xf numFmtId="0" fontId="13" fillId="22" borderId="55" xfId="0" applyFont="1" applyFill="1" applyBorder="1"/>
    <xf numFmtId="0" fontId="13" fillId="22" borderId="56" xfId="0" applyFont="1" applyFill="1" applyBorder="1"/>
    <xf numFmtId="0" fontId="13" fillId="22" borderId="54" xfId="0" applyFont="1" applyFill="1" applyBorder="1"/>
    <xf numFmtId="0" fontId="0" fillId="22" borderId="54" xfId="0" applyFill="1" applyBorder="1"/>
    <xf numFmtId="0" fontId="0" fillId="22" borderId="55" xfId="0" applyFill="1" applyBorder="1"/>
    <xf numFmtId="0" fontId="0" fillId="22" borderId="56" xfId="0" applyFill="1" applyBorder="1"/>
    <xf numFmtId="0" fontId="0" fillId="22" borderId="57" xfId="0" applyFill="1" applyBorder="1"/>
    <xf numFmtId="0" fontId="0" fillId="22" borderId="58" xfId="0" applyFill="1" applyBorder="1"/>
    <xf numFmtId="0" fontId="0" fillId="22" borderId="59" xfId="0" applyFill="1" applyBorder="1"/>
    <xf numFmtId="0" fontId="0" fillId="22" borderId="25" xfId="0" applyFill="1" applyBorder="1"/>
    <xf numFmtId="0" fontId="0" fillId="22" borderId="16" xfId="0" applyFill="1" applyBorder="1"/>
    <xf numFmtId="0" fontId="13" fillId="22" borderId="22" xfId="0" applyFont="1" applyFill="1" applyBorder="1"/>
    <xf numFmtId="0" fontId="13" fillId="19" borderId="72" xfId="0" applyFont="1" applyFill="1" applyBorder="1"/>
    <xf numFmtId="3" fontId="13" fillId="19" borderId="73" xfId="0" applyNumberFormat="1" applyFont="1" applyFill="1" applyBorder="1" applyAlignment="1">
      <alignment horizontal="right" vertical="center" indent="1"/>
    </xf>
    <xf numFmtId="3" fontId="13" fillId="19" borderId="74" xfId="0" applyNumberFormat="1" applyFont="1" applyFill="1" applyBorder="1" applyAlignment="1">
      <alignment horizontal="right" vertical="center" indent="1"/>
    </xf>
    <xf numFmtId="3" fontId="13" fillId="22" borderId="73" xfId="0" applyNumberFormat="1" applyFont="1" applyFill="1" applyBorder="1" applyAlignment="1">
      <alignment horizontal="right" vertical="center" indent="1"/>
    </xf>
    <xf numFmtId="0" fontId="0" fillId="22" borderId="75" xfId="0" applyFill="1" applyBorder="1"/>
    <xf numFmtId="0" fontId="13" fillId="19" borderId="76" xfId="0" applyFont="1" applyFill="1" applyBorder="1"/>
    <xf numFmtId="0" fontId="0" fillId="22" borderId="77" xfId="0" applyFill="1" applyBorder="1"/>
    <xf numFmtId="0" fontId="13" fillId="19" borderId="78" xfId="0" applyFont="1" applyFill="1" applyBorder="1"/>
    <xf numFmtId="3" fontId="12" fillId="19" borderId="79" xfId="0" applyNumberFormat="1" applyFont="1" applyFill="1" applyBorder="1" applyAlignment="1">
      <alignment horizontal="right" vertical="center" indent="1"/>
    </xf>
    <xf numFmtId="3" fontId="13" fillId="19" borderId="79" xfId="0" applyNumberFormat="1" applyFont="1" applyFill="1" applyBorder="1" applyAlignment="1">
      <alignment horizontal="right" vertical="center" indent="1"/>
    </xf>
    <xf numFmtId="3" fontId="13" fillId="19" borderId="80" xfId="0" applyNumberFormat="1" applyFont="1" applyFill="1" applyBorder="1" applyAlignment="1">
      <alignment horizontal="right" vertical="center" indent="1"/>
    </xf>
    <xf numFmtId="3" fontId="13" fillId="22" borderId="79" xfId="0" applyNumberFormat="1" applyFont="1" applyFill="1" applyBorder="1" applyAlignment="1">
      <alignment horizontal="right" vertical="center" indent="1"/>
    </xf>
    <xf numFmtId="3" fontId="12" fillId="22" borderId="79" xfId="0" applyNumberFormat="1" applyFont="1" applyFill="1" applyBorder="1" applyAlignment="1">
      <alignment horizontal="right" vertical="center" indent="1"/>
    </xf>
    <xf numFmtId="0" fontId="0" fillId="22" borderId="81" xfId="0" applyFill="1" applyBorder="1"/>
    <xf numFmtId="0" fontId="13" fillId="19" borderId="82" xfId="0" applyFont="1" applyFill="1" applyBorder="1"/>
    <xf numFmtId="3" fontId="13" fillId="19" borderId="83" xfId="0" applyNumberFormat="1" applyFont="1" applyFill="1" applyBorder="1" applyAlignment="1">
      <alignment horizontal="right" vertical="center" indent="1"/>
    </xf>
    <xf numFmtId="3" fontId="13" fillId="19" borderId="84" xfId="0" applyNumberFormat="1" applyFont="1" applyFill="1" applyBorder="1" applyAlignment="1">
      <alignment horizontal="right" vertical="center" indent="1"/>
    </xf>
    <xf numFmtId="3" fontId="13" fillId="22" borderId="83" xfId="0" applyNumberFormat="1" applyFont="1" applyFill="1" applyBorder="1" applyAlignment="1">
      <alignment horizontal="right" vertical="center" indent="1"/>
    </xf>
    <xf numFmtId="0" fontId="0" fillId="22" borderId="85" xfId="0" applyFill="1" applyBorder="1"/>
    <xf numFmtId="0" fontId="13" fillId="19" borderId="86" xfId="0" applyFont="1" applyFill="1" applyBorder="1"/>
    <xf numFmtId="0" fontId="0" fillId="22" borderId="87" xfId="0" applyFill="1" applyBorder="1"/>
    <xf numFmtId="0" fontId="13" fillId="19" borderId="88" xfId="0" applyFont="1" applyFill="1" applyBorder="1"/>
    <xf numFmtId="3" fontId="12" fillId="19" borderId="89" xfId="0" applyNumberFormat="1" applyFont="1" applyFill="1" applyBorder="1" applyAlignment="1">
      <alignment horizontal="right" vertical="center" indent="1"/>
    </xf>
    <xf numFmtId="3" fontId="13" fillId="19" borderId="89" xfId="0" applyNumberFormat="1" applyFont="1" applyFill="1" applyBorder="1" applyAlignment="1">
      <alignment horizontal="right" vertical="center" indent="1"/>
    </xf>
    <xf numFmtId="3" fontId="13" fillId="19" borderId="90" xfId="0" applyNumberFormat="1" applyFont="1" applyFill="1" applyBorder="1" applyAlignment="1">
      <alignment horizontal="right" vertical="center" indent="1"/>
    </xf>
    <xf numFmtId="3" fontId="13" fillId="22" borderId="89" xfId="0" applyNumberFormat="1" applyFont="1" applyFill="1" applyBorder="1" applyAlignment="1">
      <alignment horizontal="right" vertical="center" indent="1"/>
    </xf>
    <xf numFmtId="3" fontId="12" fillId="22" borderId="89" xfId="0" applyNumberFormat="1" applyFont="1" applyFill="1" applyBorder="1" applyAlignment="1">
      <alignment horizontal="right" vertical="center" indent="1"/>
    </xf>
    <xf numFmtId="0" fontId="0" fillId="22" borderId="91" xfId="0" applyFill="1" applyBorder="1"/>
    <xf numFmtId="3" fontId="12" fillId="19" borderId="83" xfId="0" applyNumberFormat="1" applyFont="1" applyFill="1" applyBorder="1" applyAlignment="1">
      <alignment horizontal="right" vertical="center" indent="1"/>
    </xf>
    <xf numFmtId="3" fontId="12" fillId="22" borderId="83" xfId="0" applyNumberFormat="1" applyFont="1" applyFill="1" applyBorder="1" applyAlignment="1">
      <alignment horizontal="right" vertical="center" indent="1"/>
    </xf>
    <xf numFmtId="0" fontId="12" fillId="19" borderId="0" xfId="0" applyFont="1" applyFill="1" applyBorder="1" applyAlignment="1">
      <alignment horizontal="center" vertical="center"/>
    </xf>
    <xf numFmtId="0" fontId="0" fillId="22" borderId="0" xfId="0" applyFill="1" applyBorder="1" applyAlignment="1">
      <alignment horizontal="right" vertical="center" indent="1"/>
    </xf>
    <xf numFmtId="3" fontId="12" fillId="22" borderId="0" xfId="0" applyNumberFormat="1" applyFont="1" applyFill="1" applyBorder="1" applyAlignment="1">
      <alignment horizontal="right" vertical="center" indent="1"/>
    </xf>
    <xf numFmtId="0" fontId="13" fillId="0" borderId="0" xfId="0" applyFont="1" applyBorder="1"/>
    <xf numFmtId="3" fontId="49" fillId="19" borderId="0" xfId="0" applyNumberFormat="1" applyFont="1" applyFill="1" applyBorder="1" applyAlignment="1">
      <alignment horizontal="left" vertical="center" indent="1"/>
    </xf>
    <xf numFmtId="0" fontId="50" fillId="0" borderId="0" xfId="0" applyFont="1"/>
    <xf numFmtId="0" fontId="51" fillId="0" borderId="0" xfId="0" applyFont="1"/>
    <xf numFmtId="3" fontId="39" fillId="19" borderId="0" xfId="0" applyNumberFormat="1" applyFont="1" applyFill="1" applyBorder="1" applyAlignment="1">
      <alignment horizontal="right" vertical="center" indent="1"/>
    </xf>
    <xf numFmtId="3" fontId="12" fillId="22" borderId="0" xfId="0" applyNumberFormat="1" applyFont="1" applyFill="1" applyBorder="1" applyAlignment="1">
      <alignment horizontal="right" vertical="center" indent="1"/>
    </xf>
    <xf numFmtId="3" fontId="9" fillId="19" borderId="0" xfId="0" applyNumberFormat="1" applyFont="1" applyFill="1" applyBorder="1" applyAlignment="1">
      <alignment horizontal="center" vertical="top" wrapText="1"/>
    </xf>
    <xf numFmtId="3" fontId="7" fillId="19" borderId="0" xfId="0" applyNumberFormat="1" applyFont="1" applyFill="1" applyBorder="1" applyAlignment="1">
      <alignment horizontal="right" vertical="top"/>
    </xf>
    <xf numFmtId="3" fontId="12" fillId="22" borderId="0" xfId="0" applyNumberFormat="1" applyFont="1" applyFill="1" applyBorder="1" applyAlignment="1">
      <alignment horizontal="right" vertical="center" indent="1"/>
    </xf>
    <xf numFmtId="0" fontId="39" fillId="19" borderId="0" xfId="0" applyFont="1" applyFill="1" applyBorder="1"/>
    <xf numFmtId="0" fontId="3" fillId="19" borderId="0" xfId="0" applyFont="1" applyFill="1" applyBorder="1"/>
    <xf numFmtId="0" fontId="52" fillId="19" borderId="23" xfId="0" applyFont="1" applyFill="1" applyBorder="1"/>
    <xf numFmtId="0" fontId="52" fillId="19" borderId="61" xfId="0" applyFont="1" applyFill="1" applyBorder="1"/>
    <xf numFmtId="0" fontId="52" fillId="17" borderId="62" xfId="0" applyFont="1" applyFill="1" applyBorder="1"/>
    <xf numFmtId="0" fontId="52" fillId="17" borderId="23" xfId="0" applyFont="1" applyFill="1" applyBorder="1"/>
    <xf numFmtId="0" fontId="52" fillId="17" borderId="24" xfId="0" applyFont="1" applyFill="1" applyBorder="1"/>
    <xf numFmtId="0" fontId="55" fillId="19" borderId="23" xfId="0" applyFont="1" applyFill="1" applyBorder="1"/>
    <xf numFmtId="0" fontId="52" fillId="0" borderId="0" xfId="0" applyFont="1"/>
    <xf numFmtId="0" fontId="55" fillId="23" borderId="0" xfId="0" applyFont="1" applyFill="1" applyBorder="1"/>
    <xf numFmtId="3" fontId="9" fillId="22" borderId="0" xfId="0" applyNumberFormat="1" applyFont="1" applyFill="1" applyBorder="1" applyAlignment="1">
      <alignment horizontal="center" vertical="center" wrapText="1"/>
    </xf>
    <xf numFmtId="3" fontId="7" fillId="22" borderId="0" xfId="0" applyNumberFormat="1" applyFont="1" applyFill="1" applyBorder="1" applyAlignment="1">
      <alignment horizontal="right" vertical="center" indent="1"/>
    </xf>
    <xf numFmtId="0" fontId="7" fillId="22" borderId="0" xfId="0" applyFont="1" applyFill="1" applyBorder="1"/>
    <xf numFmtId="3" fontId="9" fillId="22" borderId="0" xfId="0" applyNumberFormat="1" applyFont="1" applyFill="1" applyBorder="1" applyAlignment="1">
      <alignment horizontal="center" vertical="center"/>
    </xf>
    <xf numFmtId="3" fontId="9" fillId="22" borderId="0" xfId="0" applyNumberFormat="1" applyFont="1" applyFill="1" applyBorder="1" applyAlignment="1">
      <alignment horizontal="right" vertical="center" indent="1"/>
    </xf>
    <xf numFmtId="3" fontId="7" fillId="22" borderId="19" xfId="0" applyNumberFormat="1" applyFont="1" applyFill="1" applyBorder="1" applyAlignment="1">
      <alignment horizontal="right" vertical="center" indent="1"/>
    </xf>
    <xf numFmtId="0" fontId="7" fillId="22" borderId="54" xfId="0" applyFont="1" applyFill="1" applyBorder="1"/>
    <xf numFmtId="0" fontId="7" fillId="22" borderId="55" xfId="0" applyFont="1" applyFill="1" applyBorder="1"/>
    <xf numFmtId="0" fontId="7" fillId="22" borderId="22" xfId="0" applyFont="1" applyFill="1" applyBorder="1"/>
    <xf numFmtId="0" fontId="7" fillId="22" borderId="56" xfId="0" applyFont="1" applyFill="1" applyBorder="1"/>
    <xf numFmtId="0" fontId="9" fillId="22" borderId="0" xfId="0" applyFont="1" applyFill="1" applyBorder="1" applyAlignment="1">
      <alignment horizontal="right"/>
    </xf>
    <xf numFmtId="0" fontId="7" fillId="22" borderId="19" xfId="0" applyFont="1" applyFill="1" applyBorder="1"/>
    <xf numFmtId="0" fontId="12" fillId="19" borderId="0" xfId="0" applyFont="1" applyFill="1" applyBorder="1" applyAlignment="1">
      <alignment horizontal="right"/>
    </xf>
    <xf numFmtId="3" fontId="0" fillId="22" borderId="0" xfId="0" applyNumberFormat="1" applyFill="1" applyBorder="1"/>
    <xf numFmtId="0" fontId="0" fillId="22" borderId="89" xfId="0" applyFill="1" applyBorder="1"/>
    <xf numFmtId="0" fontId="49" fillId="19" borderId="0" xfId="0" applyFont="1" applyFill="1" applyBorder="1" applyAlignment="1"/>
    <xf numFmtId="0" fontId="0" fillId="23" borderId="0" xfId="0" applyFill="1"/>
    <xf numFmtId="3" fontId="7" fillId="22" borderId="0" xfId="0" applyNumberFormat="1" applyFont="1" applyFill="1" applyBorder="1" applyAlignment="1">
      <alignment vertical="center"/>
    </xf>
    <xf numFmtId="3" fontId="51" fillId="22" borderId="0" xfId="0" applyNumberFormat="1" applyFont="1" applyFill="1" applyBorder="1" applyAlignment="1">
      <alignment vertical="center"/>
    </xf>
    <xf numFmtId="3" fontId="7" fillId="22" borderId="19" xfId="0" applyNumberFormat="1" applyFont="1" applyFill="1" applyBorder="1" applyAlignment="1">
      <alignment vertical="center"/>
    </xf>
    <xf numFmtId="0" fontId="55" fillId="0" borderId="0" xfId="0" applyFont="1" applyBorder="1"/>
    <xf numFmtId="3" fontId="12" fillId="22" borderId="0" xfId="0" applyNumberFormat="1" applyFont="1" applyFill="1" applyBorder="1" applyAlignment="1">
      <alignment horizontal="right" vertical="center" indent="1"/>
    </xf>
    <xf numFmtId="0" fontId="12" fillId="19" borderId="0" xfId="0" applyFont="1" applyFill="1" applyBorder="1" applyAlignment="1">
      <alignment horizontal="left"/>
    </xf>
    <xf numFmtId="0" fontId="12" fillId="19" borderId="0" xfId="0" applyFont="1" applyFill="1" applyBorder="1" applyAlignment="1">
      <alignment horizontal="center"/>
    </xf>
    <xf numFmtId="0" fontId="8" fillId="20" borderId="23" xfId="0" applyFont="1" applyFill="1" applyBorder="1" applyAlignment="1">
      <alignment horizontal="center"/>
    </xf>
    <xf numFmtId="3" fontId="13" fillId="22" borderId="0" xfId="0" applyNumberFormat="1" applyFont="1" applyFill="1" applyBorder="1" applyAlignment="1">
      <alignment horizontal="center" vertical="center"/>
    </xf>
    <xf numFmtId="3" fontId="13" fillId="17" borderId="18" xfId="0" applyNumberFormat="1" applyFont="1" applyFill="1" applyBorder="1" applyAlignment="1">
      <alignment horizontal="right" vertical="center" indent="1"/>
    </xf>
    <xf numFmtId="3" fontId="13" fillId="17" borderId="20" xfId="0" applyNumberFormat="1" applyFont="1" applyFill="1" applyBorder="1" applyAlignment="1">
      <alignment horizontal="right" vertical="center" indent="1"/>
    </xf>
    <xf numFmtId="0" fontId="13" fillId="0" borderId="20" xfId="0" applyFont="1" applyBorder="1"/>
    <xf numFmtId="3" fontId="13" fillId="22" borderId="93" xfId="0" applyNumberFormat="1" applyFont="1" applyFill="1" applyBorder="1" applyAlignment="1">
      <alignment horizontal="right" vertical="center" indent="1"/>
    </xf>
    <xf numFmtId="3" fontId="13" fillId="22" borderId="92" xfId="0" applyNumberFormat="1" applyFont="1" applyFill="1" applyBorder="1" applyAlignment="1">
      <alignment horizontal="center" vertical="top"/>
    </xf>
    <xf numFmtId="3" fontId="13" fillId="22" borderId="94" xfId="0" applyNumberFormat="1" applyFont="1" applyFill="1" applyBorder="1" applyAlignment="1">
      <alignment horizontal="right" vertical="center" indent="1"/>
    </xf>
    <xf numFmtId="3" fontId="12" fillId="19" borderId="95" xfId="0" applyNumberFormat="1" applyFont="1" applyFill="1" applyBorder="1" applyAlignment="1">
      <alignment horizontal="right" vertical="center" indent="1"/>
    </xf>
    <xf numFmtId="3" fontId="12" fillId="19" borderId="96" xfId="0" applyNumberFormat="1" applyFont="1" applyFill="1" applyBorder="1" applyAlignment="1">
      <alignment horizontal="right" vertical="center" indent="1"/>
    </xf>
    <xf numFmtId="3" fontId="9" fillId="19" borderId="0" xfId="0" applyNumberFormat="1" applyFont="1" applyFill="1" applyBorder="1" applyAlignment="1">
      <alignment horizontal="center" vertical="center" wrapText="1"/>
    </xf>
    <xf numFmtId="0" fontId="12" fillId="22" borderId="0" xfId="0" applyFont="1" applyFill="1" applyBorder="1" applyAlignment="1">
      <alignment horizontal="center"/>
    </xf>
    <xf numFmtId="0" fontId="4" fillId="19" borderId="0" xfId="0" applyFont="1" applyFill="1" applyBorder="1" applyAlignment="1">
      <alignment horizontal="left"/>
    </xf>
    <xf numFmtId="0" fontId="9" fillId="19" borderId="0" xfId="0" applyFont="1" applyFill="1" applyBorder="1" applyAlignment="1">
      <alignment wrapText="1"/>
    </xf>
    <xf numFmtId="0" fontId="9" fillId="19" borderId="16" xfId="0" applyFont="1" applyFill="1" applyBorder="1" applyAlignment="1">
      <alignment wrapText="1"/>
    </xf>
    <xf numFmtId="0" fontId="9" fillId="22" borderId="16" xfId="0" applyFont="1" applyFill="1" applyBorder="1" applyAlignment="1">
      <alignment wrapText="1"/>
    </xf>
    <xf numFmtId="0" fontId="9" fillId="22" borderId="0" xfId="0" applyFont="1" applyFill="1" applyBorder="1" applyAlignment="1">
      <alignment wrapText="1"/>
    </xf>
    <xf numFmtId="0" fontId="7" fillId="19" borderId="16" xfId="0" applyFont="1" applyFill="1" applyBorder="1"/>
    <xf numFmtId="0" fontId="53" fillId="19" borderId="23" xfId="0" applyFont="1" applyFill="1" applyBorder="1"/>
    <xf numFmtId="0" fontId="49" fillId="19" borderId="15" xfId="0" applyFont="1" applyFill="1" applyBorder="1"/>
    <xf numFmtId="0" fontId="7" fillId="19" borderId="0" xfId="0" applyFont="1" applyFill="1" applyBorder="1" applyAlignment="1">
      <alignment horizontal="right"/>
    </xf>
    <xf numFmtId="3" fontId="12" fillId="22" borderId="0" xfId="0" applyNumberFormat="1" applyFont="1" applyFill="1" applyBorder="1" applyAlignment="1">
      <alignment horizontal="right" vertical="center" indent="1"/>
    </xf>
    <xf numFmtId="3" fontId="9" fillId="22" borderId="0" xfId="0" applyNumberFormat="1" applyFont="1" applyFill="1" applyBorder="1" applyAlignment="1">
      <alignment vertical="center"/>
    </xf>
    <xf numFmtId="0" fontId="61" fillId="19" borderId="0" xfId="0" applyFont="1" applyFill="1" applyBorder="1"/>
    <xf numFmtId="0" fontId="61" fillId="22" borderId="0" xfId="0" applyFont="1" applyFill="1" applyBorder="1"/>
    <xf numFmtId="3" fontId="60" fillId="22" borderId="0" xfId="0" applyNumberFormat="1" applyFont="1" applyFill="1" applyBorder="1" applyAlignment="1">
      <alignment horizontal="right" vertical="center" indent="1"/>
    </xf>
    <xf numFmtId="0" fontId="0" fillId="25" borderId="0" xfId="0" applyFill="1"/>
    <xf numFmtId="0" fontId="7" fillId="19" borderId="0" xfId="0" applyFont="1" applyFill="1" applyBorder="1" applyAlignment="1"/>
    <xf numFmtId="0" fontId="7" fillId="17" borderId="49" xfId="0" applyFont="1" applyFill="1" applyBorder="1"/>
    <xf numFmtId="0" fontId="7" fillId="19" borderId="0" xfId="0" applyFont="1" applyFill="1" applyBorder="1" applyAlignment="1">
      <alignment wrapText="1"/>
    </xf>
    <xf numFmtId="0" fontId="7" fillId="19" borderId="28" xfId="0" applyFont="1" applyFill="1" applyBorder="1"/>
    <xf numFmtId="0" fontId="0" fillId="0" borderId="0" xfId="0" applyProtection="1">
      <protection locked="0"/>
    </xf>
    <xf numFmtId="3" fontId="49" fillId="19" borderId="0" xfId="0" applyNumberFormat="1" applyFont="1" applyFill="1" applyBorder="1" applyAlignment="1">
      <alignment horizontal="right" vertical="center" indent="1"/>
    </xf>
    <xf numFmtId="3" fontId="49" fillId="22" borderId="0" xfId="0" applyNumberFormat="1" applyFont="1" applyFill="1" applyBorder="1" applyAlignment="1">
      <alignment horizontal="right" vertical="center" indent="1"/>
    </xf>
    <xf numFmtId="3" fontId="12" fillId="22" borderId="0" xfId="0" applyNumberFormat="1" applyFont="1" applyFill="1" applyBorder="1" applyAlignment="1">
      <alignment horizontal="right" vertical="center" indent="1"/>
    </xf>
    <xf numFmtId="3" fontId="12" fillId="19" borderId="0" xfId="0" applyNumberFormat="1" applyFont="1" applyFill="1" applyBorder="1" applyAlignment="1">
      <alignment vertical="center"/>
    </xf>
    <xf numFmtId="3" fontId="49" fillId="19" borderId="0" xfId="0" applyNumberFormat="1" applyFont="1" applyFill="1" applyBorder="1" applyAlignment="1">
      <alignment vertical="center"/>
    </xf>
    <xf numFmtId="3" fontId="62" fillId="19" borderId="0" xfId="0" applyNumberFormat="1" applyFont="1" applyFill="1" applyBorder="1" applyAlignment="1">
      <alignment horizontal="right" vertical="center" indent="1"/>
    </xf>
    <xf numFmtId="3" fontId="12" fillId="19" borderId="0" xfId="0" applyNumberFormat="1" applyFont="1" applyFill="1" applyBorder="1" applyAlignment="1">
      <alignment wrapText="1"/>
    </xf>
    <xf numFmtId="3" fontId="49" fillId="19" borderId="0" xfId="0" applyNumberFormat="1" applyFont="1" applyFill="1" applyBorder="1" applyAlignment="1">
      <alignment wrapText="1"/>
    </xf>
    <xf numFmtId="3" fontId="49" fillId="19" borderId="0" xfId="0" applyNumberFormat="1" applyFont="1" applyFill="1" applyBorder="1" applyAlignment="1">
      <alignment vertical="center" wrapText="1"/>
    </xf>
    <xf numFmtId="0" fontId="59" fillId="0" borderId="0" xfId="0" applyFont="1"/>
    <xf numFmtId="0" fontId="49" fillId="23" borderId="0" xfId="0" applyFont="1" applyFill="1" applyBorder="1"/>
    <xf numFmtId="0" fontId="7" fillId="23" borderId="0" xfId="0" applyFont="1" applyFill="1"/>
    <xf numFmtId="0" fontId="55" fillId="0" borderId="0" xfId="0" applyFont="1"/>
    <xf numFmtId="0" fontId="8" fillId="20" borderId="23" xfId="0" applyFont="1" applyFill="1" applyBorder="1" applyAlignment="1">
      <alignment horizontal="center"/>
    </xf>
    <xf numFmtId="0" fontId="13" fillId="19" borderId="0" xfId="0" applyFont="1" applyFill="1" applyBorder="1" applyAlignment="1">
      <alignment wrapText="1"/>
    </xf>
    <xf numFmtId="0" fontId="7" fillId="20" borderId="0" xfId="0" applyFont="1" applyFill="1" applyBorder="1" applyAlignment="1">
      <alignment horizontal="center"/>
    </xf>
    <xf numFmtId="0" fontId="7" fillId="20" borderId="15" xfId="0" applyFont="1" applyFill="1" applyBorder="1" applyAlignment="1">
      <alignment horizontal="center"/>
    </xf>
    <xf numFmtId="0" fontId="9" fillId="19" borderId="0" xfId="0" applyFont="1" applyFill="1" applyBorder="1" applyAlignment="1">
      <alignment horizontal="left"/>
    </xf>
    <xf numFmtId="0" fontId="7" fillId="19" borderId="0" xfId="0" applyFont="1" applyFill="1" applyBorder="1" applyAlignment="1">
      <alignment wrapText="1"/>
    </xf>
    <xf numFmtId="0" fontId="7" fillId="20" borderId="16" xfId="0" applyFont="1" applyFill="1" applyBorder="1" applyAlignment="1">
      <alignment horizontal="center"/>
    </xf>
    <xf numFmtId="0" fontId="7" fillId="20" borderId="25" xfId="0" applyFont="1" applyFill="1" applyBorder="1" applyAlignment="1">
      <alignment horizontal="center"/>
    </xf>
    <xf numFmtId="0" fontId="12" fillId="19" borderId="0" xfId="0" applyFont="1" applyFill="1" applyBorder="1" applyAlignment="1">
      <alignment horizontal="left"/>
    </xf>
    <xf numFmtId="0" fontId="13" fillId="19" borderId="0" xfId="0" applyFont="1" applyFill="1" applyBorder="1" applyAlignment="1">
      <alignment horizontal="center"/>
    </xf>
    <xf numFmtId="0" fontId="49" fillId="19" borderId="0" xfId="0" applyFont="1" applyFill="1" applyBorder="1" applyAlignment="1">
      <alignment horizontal="left" vertical="center" wrapText="1"/>
    </xf>
    <xf numFmtId="0" fontId="38" fillId="19" borderId="0" xfId="0" applyFont="1" applyFill="1" applyBorder="1" applyAlignment="1">
      <alignment horizontal="center"/>
    </xf>
    <xf numFmtId="3" fontId="12" fillId="22" borderId="0" xfId="0" applyNumberFormat="1" applyFont="1" applyFill="1" applyBorder="1" applyAlignment="1">
      <alignment horizontal="right" vertical="center" indent="1"/>
    </xf>
    <xf numFmtId="0" fontId="12" fillId="19" borderId="0" xfId="0" applyFont="1" applyFill="1" applyBorder="1" applyAlignment="1">
      <alignment horizontal="center" wrapText="1"/>
    </xf>
    <xf numFmtId="3" fontId="12" fillId="17" borderId="0" xfId="0" applyNumberFormat="1" applyFont="1" applyFill="1" applyBorder="1" applyAlignment="1">
      <alignment horizontal="center" vertical="center"/>
    </xf>
    <xf numFmtId="3" fontId="12" fillId="19" borderId="0" xfId="0" applyNumberFormat="1" applyFont="1" applyFill="1" applyBorder="1" applyAlignment="1">
      <alignment horizontal="center" wrapText="1"/>
    </xf>
    <xf numFmtId="0" fontId="12" fillId="19" borderId="0" xfId="0" applyFont="1" applyFill="1" applyBorder="1" applyAlignment="1">
      <alignment horizontal="center"/>
    </xf>
    <xf numFmtId="0" fontId="7" fillId="20" borderId="16" xfId="0" applyFont="1" applyFill="1" applyBorder="1" applyProtection="1">
      <protection locked="0"/>
    </xf>
    <xf numFmtId="0" fontId="13" fillId="25" borderId="0" xfId="0" applyFont="1" applyFill="1" applyBorder="1"/>
    <xf numFmtId="0" fontId="0" fillId="25" borderId="0" xfId="0" applyFill="1" applyBorder="1"/>
    <xf numFmtId="0" fontId="51" fillId="23" borderId="0" xfId="0" applyFont="1" applyFill="1" applyBorder="1" applyAlignment="1">
      <alignment vertical="center"/>
    </xf>
    <xf numFmtId="0" fontId="7" fillId="20" borderId="25" xfId="0" applyFont="1" applyFill="1" applyBorder="1" applyAlignment="1">
      <alignment horizontal="right"/>
    </xf>
    <xf numFmtId="3" fontId="7" fillId="19" borderId="0" xfId="0" applyNumberFormat="1" applyFont="1" applyFill="1" applyBorder="1" applyAlignment="1">
      <alignment horizontal="right" vertical="center"/>
    </xf>
    <xf numFmtId="3" fontId="13" fillId="22" borderId="0" xfId="0" applyNumberFormat="1" applyFont="1" applyFill="1" applyBorder="1" applyAlignment="1" applyProtection="1">
      <alignment horizontal="right" vertical="center" indent="1"/>
    </xf>
    <xf numFmtId="3" fontId="12" fillId="22" borderId="0" xfId="0" applyNumberFormat="1" applyFont="1" applyFill="1" applyBorder="1" applyAlignment="1" applyProtection="1">
      <alignment horizontal="right" vertical="center" indent="1"/>
    </xf>
    <xf numFmtId="3" fontId="13" fillId="22" borderId="89" xfId="0" applyNumberFormat="1" applyFont="1" applyFill="1" applyBorder="1" applyAlignment="1" applyProtection="1">
      <alignment horizontal="right" vertical="center" indent="1"/>
    </xf>
    <xf numFmtId="3" fontId="12" fillId="22" borderId="89" xfId="0" applyNumberFormat="1" applyFont="1" applyFill="1" applyBorder="1" applyAlignment="1" applyProtection="1">
      <alignment horizontal="right" vertical="center" indent="1"/>
    </xf>
    <xf numFmtId="3" fontId="13" fillId="22" borderId="19" xfId="0" applyNumberFormat="1" applyFont="1" applyFill="1" applyBorder="1" applyAlignment="1" applyProtection="1">
      <alignment horizontal="right" vertical="center" indent="1"/>
    </xf>
    <xf numFmtId="3" fontId="12" fillId="22" borderId="19" xfId="0" applyNumberFormat="1" applyFont="1" applyFill="1" applyBorder="1" applyAlignment="1" applyProtection="1">
      <alignment horizontal="right" vertical="center" indent="1"/>
    </xf>
    <xf numFmtId="3" fontId="13" fillId="22" borderId="22" xfId="0" applyNumberFormat="1" applyFont="1" applyFill="1" applyBorder="1" applyAlignment="1" applyProtection="1">
      <alignment horizontal="right" vertical="center" indent="1"/>
    </xf>
    <xf numFmtId="3" fontId="12" fillId="22" borderId="22" xfId="0" applyNumberFormat="1" applyFont="1" applyFill="1" applyBorder="1" applyAlignment="1" applyProtection="1">
      <alignment horizontal="right" vertical="center" indent="1"/>
    </xf>
    <xf numFmtId="0" fontId="7" fillId="0" borderId="0" xfId="0" applyFont="1" applyProtection="1">
      <protection locked="0"/>
    </xf>
    <xf numFmtId="0" fontId="44" fillId="20" borderId="16" xfId="0" applyFont="1" applyFill="1" applyBorder="1" applyProtection="1">
      <protection locked="0"/>
    </xf>
    <xf numFmtId="0" fontId="3" fillId="17" borderId="0" xfId="0" applyFont="1" applyFill="1"/>
    <xf numFmtId="0" fontId="3" fillId="23" borderId="0" xfId="0" applyFont="1" applyFill="1" applyAlignment="1">
      <alignment vertical="top"/>
    </xf>
    <xf numFmtId="3" fontId="12" fillId="17" borderId="0" xfId="0" applyNumberFormat="1" applyFont="1" applyFill="1" applyBorder="1" applyAlignment="1">
      <alignment horizontal="center" vertical="center"/>
    </xf>
    <xf numFmtId="0" fontId="9" fillId="25" borderId="0" xfId="0" applyFont="1" applyFill="1" applyBorder="1"/>
    <xf numFmtId="0" fontId="0" fillId="25" borderId="0" xfId="0" applyFill="1" applyBorder="1" applyProtection="1"/>
    <xf numFmtId="0" fontId="9" fillId="25" borderId="0" xfId="0" applyFont="1" applyFill="1" applyBorder="1" applyProtection="1"/>
    <xf numFmtId="0" fontId="13" fillId="25" borderId="0" xfId="0" applyFont="1" applyFill="1" applyBorder="1" applyProtection="1"/>
    <xf numFmtId="3" fontId="12" fillId="25" borderId="0" xfId="0" applyNumberFormat="1" applyFont="1" applyFill="1" applyBorder="1" applyAlignment="1" applyProtection="1">
      <alignment horizontal="right" vertical="center" indent="1"/>
    </xf>
    <xf numFmtId="3" fontId="13" fillId="25" borderId="0" xfId="0" applyNumberFormat="1" applyFont="1" applyFill="1" applyBorder="1" applyAlignment="1" applyProtection="1">
      <alignment horizontal="right" vertical="center" indent="1"/>
    </xf>
    <xf numFmtId="0" fontId="13" fillId="25" borderId="89" xfId="0" applyFont="1" applyFill="1" applyBorder="1" applyProtection="1"/>
    <xf numFmtId="3" fontId="13" fillId="25" borderId="89" xfId="0" applyNumberFormat="1" applyFont="1" applyFill="1" applyBorder="1" applyAlignment="1" applyProtection="1">
      <alignment horizontal="right" vertical="center" indent="1"/>
    </xf>
    <xf numFmtId="0" fontId="13" fillId="25" borderId="0" xfId="0" applyFont="1" applyFill="1" applyBorder="1" applyAlignment="1" applyProtection="1">
      <alignment vertical="top"/>
    </xf>
    <xf numFmtId="0" fontId="13" fillId="25" borderId="86" xfId="0" applyFont="1" applyFill="1" applyBorder="1" applyProtection="1"/>
    <xf numFmtId="3" fontId="13" fillId="25" borderId="30" xfId="0" applyNumberFormat="1" applyFont="1" applyFill="1" applyBorder="1" applyAlignment="1" applyProtection="1">
      <alignment horizontal="right" vertical="center" indent="1"/>
    </xf>
    <xf numFmtId="0" fontId="13" fillId="25" borderId="0" xfId="0" applyFont="1" applyFill="1" applyBorder="1" applyAlignment="1" applyProtection="1">
      <alignment vertical="top" wrapText="1"/>
    </xf>
    <xf numFmtId="0" fontId="13" fillId="25" borderId="88" xfId="0" applyFont="1" applyFill="1" applyBorder="1" applyProtection="1"/>
    <xf numFmtId="3" fontId="12" fillId="25" borderId="89" xfId="0" applyNumberFormat="1" applyFont="1" applyFill="1" applyBorder="1" applyAlignment="1" applyProtection="1">
      <alignment horizontal="right" vertical="center" indent="1"/>
    </xf>
    <xf numFmtId="3" fontId="13" fillId="25" borderId="90" xfId="0" applyNumberFormat="1" applyFont="1" applyFill="1" applyBorder="1" applyAlignment="1" applyProtection="1">
      <alignment horizontal="right" vertical="center" indent="1"/>
    </xf>
    <xf numFmtId="3" fontId="13" fillId="25" borderId="80" xfId="0" applyNumberFormat="1" applyFont="1" applyFill="1" applyBorder="1" applyAlignment="1" applyProtection="1">
      <alignment horizontal="right" vertical="center" indent="1"/>
    </xf>
    <xf numFmtId="0" fontId="0" fillId="25" borderId="18" xfId="0" applyFill="1" applyBorder="1" applyProtection="1"/>
    <xf numFmtId="0" fontId="13" fillId="25" borderId="19" xfId="0" applyFont="1" applyFill="1" applyBorder="1" applyProtection="1"/>
    <xf numFmtId="3" fontId="12" fillId="25" borderId="19" xfId="0" applyNumberFormat="1" applyFont="1" applyFill="1" applyBorder="1" applyAlignment="1" applyProtection="1">
      <alignment horizontal="right" vertical="center" indent="1"/>
    </xf>
    <xf numFmtId="3" fontId="13" fillId="25" borderId="19" xfId="0" applyNumberFormat="1" applyFont="1" applyFill="1" applyBorder="1" applyAlignment="1" applyProtection="1">
      <alignment horizontal="right" vertical="center" indent="1"/>
    </xf>
    <xf numFmtId="0" fontId="0" fillId="25" borderId="20" xfId="0" applyFill="1" applyBorder="1" applyProtection="1"/>
    <xf numFmtId="0" fontId="40" fillId="25" borderId="0" xfId="0" applyFont="1" applyFill="1" applyBorder="1" applyProtection="1"/>
    <xf numFmtId="0" fontId="7" fillId="25" borderId="0" xfId="0" applyFont="1" applyFill="1" applyBorder="1" applyProtection="1"/>
    <xf numFmtId="0" fontId="0" fillId="25" borderId="21" xfId="0" applyFill="1" applyBorder="1" applyProtection="1"/>
    <xf numFmtId="0" fontId="12" fillId="25" borderId="22" xfId="0" applyFont="1" applyFill="1" applyBorder="1" applyProtection="1"/>
    <xf numFmtId="0" fontId="13" fillId="25" borderId="22" xfId="0" applyFont="1" applyFill="1" applyBorder="1" applyProtection="1"/>
    <xf numFmtId="3" fontId="12" fillId="25" borderId="22" xfId="0" applyNumberFormat="1" applyFont="1" applyFill="1" applyBorder="1" applyAlignment="1" applyProtection="1">
      <alignment horizontal="right" vertical="center" indent="1"/>
    </xf>
    <xf numFmtId="3" fontId="13" fillId="25" borderId="22" xfId="0" applyNumberFormat="1" applyFont="1" applyFill="1" applyBorder="1" applyAlignment="1" applyProtection="1">
      <alignment horizontal="right" vertical="center" indent="1"/>
    </xf>
    <xf numFmtId="0" fontId="7" fillId="25" borderId="0" xfId="0" applyFont="1" applyFill="1" applyBorder="1"/>
    <xf numFmtId="3" fontId="12" fillId="22" borderId="0" xfId="0" applyNumberFormat="1" applyFont="1" applyFill="1" applyBorder="1" applyAlignment="1">
      <alignment horizontal="right" vertical="center" indent="1"/>
    </xf>
    <xf numFmtId="0" fontId="13" fillId="19" borderId="0" xfId="0" applyFont="1" applyFill="1" applyBorder="1" applyAlignment="1">
      <alignment horizontal="center"/>
    </xf>
    <xf numFmtId="0" fontId="0" fillId="19" borderId="23" xfId="58" applyFont="1" applyFill="1" applyBorder="1" applyProtection="1"/>
    <xf numFmtId="0" fontId="0" fillId="0" borderId="0" xfId="58" applyFont="1" applyProtection="1"/>
    <xf numFmtId="0" fontId="0" fillId="0" borderId="0" xfId="58" applyFont="1" applyBorder="1" applyProtection="1"/>
    <xf numFmtId="0" fontId="65" fillId="19" borderId="0" xfId="58" applyFont="1" applyFill="1" applyBorder="1" applyAlignment="1" applyProtection="1">
      <alignment horizontal="left" vertical="center"/>
    </xf>
    <xf numFmtId="0" fontId="35" fillId="0" borderId="0" xfId="58" applyFont="1" applyAlignment="1" applyProtection="1">
      <alignment vertical="center"/>
    </xf>
    <xf numFmtId="0" fontId="33" fillId="19" borderId="15" xfId="58" applyFont="1" applyFill="1" applyBorder="1" applyAlignment="1" applyProtection="1">
      <alignment horizontal="left" vertical="center" wrapText="1"/>
    </xf>
    <xf numFmtId="0" fontId="33" fillId="19" borderId="0" xfId="58" applyFont="1" applyFill="1" applyBorder="1" applyAlignment="1" applyProtection="1">
      <alignment horizontal="right" vertical="center" indent="1"/>
    </xf>
    <xf numFmtId="0" fontId="66" fillId="19" borderId="0" xfId="58" applyFont="1" applyFill="1" applyBorder="1" applyAlignment="1" applyProtection="1">
      <alignment horizontal="left" vertical="center"/>
    </xf>
    <xf numFmtId="0" fontId="35" fillId="19" borderId="0" xfId="58" applyFont="1" applyFill="1" applyBorder="1" applyAlignment="1" applyProtection="1">
      <alignment horizontal="right" vertical="center" indent="1"/>
    </xf>
    <xf numFmtId="0" fontId="33" fillId="19" borderId="0" xfId="58" applyFont="1" applyFill="1" applyBorder="1" applyAlignment="1" applyProtection="1">
      <alignment horizontal="left" vertical="center"/>
    </xf>
    <xf numFmtId="0" fontId="0" fillId="19" borderId="15" xfId="58" applyFont="1" applyFill="1" applyBorder="1" applyProtection="1"/>
    <xf numFmtId="0" fontId="4" fillId="19" borderId="0" xfId="58" applyFont="1" applyFill="1" applyBorder="1" applyAlignment="1" applyProtection="1">
      <alignment horizontal="center"/>
    </xf>
    <xf numFmtId="0" fontId="4" fillId="19" borderId="0" xfId="58" applyFont="1" applyFill="1" applyBorder="1" applyAlignment="1" applyProtection="1">
      <alignment horizontal="center" vertical="center"/>
    </xf>
    <xf numFmtId="0" fontId="4" fillId="19" borderId="0" xfId="58" applyFont="1" applyFill="1" applyBorder="1" applyAlignment="1" applyProtection="1">
      <alignment horizontal="left" vertical="center"/>
    </xf>
    <xf numFmtId="0" fontId="0" fillId="19" borderId="0" xfId="58" applyFont="1" applyFill="1" applyBorder="1" applyProtection="1"/>
    <xf numFmtId="0" fontId="0" fillId="19" borderId="0" xfId="58" applyFont="1" applyFill="1" applyBorder="1" applyAlignment="1" applyProtection="1">
      <alignment horizontal="left" vertical="center"/>
    </xf>
    <xf numFmtId="0" fontId="36" fillId="19" borderId="0" xfId="58" applyFont="1" applyFill="1" applyBorder="1" applyAlignment="1" applyProtection="1">
      <alignment vertical="center"/>
    </xf>
    <xf numFmtId="0" fontId="67" fillId="19" borderId="0" xfId="58" applyFont="1" applyFill="1" applyBorder="1" applyAlignment="1" applyProtection="1">
      <alignment horizontal="left" vertical="top" wrapText="1"/>
    </xf>
    <xf numFmtId="0" fontId="0" fillId="19" borderId="0" xfId="58" applyFont="1" applyFill="1" applyBorder="1" applyAlignment="1" applyProtection="1">
      <alignment vertical="center"/>
    </xf>
    <xf numFmtId="3" fontId="68" fillId="19" borderId="0" xfId="58" applyNumberFormat="1" applyFont="1" applyFill="1" applyBorder="1" applyAlignment="1" applyProtection="1">
      <alignment horizontal="right" vertical="center"/>
    </xf>
    <xf numFmtId="0" fontId="68" fillId="19" borderId="0" xfId="58" applyFont="1" applyFill="1" applyBorder="1" applyAlignment="1" applyProtection="1">
      <alignment horizontal="right" vertical="center"/>
    </xf>
    <xf numFmtId="0" fontId="33" fillId="19" borderId="0" xfId="58" applyFont="1" applyFill="1" applyBorder="1" applyAlignment="1" applyProtection="1">
      <alignment vertical="center"/>
    </xf>
    <xf numFmtId="3" fontId="69" fillId="19" borderId="0" xfId="58" applyNumberFormat="1" applyFont="1" applyFill="1" applyBorder="1" applyAlignment="1" applyProtection="1">
      <alignment horizontal="right" vertical="center"/>
    </xf>
    <xf numFmtId="0" fontId="9" fillId="19" borderId="0" xfId="58" applyFont="1" applyFill="1" applyBorder="1" applyAlignment="1" applyProtection="1">
      <alignment horizontal="left" vertical="center"/>
    </xf>
    <xf numFmtId="3" fontId="12" fillId="19" borderId="108" xfId="0" applyNumberFormat="1" applyFont="1" applyFill="1" applyBorder="1" applyAlignment="1">
      <alignment horizontal="right" vertical="center" indent="1"/>
    </xf>
    <xf numFmtId="3" fontId="12" fillId="19" borderId="109" xfId="0" applyNumberFormat="1" applyFont="1" applyFill="1" applyBorder="1" applyAlignment="1">
      <alignment horizontal="right" vertical="center" indent="1"/>
    </xf>
    <xf numFmtId="3" fontId="13" fillId="17" borderId="106" xfId="0" applyNumberFormat="1" applyFont="1" applyFill="1" applyBorder="1" applyAlignment="1">
      <alignment horizontal="right" vertical="center" indent="1"/>
    </xf>
    <xf numFmtId="0" fontId="13" fillId="25" borderId="106" xfId="0" applyFont="1" applyFill="1" applyBorder="1"/>
    <xf numFmtId="0" fontId="13" fillId="25" borderId="0" xfId="0" applyFont="1" applyFill="1" applyBorder="1" applyAlignment="1">
      <alignment horizontal="right"/>
    </xf>
    <xf numFmtId="0" fontId="13" fillId="25" borderId="22" xfId="0" applyFont="1" applyFill="1" applyBorder="1"/>
    <xf numFmtId="3" fontId="13" fillId="17" borderId="107" xfId="0" applyNumberFormat="1" applyFont="1" applyFill="1" applyBorder="1" applyAlignment="1">
      <alignment horizontal="right" vertical="center" indent="1"/>
    </xf>
    <xf numFmtId="3" fontId="13" fillId="19" borderId="92" xfId="0" applyNumberFormat="1" applyFont="1" applyFill="1" applyBorder="1" applyAlignment="1">
      <alignment horizontal="right" vertical="center" indent="1"/>
    </xf>
    <xf numFmtId="3" fontId="13" fillId="22" borderId="0" xfId="0" applyNumberFormat="1" applyFont="1" applyFill="1" applyBorder="1" applyAlignment="1">
      <alignment horizontal="center" vertical="top"/>
    </xf>
    <xf numFmtId="0" fontId="13" fillId="22" borderId="106" xfId="0" applyFont="1" applyFill="1" applyBorder="1"/>
    <xf numFmtId="0" fontId="34" fillId="19" borderId="0" xfId="58" applyFont="1" applyFill="1" applyBorder="1" applyAlignment="1" applyProtection="1">
      <alignment horizontal="left" vertical="center"/>
    </xf>
    <xf numFmtId="0" fontId="48" fillId="19" borderId="0" xfId="58" applyFont="1" applyFill="1" applyBorder="1" applyAlignment="1" applyProtection="1">
      <alignment vertical="center"/>
    </xf>
    <xf numFmtId="0" fontId="3" fillId="23" borderId="0" xfId="0" applyFont="1" applyFill="1"/>
    <xf numFmtId="0" fontId="73" fillId="19" borderId="0" xfId="58" applyFont="1" applyFill="1" applyBorder="1" applyAlignment="1" applyProtection="1">
      <alignment vertical="center"/>
    </xf>
    <xf numFmtId="0" fontId="9" fillId="19" borderId="0" xfId="58" applyFont="1" applyFill="1" applyBorder="1" applyAlignment="1" applyProtection="1">
      <alignment horizontal="center" vertical="center"/>
    </xf>
    <xf numFmtId="0" fontId="34" fillId="19" borderId="0" xfId="58" quotePrefix="1" applyFont="1" applyFill="1" applyBorder="1" applyAlignment="1" applyProtection="1">
      <alignment horizontal="center" vertical="center"/>
    </xf>
    <xf numFmtId="0" fontId="52" fillId="23" borderId="23" xfId="0" applyFont="1" applyFill="1" applyBorder="1"/>
    <xf numFmtId="0" fontId="51" fillId="23" borderId="0" xfId="0" applyFont="1" applyFill="1"/>
    <xf numFmtId="0" fontId="52" fillId="23" borderId="0" xfId="0" applyFont="1" applyFill="1"/>
    <xf numFmtId="0" fontId="13" fillId="19" borderId="0" xfId="0" applyFont="1" applyFill="1" applyBorder="1" applyAlignment="1">
      <alignment horizontal="center"/>
    </xf>
    <xf numFmtId="0" fontId="9" fillId="19" borderId="0" xfId="58" quotePrefix="1" applyFont="1" applyFill="1" applyBorder="1" applyAlignment="1" applyProtection="1">
      <alignment horizontal="center" vertical="center" wrapText="1"/>
    </xf>
    <xf numFmtId="0" fontId="9" fillId="19" borderId="0" xfId="58" quotePrefix="1" applyFont="1" applyFill="1" applyBorder="1" applyAlignment="1" applyProtection="1">
      <alignment horizontal="center" vertical="center"/>
    </xf>
    <xf numFmtId="0" fontId="74" fillId="19" borderId="23" xfId="58" applyFont="1" applyFill="1" applyBorder="1" applyAlignment="1" applyProtection="1">
      <alignment vertical="center"/>
    </xf>
    <xf numFmtId="3" fontId="33" fillId="17" borderId="110" xfId="58" applyNumberFormat="1" applyFont="1" applyFill="1" applyBorder="1" applyAlignment="1" applyProtection="1">
      <alignment horizontal="right" vertical="center" indent="1"/>
    </xf>
    <xf numFmtId="0" fontId="34" fillId="19" borderId="0" xfId="58" applyFont="1" applyFill="1" applyBorder="1" applyAlignment="1" applyProtection="1">
      <alignment horizontal="left" vertical="center" wrapText="1"/>
    </xf>
    <xf numFmtId="0" fontId="9" fillId="19" borderId="115" xfId="58" quotePrefix="1" applyFont="1" applyFill="1" applyBorder="1" applyAlignment="1" applyProtection="1">
      <alignment horizontal="center" vertical="center"/>
    </xf>
    <xf numFmtId="0" fontId="9" fillId="19" borderId="116" xfId="58" quotePrefix="1" applyFont="1" applyFill="1" applyBorder="1" applyAlignment="1" applyProtection="1">
      <alignment horizontal="center" vertical="center"/>
    </xf>
    <xf numFmtId="0" fontId="9" fillId="19" borderId="117" xfId="58" applyFont="1" applyFill="1" applyBorder="1" applyAlignment="1" applyProtection="1">
      <alignment horizontal="left" vertical="center" wrapText="1"/>
    </xf>
    <xf numFmtId="0" fontId="4" fillId="19" borderId="118" xfId="58" applyFont="1" applyFill="1" applyBorder="1" applyAlignment="1" applyProtection="1">
      <alignment horizontal="left" vertical="center"/>
    </xf>
    <xf numFmtId="0" fontId="9" fillId="19" borderId="119" xfId="58" applyFont="1" applyFill="1" applyBorder="1" applyAlignment="1" applyProtection="1">
      <alignment horizontal="left" vertical="center" wrapText="1"/>
    </xf>
    <xf numFmtId="0" fontId="67" fillId="19" borderId="115" xfId="58" applyFont="1" applyFill="1" applyBorder="1" applyAlignment="1" applyProtection="1">
      <alignment horizontal="left" vertical="top" wrapText="1"/>
    </xf>
    <xf numFmtId="0" fontId="36" fillId="19" borderId="116" xfId="58" applyFont="1" applyFill="1" applyBorder="1" applyAlignment="1" applyProtection="1">
      <alignment vertical="center"/>
    </xf>
    <xf numFmtId="3" fontId="33" fillId="17" borderId="120" xfId="58" applyNumberFormat="1" applyFont="1" applyFill="1" applyBorder="1" applyAlignment="1" applyProtection="1">
      <alignment horizontal="right" vertical="center" indent="1"/>
    </xf>
    <xf numFmtId="3" fontId="33" fillId="17" borderId="121" xfId="58" applyNumberFormat="1" applyFont="1" applyFill="1" applyBorder="1" applyAlignment="1" applyProtection="1">
      <alignment horizontal="right" vertical="center" indent="1"/>
    </xf>
    <xf numFmtId="0" fontId="4" fillId="19" borderId="115" xfId="58" applyFont="1" applyFill="1" applyBorder="1" applyAlignment="1" applyProtection="1">
      <alignment horizontal="left" vertical="center"/>
    </xf>
    <xf numFmtId="0" fontId="34" fillId="19" borderId="116" xfId="58" quotePrefix="1" applyFont="1" applyFill="1" applyBorder="1" applyAlignment="1" applyProtection="1">
      <alignment horizontal="center"/>
    </xf>
    <xf numFmtId="0" fontId="9" fillId="19" borderId="115" xfId="58" applyFont="1" applyFill="1" applyBorder="1" applyAlignment="1" applyProtection="1">
      <alignment horizontal="center" vertical="center"/>
    </xf>
    <xf numFmtId="0" fontId="0" fillId="19" borderId="118" xfId="58" applyFont="1" applyFill="1" applyBorder="1" applyAlignment="1" applyProtection="1">
      <alignment horizontal="left" vertical="center"/>
    </xf>
    <xf numFmtId="0" fontId="9" fillId="19" borderId="118" xfId="58" applyFont="1" applyFill="1" applyBorder="1" applyAlignment="1" applyProtection="1">
      <alignment horizontal="left" vertical="center" wrapText="1"/>
    </xf>
    <xf numFmtId="0" fontId="4" fillId="19" borderId="114" xfId="58" applyFont="1" applyFill="1" applyBorder="1" applyAlignment="1" applyProtection="1">
      <alignment horizontal="center"/>
    </xf>
    <xf numFmtId="0" fontId="0" fillId="19" borderId="116" xfId="58" applyFont="1" applyFill="1" applyBorder="1" applyAlignment="1" applyProtection="1">
      <alignment horizontal="left" vertical="center"/>
    </xf>
    <xf numFmtId="0" fontId="33" fillId="19" borderId="116" xfId="58" applyFont="1" applyFill="1" applyBorder="1" applyAlignment="1" applyProtection="1">
      <alignment horizontal="right" vertical="center" indent="1"/>
    </xf>
    <xf numFmtId="0" fontId="0" fillId="19" borderId="119" xfId="58" applyFont="1" applyFill="1" applyBorder="1" applyAlignment="1" applyProtection="1">
      <alignment horizontal="left" vertical="center"/>
    </xf>
    <xf numFmtId="0" fontId="14" fillId="19" borderId="0" xfId="58" applyFont="1" applyFill="1" applyBorder="1" applyAlignment="1" applyProtection="1">
      <alignment horizontal="center" vertical="center" wrapText="1"/>
    </xf>
    <xf numFmtId="0" fontId="14" fillId="19" borderId="0" xfId="58" applyFont="1" applyFill="1" applyBorder="1" applyAlignment="1" applyProtection="1">
      <alignment horizontal="left" vertical="center"/>
    </xf>
    <xf numFmtId="0" fontId="14" fillId="19" borderId="0" xfId="58" applyFont="1" applyFill="1" applyBorder="1" applyAlignment="1" applyProtection="1">
      <alignment horizontal="center"/>
    </xf>
    <xf numFmtId="0" fontId="15" fillId="19" borderId="0" xfId="58" applyFont="1" applyFill="1" applyBorder="1" applyProtection="1"/>
    <xf numFmtId="0" fontId="14" fillId="19" borderId="0" xfId="58" applyFont="1" applyFill="1" applyBorder="1" applyAlignment="1" applyProtection="1">
      <alignment horizontal="center" vertical="center"/>
    </xf>
    <xf numFmtId="0" fontId="50" fillId="19" borderId="115" xfId="58" applyFont="1" applyFill="1" applyBorder="1" applyAlignment="1" applyProtection="1">
      <alignment horizontal="left" vertical="center"/>
    </xf>
    <xf numFmtId="0" fontId="65" fillId="19" borderId="25" xfId="58" applyFont="1" applyFill="1" applyBorder="1" applyAlignment="1" applyProtection="1">
      <alignment horizontal="left" vertical="center"/>
    </xf>
    <xf numFmtId="0" fontId="33" fillId="19" borderId="27" xfId="58" applyFont="1" applyFill="1" applyBorder="1" applyAlignment="1" applyProtection="1">
      <alignment horizontal="left" vertical="center" wrapText="1"/>
    </xf>
    <xf numFmtId="0" fontId="65" fillId="19" borderId="24" xfId="58" applyFont="1" applyFill="1" applyBorder="1" applyAlignment="1" applyProtection="1">
      <alignment horizontal="left" vertical="center"/>
    </xf>
    <xf numFmtId="3" fontId="69" fillId="24" borderId="0" xfId="58" applyNumberFormat="1" applyFont="1" applyFill="1" applyBorder="1" applyAlignment="1" applyProtection="1">
      <alignment horizontal="right" vertical="center"/>
    </xf>
    <xf numFmtId="0" fontId="68" fillId="24" borderId="0" xfId="58" applyFont="1" applyFill="1" applyBorder="1" applyAlignment="1" applyProtection="1">
      <alignment horizontal="right" vertical="center"/>
    </xf>
    <xf numFmtId="3" fontId="68" fillId="24" borderId="0" xfId="58" applyNumberFormat="1" applyFont="1" applyFill="1" applyBorder="1" applyAlignment="1" applyProtection="1">
      <alignment horizontal="right" vertical="center"/>
    </xf>
    <xf numFmtId="0" fontId="4" fillId="24" borderId="0" xfId="58" applyFont="1" applyFill="1" applyBorder="1" applyAlignment="1" applyProtection="1">
      <alignment horizontal="center"/>
    </xf>
    <xf numFmtId="0" fontId="0" fillId="24" borderId="0" xfId="58" applyFont="1" applyFill="1" applyBorder="1" applyAlignment="1" applyProtection="1">
      <alignment horizontal="left" vertical="center"/>
    </xf>
    <xf numFmtId="3" fontId="33" fillId="24" borderId="110" xfId="58" applyNumberFormat="1" applyFont="1" applyFill="1" applyBorder="1" applyAlignment="1" applyProtection="1">
      <alignment horizontal="right" vertical="center" indent="1"/>
    </xf>
    <xf numFmtId="0" fontId="33" fillId="24" borderId="0" xfId="58" applyFont="1" applyFill="1" applyBorder="1" applyAlignment="1" applyProtection="1">
      <alignment horizontal="right" vertical="center" indent="1"/>
    </xf>
    <xf numFmtId="0" fontId="34" fillId="24" borderId="0" xfId="58" quotePrefix="1" applyFont="1" applyFill="1" applyBorder="1" applyAlignment="1" applyProtection="1">
      <alignment horizontal="center" vertical="center"/>
    </xf>
    <xf numFmtId="0" fontId="9" fillId="24" borderId="0" xfId="58" quotePrefix="1" applyFont="1" applyFill="1" applyBorder="1" applyAlignment="1" applyProtection="1">
      <alignment horizontal="center" vertical="center"/>
    </xf>
    <xf numFmtId="0" fontId="9" fillId="24" borderId="118" xfId="58" applyFont="1" applyFill="1" applyBorder="1" applyAlignment="1" applyProtection="1">
      <alignment horizontal="left" vertical="center" wrapText="1"/>
    </xf>
    <xf numFmtId="0" fontId="4" fillId="24" borderId="118" xfId="58" applyFont="1" applyFill="1" applyBorder="1" applyAlignment="1" applyProtection="1">
      <alignment horizontal="left" vertical="center"/>
    </xf>
    <xf numFmtId="0" fontId="14" fillId="24" borderId="0" xfId="58" applyFont="1" applyFill="1" applyBorder="1" applyAlignment="1" applyProtection="1">
      <alignment horizontal="center" vertical="center" wrapText="1"/>
    </xf>
    <xf numFmtId="0" fontId="14" fillId="24" borderId="0" xfId="58" applyFont="1" applyFill="1" applyBorder="1" applyAlignment="1" applyProtection="1">
      <alignment horizontal="center" vertical="center"/>
    </xf>
    <xf numFmtId="0" fontId="65" fillId="24" borderId="25" xfId="58" applyFont="1" applyFill="1" applyBorder="1" applyAlignment="1" applyProtection="1">
      <alignment horizontal="left" vertical="center"/>
    </xf>
    <xf numFmtId="0" fontId="0" fillId="24" borderId="0" xfId="58" applyFont="1" applyFill="1" applyProtection="1"/>
    <xf numFmtId="0" fontId="4" fillId="19" borderId="0" xfId="58" quotePrefix="1" applyFont="1" applyFill="1" applyBorder="1" applyAlignment="1" applyProtection="1">
      <alignment horizontal="center"/>
    </xf>
    <xf numFmtId="0" fontId="4" fillId="19" borderId="116" xfId="58" quotePrefix="1" applyFont="1" applyFill="1" applyBorder="1" applyAlignment="1" applyProtection="1">
      <alignment horizontal="center"/>
    </xf>
    <xf numFmtId="0" fontId="4" fillId="24" borderId="0" xfId="58" quotePrefix="1" applyFont="1" applyFill="1" applyBorder="1" applyAlignment="1" applyProtection="1">
      <alignment horizontal="center"/>
    </xf>
    <xf numFmtId="0" fontId="3" fillId="19" borderId="23" xfId="58" applyFont="1" applyFill="1" applyBorder="1" applyProtection="1"/>
    <xf numFmtId="0" fontId="3" fillId="19" borderId="15" xfId="58" applyFont="1" applyFill="1" applyBorder="1" applyProtection="1"/>
    <xf numFmtId="0" fontId="3" fillId="0" borderId="0" xfId="58" applyFont="1" applyProtection="1"/>
    <xf numFmtId="3" fontId="12" fillId="22" borderId="0" xfId="0" applyNumberFormat="1" applyFont="1" applyFill="1" applyBorder="1" applyAlignment="1">
      <alignment horizontal="right" vertical="center" indent="1"/>
    </xf>
    <xf numFmtId="0" fontId="4" fillId="23" borderId="0" xfId="0" applyFont="1" applyFill="1"/>
    <xf numFmtId="0" fontId="0" fillId="25" borderId="23" xfId="0" applyFill="1" applyBorder="1"/>
    <xf numFmtId="3" fontId="13" fillId="25" borderId="0" xfId="0" applyNumberFormat="1" applyFont="1" applyFill="1" applyBorder="1" applyAlignment="1">
      <alignment horizontal="right" vertical="center" indent="1"/>
    </xf>
    <xf numFmtId="0" fontId="7" fillId="25" borderId="0" xfId="0" applyFont="1" applyFill="1" applyBorder="1" applyAlignment="1">
      <alignment horizontal="left" vertical="top" wrapText="1"/>
    </xf>
    <xf numFmtId="0" fontId="0" fillId="25" borderId="15" xfId="0" applyFill="1" applyBorder="1"/>
    <xf numFmtId="0" fontId="13" fillId="0" borderId="0" xfId="0" applyFont="1" applyFill="1"/>
    <xf numFmtId="0" fontId="52" fillId="0" borderId="0" xfId="0" applyFont="1" applyFill="1"/>
    <xf numFmtId="3" fontId="75" fillId="22" borderId="0" xfId="0" applyNumberFormat="1" applyFont="1" applyFill="1" applyBorder="1"/>
    <xf numFmtId="3" fontId="76" fillId="22" borderId="0" xfId="0" applyNumberFormat="1" applyFont="1" applyFill="1" applyBorder="1"/>
    <xf numFmtId="0" fontId="3" fillId="17" borderId="0" xfId="0" applyFont="1" applyFill="1" applyBorder="1"/>
    <xf numFmtId="0" fontId="7" fillId="25" borderId="0" xfId="0" applyFont="1" applyFill="1" applyBorder="1" applyAlignment="1">
      <alignment horizontal="left" vertical="top" wrapText="1"/>
    </xf>
    <xf numFmtId="0" fontId="0" fillId="25" borderId="0" xfId="0" applyFill="1" applyAlignment="1">
      <alignment horizontal="left" vertical="top" wrapText="1"/>
    </xf>
    <xf numFmtId="3" fontId="12" fillId="22" borderId="0" xfId="0" applyNumberFormat="1" applyFont="1" applyFill="1" applyBorder="1" applyAlignment="1">
      <alignment horizontal="right" vertical="center" indent="1"/>
    </xf>
    <xf numFmtId="3" fontId="9" fillId="22" borderId="0" xfId="0" applyNumberFormat="1" applyFont="1" applyFill="1" applyBorder="1" applyAlignment="1">
      <alignment horizontal="right"/>
    </xf>
    <xf numFmtId="0" fontId="0" fillId="19" borderId="123" xfId="0" applyFill="1" applyBorder="1"/>
    <xf numFmtId="0" fontId="0" fillId="25" borderId="123" xfId="0" applyFill="1" applyBorder="1"/>
    <xf numFmtId="168" fontId="7" fillId="20" borderId="25" xfId="0" applyNumberFormat="1" applyFont="1" applyFill="1" applyBorder="1" applyAlignment="1">
      <alignment horizontal="left"/>
    </xf>
    <xf numFmtId="0" fontId="51" fillId="22" borderId="0" xfId="0" applyFont="1" applyFill="1" applyBorder="1"/>
    <xf numFmtId="3" fontId="46" fillId="19" borderId="0" xfId="0" applyNumberFormat="1" applyFont="1" applyFill="1" applyBorder="1" applyAlignment="1">
      <alignment horizontal="left" vertical="center"/>
    </xf>
    <xf numFmtId="3" fontId="12" fillId="19" borderId="0" xfId="0" applyNumberFormat="1" applyFont="1" applyFill="1" applyBorder="1" applyAlignment="1">
      <alignment horizontal="center" wrapText="1"/>
    </xf>
    <xf numFmtId="0" fontId="14" fillId="19" borderId="0" xfId="58" applyFont="1" applyFill="1" applyBorder="1" applyAlignment="1" applyProtection="1">
      <alignment horizontal="center" vertical="center" wrapText="1"/>
    </xf>
    <xf numFmtId="0" fontId="7" fillId="19" borderId="123" xfId="0" applyFont="1" applyFill="1" applyBorder="1"/>
    <xf numFmtId="0" fontId="13" fillId="19" borderId="123" xfId="0" applyFont="1" applyFill="1" applyBorder="1"/>
    <xf numFmtId="0" fontId="46" fillId="25" borderId="0" xfId="0" applyFont="1" applyFill="1" applyAlignment="1">
      <alignment horizontal="left" vertical="center"/>
    </xf>
    <xf numFmtId="0" fontId="77" fillId="17" borderId="21" xfId="0" applyFont="1" applyFill="1" applyBorder="1"/>
    <xf numFmtId="0" fontId="77" fillId="17" borderId="22" xfId="0" applyFont="1" applyFill="1" applyBorder="1"/>
    <xf numFmtId="0" fontId="77" fillId="22" borderId="22" xfId="0" applyFont="1" applyFill="1" applyBorder="1"/>
    <xf numFmtId="0" fontId="77" fillId="22" borderId="56" xfId="0" applyFont="1" applyFill="1" applyBorder="1"/>
    <xf numFmtId="0" fontId="77" fillId="19" borderId="15" xfId="0" applyFont="1" applyFill="1" applyBorder="1"/>
    <xf numFmtId="0" fontId="77" fillId="0" borderId="0" xfId="0" applyFont="1"/>
    <xf numFmtId="0" fontId="77" fillId="19" borderId="0" xfId="0" applyFont="1" applyFill="1" applyBorder="1"/>
    <xf numFmtId="0" fontId="77" fillId="17" borderId="33" xfId="0" applyFont="1" applyFill="1" applyBorder="1"/>
    <xf numFmtId="0" fontId="77" fillId="17" borderId="34" xfId="0" applyFont="1" applyFill="1" applyBorder="1"/>
    <xf numFmtId="0" fontId="78" fillId="21" borderId="40" xfId="0" applyFont="1" applyFill="1" applyBorder="1"/>
    <xf numFmtId="0" fontId="78" fillId="21" borderId="33" xfId="0" applyFont="1" applyFill="1" applyBorder="1" applyAlignment="1">
      <alignment horizontal="left"/>
    </xf>
    <xf numFmtId="0" fontId="78" fillId="21" borderId="33" xfId="0" applyFont="1" applyFill="1" applyBorder="1"/>
    <xf numFmtId="0" fontId="78" fillId="21" borderId="36" xfId="0" applyFont="1" applyFill="1" applyBorder="1"/>
    <xf numFmtId="0" fontId="77" fillId="17" borderId="15" xfId="0" applyFont="1" applyFill="1" applyBorder="1"/>
    <xf numFmtId="0" fontId="78" fillId="21" borderId="0" xfId="0" applyFont="1" applyFill="1" applyBorder="1"/>
    <xf numFmtId="0" fontId="78" fillId="21" borderId="37" xfId="0" applyFont="1" applyFill="1" applyBorder="1"/>
    <xf numFmtId="0" fontId="78" fillId="21" borderId="31" xfId="0" applyFont="1" applyFill="1" applyBorder="1"/>
    <xf numFmtId="0" fontId="78" fillId="21" borderId="38" xfId="0" applyFont="1" applyFill="1" applyBorder="1"/>
    <xf numFmtId="0" fontId="77" fillId="17" borderId="123" xfId="0" applyFont="1" applyFill="1" applyBorder="1"/>
    <xf numFmtId="1" fontId="54" fillId="23" borderId="23" xfId="0" applyNumberFormat="1" applyFont="1" applyFill="1" applyBorder="1" applyAlignment="1">
      <alignment horizontal="right"/>
    </xf>
    <xf numFmtId="0" fontId="49" fillId="21" borderId="33" xfId="0" applyFont="1" applyFill="1" applyBorder="1" applyAlignment="1">
      <alignment horizontal="left"/>
    </xf>
    <xf numFmtId="3" fontId="49" fillId="19" borderId="0" xfId="0" applyNumberFormat="1" applyFont="1" applyFill="1" applyBorder="1" applyAlignment="1">
      <alignment horizontal="left" vertical="center"/>
    </xf>
    <xf numFmtId="3" fontId="49" fillId="19" borderId="123" xfId="0" applyNumberFormat="1" applyFont="1" applyFill="1" applyBorder="1" applyAlignment="1">
      <alignment vertical="center"/>
    </xf>
    <xf numFmtId="3" fontId="59" fillId="22" borderId="0" xfId="0" applyNumberFormat="1" applyFont="1" applyFill="1" applyBorder="1"/>
    <xf numFmtId="3" fontId="79" fillId="22" borderId="0" xfId="0" applyNumberFormat="1" applyFont="1" applyFill="1" applyBorder="1"/>
    <xf numFmtId="0" fontId="13" fillId="25" borderId="15" xfId="0" applyFont="1" applyFill="1" applyBorder="1"/>
    <xf numFmtId="3" fontId="49" fillId="21" borderId="0" xfId="0" applyNumberFormat="1" applyFont="1" applyFill="1" applyBorder="1" applyAlignment="1">
      <alignment horizontal="left"/>
    </xf>
    <xf numFmtId="0" fontId="49" fillId="21" borderId="39" xfId="0" applyFont="1" applyFill="1" applyBorder="1"/>
    <xf numFmtId="0" fontId="49" fillId="21" borderId="0" xfId="0" applyFont="1" applyFill="1" applyBorder="1" applyAlignment="1">
      <alignment horizontal="left"/>
    </xf>
    <xf numFmtId="0" fontId="49" fillId="21" borderId="31" xfId="0" applyFont="1" applyFill="1" applyBorder="1"/>
    <xf numFmtId="0" fontId="13" fillId="19" borderId="127" xfId="0" applyFont="1" applyFill="1" applyBorder="1"/>
    <xf numFmtId="3" fontId="12" fillId="19" borderId="128" xfId="0" applyNumberFormat="1" applyFont="1" applyFill="1" applyBorder="1" applyAlignment="1">
      <alignment horizontal="right" vertical="center" indent="1"/>
    </xf>
    <xf numFmtId="0" fontId="13" fillId="19" borderId="129" xfId="0" applyFont="1" applyFill="1" applyBorder="1"/>
    <xf numFmtId="3" fontId="13" fillId="19" borderId="129" xfId="0" applyNumberFormat="1" applyFont="1" applyFill="1" applyBorder="1" applyAlignment="1">
      <alignment horizontal="right" vertical="center" indent="1"/>
    </xf>
    <xf numFmtId="3" fontId="13" fillId="19" borderId="130" xfId="0" applyNumberFormat="1" applyFont="1" applyFill="1" applyBorder="1" applyAlignment="1">
      <alignment horizontal="right" vertical="center" indent="1"/>
    </xf>
    <xf numFmtId="0" fontId="59" fillId="19" borderId="23" xfId="58" applyFont="1" applyFill="1" applyBorder="1" applyAlignment="1" applyProtection="1">
      <alignment wrapText="1"/>
    </xf>
    <xf numFmtId="0" fontId="50" fillId="19" borderId="0" xfId="58" applyFont="1" applyFill="1" applyBorder="1" applyAlignment="1" applyProtection="1">
      <alignment horizontal="left" vertical="center" wrapText="1"/>
    </xf>
    <xf numFmtId="0" fontId="50" fillId="19" borderId="115" xfId="58" applyFont="1" applyFill="1" applyBorder="1" applyAlignment="1" applyProtection="1">
      <alignment horizontal="left" vertical="center" wrapText="1"/>
    </xf>
    <xf numFmtId="0" fontId="50" fillId="19" borderId="0" xfId="58" quotePrefix="1" applyFont="1" applyFill="1" applyBorder="1" applyAlignment="1" applyProtection="1">
      <alignment horizontal="left" wrapText="1"/>
    </xf>
    <xf numFmtId="0" fontId="50" fillId="19" borderId="0" xfId="58" quotePrefix="1" applyFont="1" applyFill="1" applyBorder="1" applyAlignment="1" applyProtection="1">
      <alignment horizontal="center" wrapText="1"/>
    </xf>
    <xf numFmtId="0" fontId="50" fillId="19" borderId="126" xfId="58" quotePrefix="1" applyFont="1" applyFill="1" applyBorder="1" applyAlignment="1" applyProtection="1">
      <alignment horizontal="left" wrapText="1"/>
    </xf>
    <xf numFmtId="0" fontId="59" fillId="19" borderId="0" xfId="58" applyFont="1" applyFill="1" applyBorder="1" applyAlignment="1" applyProtection="1">
      <alignment wrapText="1"/>
    </xf>
    <xf numFmtId="0" fontId="50" fillId="19" borderId="122" xfId="58" quotePrefix="1" applyFont="1" applyFill="1" applyBorder="1" applyAlignment="1" applyProtection="1">
      <alignment horizontal="left" wrapText="1"/>
    </xf>
    <xf numFmtId="0" fontId="59" fillId="19" borderId="0" xfId="58" applyFont="1" applyFill="1" applyBorder="1" applyAlignment="1" applyProtection="1">
      <alignment vertical="center" wrapText="1"/>
    </xf>
    <xf numFmtId="0" fontId="59" fillId="19" borderId="15" xfId="58" applyFont="1" applyFill="1" applyBorder="1" applyAlignment="1" applyProtection="1">
      <alignment wrapText="1"/>
    </xf>
    <xf numFmtId="0" fontId="59" fillId="0" borderId="0" xfId="58" applyFont="1" applyAlignment="1" applyProtection="1">
      <alignment wrapText="1"/>
    </xf>
    <xf numFmtId="169" fontId="7" fillId="19" borderId="0" xfId="0" applyNumberFormat="1" applyFont="1" applyFill="1" applyBorder="1" applyAlignment="1">
      <alignment horizontal="left" vertical="center"/>
    </xf>
    <xf numFmtId="168" fontId="0" fillId="19" borderId="0" xfId="0" applyNumberFormat="1" applyFill="1" applyBorder="1" applyAlignment="1">
      <alignment horizontal="left"/>
    </xf>
    <xf numFmtId="0" fontId="0" fillId="0" borderId="0" xfId="0"/>
    <xf numFmtId="0" fontId="3" fillId="0" borderId="0" xfId="0" applyFont="1"/>
    <xf numFmtId="0" fontId="0" fillId="0" borderId="0" xfId="0" applyFill="1"/>
    <xf numFmtId="0" fontId="3" fillId="0" borderId="0" xfId="0" applyFont="1" applyFill="1"/>
    <xf numFmtId="0" fontId="59" fillId="0" borderId="0" xfId="0" applyFont="1" applyFill="1"/>
    <xf numFmtId="0" fontId="7" fillId="25" borderId="17" xfId="0" applyFont="1" applyFill="1" applyBorder="1"/>
    <xf numFmtId="0" fontId="0" fillId="23" borderId="0" xfId="0" applyFill="1" applyAlignment="1">
      <alignment vertical="top"/>
    </xf>
    <xf numFmtId="0" fontId="12" fillId="19" borderId="0" xfId="0" applyFont="1" applyFill="1" applyBorder="1" applyAlignment="1">
      <alignment vertical="center"/>
    </xf>
    <xf numFmtId="3" fontId="12" fillId="19" borderId="0" xfId="0" applyNumberFormat="1" applyFont="1" applyFill="1" applyBorder="1" applyAlignment="1">
      <alignment horizontal="center" vertical="center" wrapText="1"/>
    </xf>
    <xf numFmtId="168" fontId="7" fillId="17" borderId="60" xfId="0" applyNumberFormat="1" applyFont="1" applyFill="1" applyBorder="1" applyAlignment="1" applyProtection="1">
      <alignment horizontal="center"/>
    </xf>
    <xf numFmtId="3" fontId="9" fillId="25" borderId="0" xfId="0" applyNumberFormat="1" applyFont="1" applyFill="1" applyBorder="1" applyAlignment="1" applyProtection="1">
      <alignment horizontal="right" vertical="center" indent="1"/>
    </xf>
    <xf numFmtId="0" fontId="51" fillId="0" borderId="0" xfId="0" applyFont="1" applyFill="1" applyBorder="1"/>
    <xf numFmtId="3" fontId="12" fillId="25" borderId="16" xfId="0" applyNumberFormat="1" applyFont="1" applyFill="1" applyBorder="1" applyAlignment="1" applyProtection="1">
      <alignment horizontal="right" vertical="center" indent="1"/>
    </xf>
    <xf numFmtId="3" fontId="13" fillId="19" borderId="0" xfId="0" applyNumberFormat="1" applyFont="1" applyFill="1" applyBorder="1" applyAlignment="1" applyProtection="1">
      <alignment horizontal="right" vertical="center" indent="1"/>
    </xf>
    <xf numFmtId="0" fontId="13" fillId="19" borderId="0" xfId="0" applyFont="1" applyFill="1" applyBorder="1" applyProtection="1"/>
    <xf numFmtId="3" fontId="13" fillId="19" borderId="30" xfId="0" applyNumberFormat="1" applyFont="1" applyFill="1" applyBorder="1" applyAlignment="1" applyProtection="1">
      <alignment horizontal="right" vertical="center" indent="1"/>
    </xf>
    <xf numFmtId="3" fontId="12" fillId="19" borderId="0" xfId="0" applyNumberFormat="1" applyFont="1" applyFill="1" applyBorder="1" applyAlignment="1" applyProtection="1">
      <alignment horizontal="center" wrapText="1"/>
    </xf>
    <xf numFmtId="0" fontId="52" fillId="20" borderId="26" xfId="0" applyFont="1" applyFill="1" applyBorder="1" applyProtection="1"/>
    <xf numFmtId="0" fontId="7" fillId="20" borderId="16" xfId="0" applyFont="1" applyFill="1" applyBorder="1" applyProtection="1"/>
    <xf numFmtId="0" fontId="7" fillId="20" borderId="17" xfId="0" applyFont="1" applyFill="1" applyBorder="1" applyProtection="1"/>
    <xf numFmtId="0" fontId="7" fillId="0" borderId="0" xfId="0" applyFont="1" applyProtection="1"/>
    <xf numFmtId="0" fontId="52" fillId="20" borderId="23" xfId="0" applyFont="1" applyFill="1" applyBorder="1" applyProtection="1"/>
    <xf numFmtId="0" fontId="7" fillId="20" borderId="0" xfId="0" applyFont="1" applyFill="1" applyBorder="1" applyProtection="1"/>
    <xf numFmtId="0" fontId="0" fillId="20" borderId="0" xfId="0" applyFill="1" applyBorder="1" applyAlignment="1" applyProtection="1">
      <alignment horizontal="center"/>
    </xf>
    <xf numFmtId="0" fontId="7" fillId="20" borderId="15" xfId="0" applyFont="1" applyFill="1" applyBorder="1" applyProtection="1"/>
    <xf numFmtId="0" fontId="0" fillId="20" borderId="0" xfId="0" applyFill="1" applyBorder="1" applyProtection="1"/>
    <xf numFmtId="0" fontId="0" fillId="20" borderId="23" xfId="0" applyFill="1" applyBorder="1" applyProtection="1"/>
    <xf numFmtId="0" fontId="52" fillId="20" borderId="24" xfId="0" applyFont="1" applyFill="1" applyBorder="1" applyProtection="1"/>
    <xf numFmtId="0" fontId="7" fillId="20" borderId="25" xfId="0" applyFont="1" applyFill="1" applyBorder="1" applyProtection="1"/>
    <xf numFmtId="0" fontId="51" fillId="20" borderId="0" xfId="0" applyFont="1" applyFill="1" applyBorder="1" applyProtection="1"/>
    <xf numFmtId="0" fontId="4" fillId="20" borderId="25" xfId="0" applyFont="1" applyFill="1" applyBorder="1" applyAlignment="1" applyProtection="1">
      <alignment horizontal="right"/>
    </xf>
    <xf numFmtId="168" fontId="3" fillId="20" borderId="25" xfId="0" applyNumberFormat="1" applyFont="1" applyFill="1" applyBorder="1" applyAlignment="1" applyProtection="1">
      <alignment horizontal="left"/>
    </xf>
    <xf numFmtId="0" fontId="7" fillId="20" borderId="27" xfId="0" applyFont="1" applyFill="1" applyBorder="1" applyProtection="1"/>
    <xf numFmtId="0" fontId="7" fillId="0" borderId="25" xfId="0" applyFont="1" applyBorder="1" applyProtection="1"/>
    <xf numFmtId="0" fontId="7" fillId="0" borderId="16" xfId="0" applyFont="1" applyBorder="1" applyProtection="1"/>
    <xf numFmtId="0" fontId="51" fillId="0" borderId="0" xfId="0" applyFont="1" applyProtection="1"/>
    <xf numFmtId="0" fontId="77" fillId="0" borderId="0" xfId="0" applyFont="1" applyProtection="1"/>
    <xf numFmtId="0" fontId="7" fillId="23" borderId="0" xfId="0" applyFont="1" applyFill="1" applyProtection="1"/>
    <xf numFmtId="0" fontId="49" fillId="23" borderId="0" xfId="0" applyFont="1" applyFill="1" applyBorder="1" applyProtection="1"/>
    <xf numFmtId="0" fontId="49" fillId="19" borderId="0" xfId="0" applyFont="1" applyFill="1" applyBorder="1" applyProtection="1"/>
    <xf numFmtId="0" fontId="51" fillId="23" borderId="0" xfId="0" applyFont="1" applyFill="1" applyProtection="1"/>
    <xf numFmtId="0" fontId="52" fillId="23" borderId="0" xfId="0" applyFont="1" applyFill="1" applyProtection="1"/>
    <xf numFmtId="0" fontId="7" fillId="25" borderId="0" xfId="0" applyFont="1" applyFill="1" applyBorder="1" applyAlignment="1">
      <alignment horizontal="left" vertical="top" wrapText="1"/>
    </xf>
    <xf numFmtId="3" fontId="12" fillId="22" borderId="0" xfId="0" applyNumberFormat="1" applyFont="1" applyFill="1" applyBorder="1" applyAlignment="1">
      <alignment horizontal="right" vertical="center" indent="1"/>
    </xf>
    <xf numFmtId="0" fontId="0" fillId="25" borderId="0" xfId="0" applyFill="1" applyAlignment="1">
      <alignment horizontal="left" vertical="top" wrapText="1"/>
    </xf>
    <xf numFmtId="0" fontId="7" fillId="25" borderId="0" xfId="0" applyFont="1" applyFill="1" applyBorder="1" applyAlignment="1">
      <alignment horizontal="left" vertical="top" wrapText="1"/>
    </xf>
    <xf numFmtId="3" fontId="12" fillId="22" borderId="0" xfId="0" applyNumberFormat="1" applyFont="1" applyFill="1" applyBorder="1" applyAlignment="1">
      <alignment horizontal="right" vertical="center" indent="1"/>
    </xf>
    <xf numFmtId="0" fontId="0" fillId="25" borderId="0" xfId="0" applyFill="1" applyAlignment="1">
      <alignment horizontal="left" vertical="top" wrapText="1"/>
    </xf>
    <xf numFmtId="3" fontId="12" fillId="25" borderId="0" xfId="0" applyNumberFormat="1" applyFont="1" applyFill="1" applyBorder="1" applyAlignment="1" applyProtection="1">
      <alignment horizontal="right" vertical="center" indent="1"/>
      <protection locked="0"/>
    </xf>
    <xf numFmtId="0" fontId="38" fillId="19" borderId="0" xfId="0" applyFont="1" applyFill="1" applyBorder="1" applyAlignment="1">
      <alignment horizontal="center"/>
    </xf>
    <xf numFmtId="0" fontId="38" fillId="19" borderId="0" xfId="0" applyFont="1" applyFill="1" applyBorder="1" applyAlignment="1">
      <alignment horizontal="center" wrapText="1"/>
    </xf>
    <xf numFmtId="3" fontId="12" fillId="25" borderId="0" xfId="0" applyNumberFormat="1" applyFont="1" applyFill="1" applyBorder="1" applyAlignment="1">
      <alignment horizontal="right" vertical="center" indent="1"/>
    </xf>
    <xf numFmtId="0" fontId="13" fillId="25" borderId="0" xfId="0" applyFont="1" applyFill="1" applyBorder="1" applyAlignment="1">
      <alignment horizontal="center"/>
    </xf>
    <xf numFmtId="3" fontId="13" fillId="25" borderId="19" xfId="0" applyNumberFormat="1" applyFont="1" applyFill="1" applyBorder="1" applyAlignment="1">
      <alignment horizontal="right" vertical="center" indent="1"/>
    </xf>
    <xf numFmtId="0" fontId="13" fillId="25" borderId="19" xfId="0" applyFont="1" applyFill="1" applyBorder="1"/>
    <xf numFmtId="0" fontId="12" fillId="25" borderId="0" xfId="0" applyFont="1" applyFill="1" applyBorder="1"/>
    <xf numFmtId="0" fontId="0" fillId="25" borderId="22" xfId="0" applyFill="1" applyBorder="1"/>
    <xf numFmtId="0" fontId="0" fillId="25" borderId="18" xfId="0" applyFill="1" applyBorder="1"/>
    <xf numFmtId="0" fontId="0" fillId="25" borderId="20" xfId="0" applyFill="1" applyBorder="1"/>
    <xf numFmtId="0" fontId="0" fillId="25" borderId="21" xfId="0" applyFill="1" applyBorder="1"/>
    <xf numFmtId="0" fontId="81" fillId="19" borderId="0" xfId="0" applyFont="1" applyFill="1" applyBorder="1"/>
    <xf numFmtId="0" fontId="82" fillId="19" borderId="0" xfId="0" applyFont="1" applyFill="1" applyBorder="1"/>
    <xf numFmtId="0" fontId="83" fillId="19" borderId="0" xfId="0" applyFont="1" applyFill="1" applyBorder="1"/>
    <xf numFmtId="3" fontId="82" fillId="22" borderId="0" xfId="0" applyNumberFormat="1" applyFont="1" applyFill="1" applyBorder="1" applyAlignment="1">
      <alignment horizontal="right" vertical="center" indent="1"/>
    </xf>
    <xf numFmtId="3" fontId="81" fillId="22" borderId="0" xfId="0" applyNumberFormat="1" applyFont="1" applyFill="1" applyBorder="1" applyAlignment="1">
      <alignment horizontal="right" vertical="center" indent="1"/>
    </xf>
    <xf numFmtId="0" fontId="59" fillId="19" borderId="0" xfId="0" applyFont="1" applyFill="1" applyBorder="1"/>
    <xf numFmtId="0" fontId="59" fillId="22" borderId="0" xfId="0" applyFont="1" applyFill="1" applyBorder="1"/>
    <xf numFmtId="0" fontId="12" fillId="25" borderId="0" xfId="0" applyFont="1" applyFill="1" applyBorder="1" applyAlignment="1">
      <alignment horizontal="center"/>
    </xf>
    <xf numFmtId="0" fontId="13" fillId="19" borderId="0" xfId="0" applyFont="1" applyFill="1" applyBorder="1" applyAlignment="1">
      <alignment horizontal="center"/>
    </xf>
    <xf numFmtId="3" fontId="12" fillId="25" borderId="0" xfId="0" applyNumberFormat="1" applyFont="1" applyFill="1" applyBorder="1" applyAlignment="1">
      <alignment horizontal="right" vertical="center" indent="1"/>
    </xf>
    <xf numFmtId="0" fontId="8" fillId="20" borderId="23" xfId="0" applyFont="1" applyFill="1" applyBorder="1" applyAlignment="1">
      <alignment horizontal="center"/>
    </xf>
    <xf numFmtId="0" fontId="7" fillId="19" borderId="0" xfId="0" applyFont="1" applyFill="1"/>
    <xf numFmtId="3" fontId="7" fillId="19" borderId="0" xfId="0" applyNumberFormat="1" applyFont="1" applyFill="1" applyAlignment="1">
      <alignment horizontal="right" vertical="center" indent="1"/>
    </xf>
    <xf numFmtId="0" fontId="0" fillId="19" borderId="0" xfId="0" applyFill="1"/>
    <xf numFmtId="0" fontId="9" fillId="19" borderId="0" xfId="0" applyFont="1" applyFill="1"/>
    <xf numFmtId="0" fontId="7" fillId="19" borderId="0" xfId="0" applyFont="1" applyFill="1" applyAlignment="1">
      <alignment horizontal="left" vertical="top" wrapText="1"/>
    </xf>
    <xf numFmtId="3" fontId="7" fillId="25" borderId="0" xfId="0" applyNumberFormat="1" applyFont="1" applyFill="1" applyAlignment="1">
      <alignment horizontal="right" vertical="center" indent="1"/>
    </xf>
    <xf numFmtId="3" fontId="9" fillId="25" borderId="0" xfId="0" applyNumberFormat="1" applyFont="1" applyFill="1" applyAlignment="1">
      <alignment horizontal="right" vertical="center" indent="1"/>
    </xf>
    <xf numFmtId="3" fontId="49" fillId="19" borderId="0" xfId="0" applyNumberFormat="1" applyFont="1" applyFill="1" applyAlignment="1">
      <alignment vertical="center"/>
    </xf>
    <xf numFmtId="3" fontId="9" fillId="25" borderId="0" xfId="0" applyNumberFormat="1" applyFont="1" applyFill="1" applyAlignment="1">
      <alignment horizontal="center" vertical="center" wrapText="1"/>
    </xf>
    <xf numFmtId="0" fontId="9" fillId="19" borderId="0" xfId="0" applyFont="1" applyFill="1" applyAlignment="1">
      <alignment vertical="top"/>
    </xf>
    <xf numFmtId="0" fontId="7" fillId="19" borderId="0" xfId="0" applyFont="1" applyFill="1" applyAlignment="1">
      <alignment vertical="top"/>
    </xf>
    <xf numFmtId="0" fontId="9" fillId="19" borderId="0" xfId="0" applyFont="1" applyFill="1" applyAlignment="1">
      <alignment horizontal="left"/>
    </xf>
    <xf numFmtId="0" fontId="9" fillId="19" borderId="23" xfId="0" applyFont="1" applyFill="1" applyBorder="1" applyAlignment="1">
      <alignment horizontal="left"/>
    </xf>
    <xf numFmtId="0" fontId="33" fillId="19" borderId="0" xfId="0" applyFont="1" applyFill="1" applyAlignment="1">
      <alignment horizontal="left"/>
    </xf>
    <xf numFmtId="0" fontId="7" fillId="19" borderId="23" xfId="0" applyFont="1" applyFill="1" applyBorder="1"/>
    <xf numFmtId="0" fontId="3" fillId="19" borderId="0" xfId="0" applyFont="1" applyFill="1"/>
    <xf numFmtId="0" fontId="4" fillId="19" borderId="0" xfId="0" applyFont="1" applyFill="1" applyAlignment="1">
      <alignment horizontal="left"/>
    </xf>
    <xf numFmtId="0" fontId="7" fillId="20" borderId="27" xfId="0" applyFont="1" applyFill="1" applyBorder="1"/>
    <xf numFmtId="0" fontId="7" fillId="20" borderId="25" xfId="0" applyFont="1" applyFill="1" applyBorder="1"/>
    <xf numFmtId="0" fontId="7" fillId="20" borderId="24" xfId="0" applyFont="1" applyFill="1" applyBorder="1"/>
    <xf numFmtId="0" fontId="7" fillId="20" borderId="123" xfId="0" applyFont="1" applyFill="1" applyBorder="1" applyAlignment="1">
      <alignment horizontal="center"/>
    </xf>
    <xf numFmtId="0" fontId="7" fillId="20" borderId="0" xfId="0" applyFont="1" applyFill="1" applyAlignment="1">
      <alignment horizontal="center"/>
    </xf>
    <xf numFmtId="0" fontId="7" fillId="20" borderId="17" xfId="0" applyFont="1" applyFill="1" applyBorder="1"/>
    <xf numFmtId="0" fontId="7" fillId="20" borderId="16" xfId="0" applyFont="1" applyFill="1" applyBorder="1"/>
    <xf numFmtId="0" fontId="7" fillId="20" borderId="26" xfId="0" applyFont="1" applyFill="1" applyBorder="1"/>
    <xf numFmtId="3" fontId="7" fillId="19" borderId="0" xfId="0" applyNumberFormat="1" applyFont="1" applyFill="1"/>
    <xf numFmtId="0" fontId="84" fillId="19" borderId="23" xfId="0" applyFont="1" applyFill="1" applyBorder="1"/>
    <xf numFmtId="0" fontId="82" fillId="22" borderId="0" xfId="0" applyFont="1" applyFill="1" applyBorder="1"/>
    <xf numFmtId="3" fontId="81" fillId="22" borderId="0" xfId="0" applyNumberFormat="1" applyFont="1" applyFill="1" applyBorder="1" applyAlignment="1">
      <alignment horizontal="center" vertical="center"/>
    </xf>
    <xf numFmtId="3" fontId="81" fillId="22" borderId="0" xfId="0" applyNumberFormat="1" applyFont="1" applyFill="1" applyBorder="1" applyAlignment="1">
      <alignment horizontal="center" vertical="center" wrapText="1"/>
    </xf>
    <xf numFmtId="0" fontId="60" fillId="19" borderId="0" xfId="0" applyFont="1" applyFill="1" applyBorder="1"/>
    <xf numFmtId="0" fontId="60" fillId="22" borderId="0" xfId="0" applyFont="1" applyFill="1" applyBorder="1"/>
    <xf numFmtId="0" fontId="59" fillId="19" borderId="123" xfId="0" applyFont="1" applyFill="1" applyBorder="1"/>
    <xf numFmtId="0" fontId="7" fillId="0" borderId="0" xfId="0" applyFont="1" applyFill="1" applyBorder="1" applyProtection="1">
      <protection locked="0"/>
    </xf>
    <xf numFmtId="0" fontId="7" fillId="0" borderId="0" xfId="0" applyFont="1" applyFill="1" applyBorder="1"/>
    <xf numFmtId="0" fontId="49" fillId="0" borderId="0" xfId="0" applyFont="1" applyFill="1" applyBorder="1"/>
    <xf numFmtId="165" fontId="7" fillId="0" borderId="0" xfId="0" applyNumberFormat="1" applyFont="1" applyFill="1" applyBorder="1"/>
    <xf numFmtId="3" fontId="7" fillId="0" borderId="0" xfId="0" applyNumberFormat="1" applyFont="1" applyFill="1" applyBorder="1"/>
    <xf numFmtId="3" fontId="51" fillId="0" borderId="0" xfId="0" applyNumberFormat="1" applyFont="1" applyFill="1" applyBorder="1"/>
    <xf numFmtId="0" fontId="77" fillId="0" borderId="0" xfId="0" applyFont="1" applyFill="1" applyBorder="1"/>
    <xf numFmtId="3" fontId="77" fillId="0" borderId="0" xfId="0" applyNumberFormat="1" applyFont="1" applyFill="1" applyBorder="1"/>
    <xf numFmtId="0" fontId="51" fillId="17" borderId="49" xfId="0" applyFont="1" applyFill="1" applyBorder="1"/>
    <xf numFmtId="0" fontId="49" fillId="17" borderId="49" xfId="0" applyFont="1" applyFill="1" applyBorder="1"/>
    <xf numFmtId="3" fontId="49" fillId="19" borderId="0" xfId="0" applyNumberFormat="1" applyFont="1" applyFill="1" applyAlignment="1">
      <alignment horizontal="right" vertical="center" indent="1"/>
    </xf>
    <xf numFmtId="3" fontId="50" fillId="22" borderId="0" xfId="0" applyNumberFormat="1" applyFont="1" applyFill="1" applyBorder="1" applyAlignment="1">
      <alignment vertical="center"/>
    </xf>
    <xf numFmtId="0" fontId="50" fillId="19" borderId="0" xfId="0" applyFont="1" applyFill="1" applyAlignment="1">
      <alignment horizontal="left"/>
    </xf>
    <xf numFmtId="0" fontId="50" fillId="19" borderId="0" xfId="0" applyFont="1" applyFill="1"/>
    <xf numFmtId="3" fontId="51" fillId="19" borderId="0" xfId="0" applyNumberFormat="1" applyFont="1" applyFill="1" applyBorder="1" applyAlignment="1">
      <alignment horizontal="left" vertical="center"/>
    </xf>
    <xf numFmtId="0" fontId="3" fillId="0" borderId="0" xfId="0" applyFont="1" applyAlignment="1">
      <alignment horizontal="center"/>
    </xf>
    <xf numFmtId="0" fontId="3" fillId="23" borderId="0" xfId="0" applyFont="1" applyFill="1" applyAlignment="1">
      <alignment vertical="top" wrapText="1"/>
    </xf>
    <xf numFmtId="0" fontId="63" fillId="23" borderId="0" xfId="52" applyFill="1" applyBorder="1" applyAlignment="1">
      <alignment vertical="top" wrapText="1"/>
    </xf>
    <xf numFmtId="0" fontId="4" fillId="23" borderId="0" xfId="0" applyFont="1" applyFill="1" applyAlignment="1">
      <alignment vertical="top"/>
    </xf>
    <xf numFmtId="0" fontId="0" fillId="23" borderId="0" xfId="0" applyFill="1" applyAlignment="1">
      <alignment vertical="top" wrapText="1"/>
    </xf>
    <xf numFmtId="1" fontId="3" fillId="27" borderId="51" xfId="0" applyNumberFormat="1" applyFont="1" applyFill="1" applyBorder="1" applyAlignment="1">
      <alignment horizontal="center"/>
    </xf>
    <xf numFmtId="1" fontId="3" fillId="27" borderId="51" xfId="0" applyNumberFormat="1" applyFont="1" applyFill="1" applyBorder="1"/>
    <xf numFmtId="0" fontId="3" fillId="27" borderId="105" xfId="0" applyFont="1" applyFill="1" applyBorder="1"/>
    <xf numFmtId="0" fontId="3" fillId="27" borderId="53" xfId="0" applyFont="1" applyFill="1" applyBorder="1" applyAlignment="1">
      <alignment horizontal="center"/>
    </xf>
    <xf numFmtId="0" fontId="3" fillId="27" borderId="25" xfId="0" applyFont="1" applyFill="1" applyBorder="1" applyAlignment="1">
      <alignment horizontal="center"/>
    </xf>
    <xf numFmtId="0" fontId="3" fillId="0" borderId="41" xfId="0" applyFont="1" applyBorder="1" applyAlignment="1">
      <alignment horizontal="center"/>
    </xf>
    <xf numFmtId="169" fontId="3" fillId="17" borderId="26" xfId="100" applyNumberFormat="1" applyFont="1" applyFill="1" applyBorder="1"/>
    <xf numFmtId="169" fontId="3" fillId="17" borderId="16" xfId="101" applyNumberFormat="1" applyFill="1" applyBorder="1"/>
    <xf numFmtId="169" fontId="86" fillId="17" borderId="17" xfId="100" applyNumberFormat="1" applyFont="1" applyFill="1" applyBorder="1" applyAlignment="1">
      <alignment horizontal="left"/>
    </xf>
    <xf numFmtId="169" fontId="3" fillId="0" borderId="41" xfId="100" applyNumberFormat="1" applyFont="1" applyBorder="1" applyAlignment="1">
      <alignment horizontal="left"/>
    </xf>
    <xf numFmtId="172" fontId="3" fillId="0" borderId="0" xfId="100" applyFont="1" applyAlignment="1">
      <alignment horizontal="left"/>
    </xf>
    <xf numFmtId="0" fontId="3" fillId="17" borderId="123" xfId="0" applyFont="1" applyFill="1" applyBorder="1" applyAlignment="1">
      <alignment horizontal="left"/>
    </xf>
    <xf numFmtId="0" fontId="3" fillId="0" borderId="42" xfId="0" applyFont="1" applyBorder="1" applyAlignment="1">
      <alignment horizontal="center"/>
    </xf>
    <xf numFmtId="169" fontId="3" fillId="17" borderId="23" xfId="100" applyNumberFormat="1" applyFont="1" applyFill="1" applyBorder="1"/>
    <xf numFmtId="169" fontId="3" fillId="17" borderId="0" xfId="101" applyNumberFormat="1" applyFill="1"/>
    <xf numFmtId="169" fontId="86" fillId="17" borderId="123" xfId="100" applyNumberFormat="1" applyFont="1" applyFill="1" applyBorder="1" applyAlignment="1">
      <alignment horizontal="left"/>
    </xf>
    <xf numFmtId="169" fontId="3" fillId="0" borderId="42" xfId="100" applyNumberFormat="1" applyFont="1" applyBorder="1" applyAlignment="1">
      <alignment horizontal="left"/>
    </xf>
    <xf numFmtId="0" fontId="3" fillId="17" borderId="123" xfId="0" applyFont="1" applyFill="1" applyBorder="1"/>
    <xf numFmtId="0" fontId="3" fillId="17" borderId="123" xfId="0" quotePrefix="1" applyFont="1" applyFill="1" applyBorder="1" applyAlignment="1">
      <alignment horizontal="left"/>
    </xf>
    <xf numFmtId="169" fontId="3" fillId="0" borderId="0" xfId="101" applyNumberFormat="1"/>
    <xf numFmtId="169" fontId="86" fillId="0" borderId="123" xfId="100" applyNumberFormat="1" applyFont="1" applyBorder="1" applyAlignment="1">
      <alignment horizontal="left"/>
    </xf>
    <xf numFmtId="0" fontId="3" fillId="0" borderId="0" xfId="43"/>
    <xf numFmtId="0" fontId="3" fillId="0" borderId="123" xfId="43" applyBorder="1"/>
    <xf numFmtId="169" fontId="3" fillId="0" borderId="23" xfId="100" applyNumberFormat="1" applyFont="1" applyBorder="1"/>
    <xf numFmtId="1" fontId="4" fillId="25" borderId="25" xfId="0" applyNumberFormat="1" applyFont="1" applyFill="1" applyBorder="1" applyAlignment="1">
      <alignment horizontal="left"/>
    </xf>
    <xf numFmtId="1" fontId="4" fillId="25" borderId="25" xfId="0" applyNumberFormat="1" applyFont="1" applyFill="1" applyBorder="1" applyAlignment="1">
      <alignment horizontal="center"/>
    </xf>
    <xf numFmtId="0" fontId="4" fillId="25" borderId="27" xfId="0" applyFont="1" applyFill="1" applyBorder="1"/>
    <xf numFmtId="0" fontId="4" fillId="25" borderId="35" xfId="0" applyFont="1" applyFill="1" applyBorder="1"/>
    <xf numFmtId="173" fontId="3" fillId="25" borderId="105" xfId="33" applyNumberFormat="1" applyFont="1" applyFill="1" applyBorder="1"/>
    <xf numFmtId="3" fontId="4" fillId="17" borderId="24" xfId="100" applyNumberFormat="1" applyFont="1" applyFill="1" applyBorder="1" applyAlignment="1">
      <alignment horizontal="left"/>
    </xf>
    <xf numFmtId="0" fontId="3" fillId="0" borderId="25" xfId="0" applyFont="1" applyBorder="1"/>
    <xf numFmtId="0" fontId="3" fillId="0" borderId="27" xfId="0" applyFont="1" applyBorder="1"/>
    <xf numFmtId="169" fontId="3" fillId="0" borderId="0" xfId="100" applyNumberFormat="1" applyFont="1"/>
    <xf numFmtId="169" fontId="4" fillId="0" borderId="0" xfId="59" applyNumberFormat="1" applyFont="1" applyBorder="1" applyAlignment="1" applyProtection="1">
      <alignment horizontal="left"/>
    </xf>
    <xf numFmtId="0" fontId="47" fillId="0" borderId="0" xfId="0" applyFont="1" applyAlignment="1">
      <alignment horizontal="left"/>
    </xf>
    <xf numFmtId="0" fontId="7" fillId="20" borderId="123" xfId="0" applyFont="1" applyFill="1" applyBorder="1" applyProtection="1"/>
    <xf numFmtId="0" fontId="3" fillId="0" borderId="0" xfId="0" applyNumberFormat="1" applyFont="1" applyFill="1" applyBorder="1" applyAlignment="1" applyProtection="1"/>
    <xf numFmtId="0" fontId="3" fillId="0" borderId="132" xfId="0" applyNumberFormat="1" applyFont="1" applyFill="1" applyBorder="1" applyAlignment="1" applyProtection="1">
      <alignment horizontal="center" vertical="top" wrapText="1"/>
    </xf>
    <xf numFmtId="0" fontId="3" fillId="0" borderId="0" xfId="0" applyNumberFormat="1" applyFont="1" applyFill="1" applyBorder="1" applyAlignment="1" applyProtection="1">
      <alignment horizontal="center"/>
    </xf>
    <xf numFmtId="1" fontId="3" fillId="26" borderId="133" xfId="0" applyNumberFormat="1" applyFont="1" applyFill="1" applyBorder="1" applyAlignment="1" applyProtection="1"/>
    <xf numFmtId="1" fontId="3" fillId="26" borderId="134" xfId="0" applyNumberFormat="1" applyFont="1" applyFill="1" applyBorder="1" applyAlignment="1" applyProtection="1"/>
    <xf numFmtId="0" fontId="3" fillId="26" borderId="134" xfId="0" applyNumberFormat="1" applyFont="1" applyFill="1" applyBorder="1" applyAlignment="1" applyProtection="1"/>
    <xf numFmtId="0" fontId="3" fillId="26" borderId="135" xfId="0" applyNumberFormat="1" applyFont="1" applyFill="1" applyBorder="1" applyAlignment="1" applyProtection="1"/>
    <xf numFmtId="0" fontId="3" fillId="0" borderId="136" xfId="0" applyNumberFormat="1" applyFont="1" applyFill="1" applyBorder="1" applyAlignment="1" applyProtection="1">
      <alignment horizontal="center" vertical="top" wrapText="1"/>
    </xf>
    <xf numFmtId="3" fontId="3" fillId="0" borderId="137" xfId="0" applyNumberFormat="1" applyFont="1" applyFill="1" applyBorder="1" applyAlignment="1" applyProtection="1">
      <alignment vertical="top" wrapText="1"/>
    </xf>
    <xf numFmtId="0" fontId="3" fillId="0" borderId="0" xfId="0" applyNumberFormat="1" applyFont="1" applyFill="1" applyBorder="1" applyAlignment="1" applyProtection="1">
      <alignment vertical="top"/>
    </xf>
    <xf numFmtId="1" fontId="3" fillId="26" borderId="138" xfId="0" applyNumberFormat="1" applyFont="1" applyFill="1" applyBorder="1" applyAlignment="1" applyProtection="1">
      <alignment horizontal="center"/>
    </xf>
    <xf numFmtId="1" fontId="3" fillId="26" borderId="0" xfId="0" applyNumberFormat="1" applyFont="1" applyFill="1" applyBorder="1" applyAlignment="1" applyProtection="1">
      <alignment horizontal="center"/>
    </xf>
    <xf numFmtId="1" fontId="3" fillId="26" borderId="139" xfId="0" applyNumberFormat="1" applyFont="1" applyFill="1" applyBorder="1" applyAlignment="1" applyProtection="1">
      <alignment horizontal="center"/>
    </xf>
    <xf numFmtId="1" fontId="3" fillId="26" borderId="140" xfId="0" applyNumberFormat="1" applyFont="1" applyFill="1" applyBorder="1" applyAlignment="1" applyProtection="1">
      <alignment horizontal="center"/>
    </xf>
    <xf numFmtId="1" fontId="3" fillId="26" borderId="134" xfId="0" applyNumberFormat="1" applyFont="1" applyFill="1" applyBorder="1" applyAlignment="1" applyProtection="1">
      <alignment horizontal="center"/>
    </xf>
    <xf numFmtId="1" fontId="3" fillId="26" borderId="135" xfId="0" applyNumberFormat="1" applyFont="1" applyFill="1" applyBorder="1" applyAlignment="1" applyProtection="1">
      <alignment horizontal="center"/>
    </xf>
    <xf numFmtId="1" fontId="3" fillId="26" borderId="0" xfId="0" applyNumberFormat="1" applyFont="1" applyFill="1" applyBorder="1" applyAlignment="1" applyProtection="1"/>
    <xf numFmtId="0" fontId="3" fillId="26" borderId="0" xfId="0" applyNumberFormat="1" applyFont="1" applyFill="1" applyBorder="1" applyAlignment="1" applyProtection="1"/>
    <xf numFmtId="0" fontId="3" fillId="26" borderId="139" xfId="0" applyNumberFormat="1" applyFont="1" applyFill="1" applyBorder="1" applyAlignment="1" applyProtection="1">
      <alignment horizontal="center"/>
    </xf>
    <xf numFmtId="0" fontId="3" fillId="26" borderId="0" xfId="0" applyNumberFormat="1" applyFont="1" applyFill="1" applyBorder="1" applyAlignment="1" applyProtection="1">
      <alignment horizontal="center"/>
    </xf>
    <xf numFmtId="0" fontId="3" fillId="26" borderId="141" xfId="0" applyNumberFormat="1" applyFont="1" applyFill="1" applyBorder="1" applyAlignment="1" applyProtection="1"/>
    <xf numFmtId="0" fontId="3" fillId="26" borderId="139" xfId="0" applyNumberFormat="1" applyFont="1" applyFill="1" applyBorder="1" applyAlignment="1" applyProtection="1"/>
    <xf numFmtId="0" fontId="3" fillId="0" borderId="139" xfId="0" applyNumberFormat="1" applyFont="1" applyFill="1" applyBorder="1" applyAlignment="1" applyProtection="1"/>
    <xf numFmtId="0" fontId="4" fillId="26" borderId="0" xfId="0" applyNumberFormat="1" applyFont="1" applyFill="1" applyBorder="1" applyAlignment="1" applyProtection="1">
      <alignment horizontal="left" vertical="top"/>
    </xf>
    <xf numFmtId="169" fontId="4" fillId="26" borderId="139" xfId="0" applyNumberFormat="1" applyFont="1" applyFill="1" applyBorder="1" applyAlignment="1" applyProtection="1">
      <alignment horizontal="left"/>
    </xf>
    <xf numFmtId="0" fontId="4" fillId="0" borderId="0" xfId="0" applyNumberFormat="1" applyFont="1" applyFill="1" applyBorder="1" applyAlignment="1" applyProtection="1">
      <alignment horizontal="center"/>
    </xf>
    <xf numFmtId="0" fontId="4" fillId="0" borderId="139" xfId="0" applyNumberFormat="1" applyFont="1" applyFill="1" applyBorder="1" applyAlignment="1" applyProtection="1">
      <alignment horizontal="center"/>
    </xf>
    <xf numFmtId="1" fontId="3" fillId="26" borderId="142" xfId="0" applyNumberFormat="1" applyFont="1" applyFill="1" applyBorder="1" applyAlignment="1" applyProtection="1">
      <alignment horizontal="center"/>
    </xf>
    <xf numFmtId="1" fontId="3" fillId="26" borderId="143" xfId="0" applyNumberFormat="1" applyFont="1" applyFill="1" applyBorder="1" applyAlignment="1" applyProtection="1">
      <alignment horizontal="center"/>
    </xf>
    <xf numFmtId="0" fontId="3" fillId="26" borderId="143" xfId="0" applyNumberFormat="1" applyFont="1" applyFill="1" applyBorder="1" applyAlignment="1" applyProtection="1">
      <alignment horizontal="center"/>
    </xf>
    <xf numFmtId="0" fontId="3" fillId="26" borderId="144" xfId="0" applyNumberFormat="1" applyFont="1" applyFill="1" applyBorder="1" applyAlignment="1" applyProtection="1">
      <alignment horizontal="center"/>
    </xf>
    <xf numFmtId="0" fontId="3" fillId="26" borderId="144" xfId="0" applyNumberFormat="1" applyFont="1" applyFill="1" applyBorder="1" applyAlignment="1" applyProtection="1"/>
    <xf numFmtId="0" fontId="3" fillId="26" borderId="143" xfId="0" applyNumberFormat="1" applyFont="1" applyFill="1" applyBorder="1" applyAlignment="1" applyProtection="1"/>
    <xf numFmtId="1" fontId="3" fillId="0" borderId="133" xfId="0" applyNumberFormat="1" applyFont="1" applyFill="1" applyBorder="1" applyAlignment="1" applyProtection="1">
      <alignment horizontal="center"/>
    </xf>
    <xf numFmtId="1" fontId="3" fillId="0" borderId="134" xfId="0" applyNumberFormat="1" applyFont="1" applyFill="1" applyBorder="1" applyAlignment="1" applyProtection="1"/>
    <xf numFmtId="0" fontId="3" fillId="0" borderId="134" xfId="0" applyNumberFormat="1" applyFont="1" applyFill="1" applyBorder="1" applyAlignment="1" applyProtection="1"/>
    <xf numFmtId="0" fontId="3" fillId="0" borderId="135" xfId="0" applyNumberFormat="1" applyFont="1" applyFill="1" applyBorder="1" applyAlignment="1" applyProtection="1">
      <alignment horizontal="center"/>
    </xf>
    <xf numFmtId="0" fontId="3" fillId="0" borderId="146" xfId="0" applyNumberFormat="1" applyFont="1" applyFill="1" applyBorder="1" applyAlignment="1" applyProtection="1">
      <alignment vertical="top"/>
    </xf>
    <xf numFmtId="0" fontId="3" fillId="0" borderId="0" xfId="0" applyNumberFormat="1" applyFont="1" applyFill="1" applyBorder="1" applyAlignment="1" applyProtection="1">
      <alignment horizontal="center" vertical="top" wrapText="1"/>
    </xf>
    <xf numFmtId="0" fontId="3" fillId="0" borderId="136" xfId="0" applyNumberFormat="1" applyFont="1" applyFill="1" applyBorder="1" applyAlignment="1" applyProtection="1">
      <alignment vertical="top"/>
    </xf>
    <xf numFmtId="0" fontId="3" fillId="0" borderId="137" xfId="0" applyNumberFormat="1" applyFont="1" applyFill="1" applyBorder="1" applyAlignment="1" applyProtection="1">
      <alignment horizontal="center" vertical="top" wrapText="1"/>
    </xf>
    <xf numFmtId="1" fontId="3" fillId="26" borderId="141" xfId="0" applyNumberFormat="1" applyFont="1" applyFill="1" applyBorder="1" applyAlignment="1" applyProtection="1">
      <alignment horizontal="center"/>
    </xf>
    <xf numFmtId="1" fontId="3" fillId="27" borderId="136" xfId="0" applyNumberFormat="1" applyFont="1" applyFill="1" applyBorder="1" applyAlignment="1" applyProtection="1">
      <alignment horizontal="center"/>
    </xf>
    <xf numFmtId="1" fontId="3" fillId="27" borderId="136" xfId="0" applyNumberFormat="1" applyFont="1" applyFill="1" applyBorder="1" applyAlignment="1" applyProtection="1"/>
    <xf numFmtId="0" fontId="3" fillId="27" borderId="132" xfId="0" applyNumberFormat="1" applyFont="1" applyFill="1" applyBorder="1" applyAlignment="1" applyProtection="1"/>
    <xf numFmtId="0" fontId="3" fillId="27" borderId="137" xfId="0" applyNumberFormat="1" applyFont="1" applyFill="1" applyBorder="1" applyAlignment="1" applyProtection="1">
      <alignment horizontal="center"/>
    </xf>
    <xf numFmtId="0" fontId="3" fillId="27" borderId="143" xfId="0" applyNumberFormat="1" applyFont="1" applyFill="1" applyBorder="1" applyAlignment="1" applyProtection="1">
      <alignment horizontal="center"/>
    </xf>
    <xf numFmtId="0" fontId="3" fillId="27" borderId="136" xfId="0" applyNumberFormat="1" applyFont="1" applyFill="1" applyBorder="1" applyAlignment="1" applyProtection="1"/>
    <xf numFmtId="0" fontId="3" fillId="27" borderId="137" xfId="0" applyNumberFormat="1" applyFont="1" applyFill="1" applyBorder="1" applyAlignment="1" applyProtection="1"/>
    <xf numFmtId="0" fontId="3" fillId="0" borderId="142" xfId="0" applyNumberFormat="1" applyFont="1" applyFill="1" applyBorder="1" applyAlignment="1" applyProtection="1">
      <alignment horizontal="center"/>
    </xf>
    <xf numFmtId="0" fontId="3" fillId="26" borderId="146" xfId="0" applyNumberFormat="1" applyFont="1" applyFill="1" applyBorder="1" applyAlignment="1" applyProtection="1"/>
    <xf numFmtId="0" fontId="68" fillId="31" borderId="0" xfId="0" applyNumberFormat="1" applyFont="1" applyFill="1" applyBorder="1" applyAlignment="1" applyProtection="1"/>
    <xf numFmtId="0" fontId="37" fillId="31" borderId="0" xfId="0" applyNumberFormat="1" applyFont="1" applyFill="1" applyBorder="1" applyAlignment="1" applyProtection="1"/>
    <xf numFmtId="0" fontId="3" fillId="31" borderId="0" xfId="0" applyNumberFormat="1" applyFont="1" applyFill="1" applyBorder="1" applyAlignment="1" applyProtection="1"/>
    <xf numFmtId="0" fontId="65" fillId="31" borderId="0" xfId="0" applyNumberFormat="1" applyFont="1" applyFill="1" applyBorder="1" applyAlignment="1" applyProtection="1"/>
    <xf numFmtId="0" fontId="4" fillId="31" borderId="0" xfId="0" applyNumberFormat="1" applyFont="1" applyFill="1" applyBorder="1" applyAlignment="1" applyProtection="1"/>
    <xf numFmtId="0" fontId="4" fillId="31" borderId="0" xfId="0" applyNumberFormat="1" applyFont="1" applyFill="1" applyBorder="1" applyAlignment="1" applyProtection="1">
      <alignment wrapText="1"/>
    </xf>
    <xf numFmtId="0" fontId="3" fillId="26" borderId="138" xfId="0" applyNumberFormat="1" applyFont="1" applyFill="1" applyBorder="1" applyAlignment="1" applyProtection="1">
      <alignment horizontal="center"/>
    </xf>
    <xf numFmtId="0" fontId="4" fillId="26" borderId="138" xfId="0" applyNumberFormat="1" applyFont="1" applyFill="1" applyBorder="1" applyAlignment="1" applyProtection="1">
      <alignment horizontal="left" vertical="top"/>
    </xf>
    <xf numFmtId="0" fontId="3" fillId="26" borderId="142" xfId="0" applyNumberFormat="1" applyFont="1" applyFill="1" applyBorder="1" applyAlignment="1" applyProtection="1">
      <alignment horizontal="center"/>
    </xf>
    <xf numFmtId="0" fontId="3" fillId="27" borderId="145" xfId="0" applyNumberFormat="1" applyFont="1" applyFill="1" applyBorder="1" applyAlignment="1" applyProtection="1">
      <alignment horizontal="center"/>
    </xf>
    <xf numFmtId="9" fontId="3" fillId="0" borderId="0" xfId="46" applyFont="1" applyBorder="1"/>
    <xf numFmtId="3" fontId="3" fillId="0" borderId="23" xfId="33" applyNumberFormat="1" applyFont="1" applyBorder="1"/>
    <xf numFmtId="3" fontId="3" fillId="0" borderId="0" xfId="33" applyNumberFormat="1" applyFont="1" applyBorder="1"/>
    <xf numFmtId="3" fontId="3" fillId="25" borderId="105" xfId="33" applyNumberFormat="1" applyFont="1" applyFill="1" applyBorder="1"/>
    <xf numFmtId="1" fontId="0" fillId="0" borderId="0" xfId="0" applyNumberFormat="1"/>
    <xf numFmtId="1" fontId="4" fillId="25" borderId="25" xfId="0" applyNumberFormat="1" applyFont="1" applyFill="1" applyBorder="1"/>
    <xf numFmtId="9" fontId="0" fillId="0" borderId="0" xfId="46" applyFont="1"/>
    <xf numFmtId="0" fontId="3" fillId="27" borderId="136" xfId="0" applyFont="1" applyFill="1" applyBorder="1"/>
    <xf numFmtId="0" fontId="3" fillId="27" borderId="132" xfId="0" applyFont="1" applyFill="1" applyBorder="1"/>
    <xf numFmtId="0" fontId="52" fillId="19" borderId="146" xfId="0" applyFont="1" applyFill="1" applyBorder="1"/>
    <xf numFmtId="0" fontId="7" fillId="19" borderId="143" xfId="0" applyFont="1" applyFill="1" applyBorder="1"/>
    <xf numFmtId="0" fontId="7" fillId="19" borderId="144" xfId="0" applyFont="1" applyFill="1" applyBorder="1"/>
    <xf numFmtId="0" fontId="3" fillId="23" borderId="0" xfId="0" applyFont="1" applyFill="1" applyAlignment="1">
      <alignment horizontal="left" vertical="top" wrapText="1"/>
    </xf>
    <xf numFmtId="0" fontId="63" fillId="23" borderId="0" xfId="52" applyFill="1" applyBorder="1" applyAlignment="1">
      <alignment horizontal="left" vertical="top" wrapText="1"/>
    </xf>
    <xf numFmtId="3" fontId="33" fillId="17" borderId="145" xfId="58" applyNumberFormat="1" applyFont="1" applyFill="1" applyBorder="1" applyAlignment="1">
      <alignment horizontal="left" vertical="center" indent="1"/>
    </xf>
    <xf numFmtId="0" fontId="33" fillId="19" borderId="0" xfId="58" applyFont="1" applyFill="1" applyAlignment="1">
      <alignment horizontal="left" vertical="center"/>
    </xf>
    <xf numFmtId="3" fontId="33" fillId="17" borderId="145" xfId="58" applyNumberFormat="1" applyFont="1" applyFill="1" applyBorder="1" applyAlignment="1" applyProtection="1">
      <alignment vertical="center"/>
      <protection locked="0"/>
    </xf>
    <xf numFmtId="3" fontId="66" fillId="19" borderId="0" xfId="58" applyNumberFormat="1" applyFont="1" applyFill="1" applyAlignment="1">
      <alignment horizontal="left" vertical="center"/>
    </xf>
    <xf numFmtId="3" fontId="33" fillId="19" borderId="0" xfId="58" applyNumberFormat="1" applyFont="1" applyFill="1" applyAlignment="1">
      <alignment horizontal="right" vertical="center" indent="1"/>
    </xf>
    <xf numFmtId="3" fontId="33" fillId="17" borderId="110" xfId="58" applyNumberFormat="1" applyFont="1" applyFill="1" applyBorder="1" applyAlignment="1">
      <alignment vertical="center"/>
    </xf>
    <xf numFmtId="3" fontId="35" fillId="19" borderId="0" xfId="58" applyNumberFormat="1" applyFont="1" applyFill="1" applyAlignment="1">
      <alignment horizontal="right" vertical="center" indent="1"/>
    </xf>
    <xf numFmtId="3" fontId="33" fillId="17" borderId="131" xfId="58" applyNumberFormat="1" applyFont="1" applyFill="1" applyBorder="1" applyAlignment="1">
      <alignment vertical="center"/>
    </xf>
    <xf numFmtId="3" fontId="33" fillId="24" borderId="110" xfId="58" applyNumberFormat="1" applyFont="1" applyFill="1" applyBorder="1" applyAlignment="1">
      <alignment vertical="center"/>
    </xf>
    <xf numFmtId="3" fontId="33" fillId="24" borderId="0" xfId="58" applyNumberFormat="1" applyFont="1" applyFill="1" applyAlignment="1">
      <alignment horizontal="right" vertical="center" indent="1"/>
    </xf>
    <xf numFmtId="0" fontId="0" fillId="23" borderId="140" xfId="0" applyFill="1" applyBorder="1"/>
    <xf numFmtId="0" fontId="0" fillId="23" borderId="134" xfId="0" applyFill="1" applyBorder="1"/>
    <xf numFmtId="0" fontId="0" fillId="23" borderId="135" xfId="0" applyFill="1" applyBorder="1"/>
    <xf numFmtId="0" fontId="0" fillId="23" borderId="141" xfId="0" applyFill="1" applyBorder="1"/>
    <xf numFmtId="0" fontId="0" fillId="23" borderId="139" xfId="0" applyFill="1" applyBorder="1"/>
    <xf numFmtId="0" fontId="0" fillId="23" borderId="139" xfId="0" applyFill="1" applyBorder="1" applyAlignment="1">
      <alignment vertical="top"/>
    </xf>
    <xf numFmtId="0" fontId="3" fillId="23" borderId="139" xfId="0" applyFont="1" applyFill="1" applyBorder="1" applyAlignment="1">
      <alignment vertical="top" wrapText="1"/>
    </xf>
    <xf numFmtId="0" fontId="0" fillId="23" borderId="139" xfId="0" applyFill="1" applyBorder="1" applyAlignment="1">
      <alignment vertical="top" wrapText="1"/>
    </xf>
    <xf numFmtId="0" fontId="0" fillId="23" borderId="146" xfId="0" applyFill="1" applyBorder="1"/>
    <xf numFmtId="0" fontId="0" fillId="23" borderId="143" xfId="0" applyFill="1" applyBorder="1"/>
    <xf numFmtId="0" fontId="0" fillId="23" borderId="144" xfId="0" applyFill="1" applyBorder="1"/>
    <xf numFmtId="3" fontId="3" fillId="0" borderId="42" xfId="0" applyNumberFormat="1" applyFont="1" applyBorder="1" applyAlignment="1">
      <alignment horizontal="center"/>
    </xf>
    <xf numFmtId="3" fontId="3" fillId="17" borderId="23" xfId="100" applyNumberFormat="1" applyFont="1" applyFill="1" applyBorder="1"/>
    <xf numFmtId="3" fontId="3" fillId="17" borderId="0" xfId="101" applyNumberFormat="1" applyFill="1"/>
    <xf numFmtId="3" fontId="86" fillId="17" borderId="123" xfId="100" applyNumberFormat="1" applyFont="1" applyFill="1" applyBorder="1" applyAlignment="1">
      <alignment horizontal="left"/>
    </xf>
    <xf numFmtId="3" fontId="3" fillId="0" borderId="42" xfId="100" applyNumberFormat="1" applyFont="1" applyBorder="1" applyAlignment="1">
      <alignment horizontal="left"/>
    </xf>
    <xf numFmtId="3" fontId="3" fillId="0" borderId="0" xfId="100" applyNumberFormat="1" applyFont="1" applyAlignment="1">
      <alignment horizontal="left"/>
    </xf>
    <xf numFmtId="3" fontId="3" fillId="17" borderId="0" xfId="0" applyNumberFormat="1" applyFont="1" applyFill="1"/>
    <xf numFmtId="3" fontId="3" fillId="17" borderId="123" xfId="0" applyNumberFormat="1" applyFont="1" applyFill="1" applyBorder="1" applyAlignment="1">
      <alignment horizontal="left"/>
    </xf>
    <xf numFmtId="3" fontId="3" fillId="0" borderId="0" xfId="0" applyNumberFormat="1" applyFont="1"/>
    <xf numFmtId="169" fontId="0" fillId="0" borderId="0" xfId="0" applyNumberFormat="1"/>
    <xf numFmtId="3" fontId="4" fillId="25" borderId="25" xfId="0" applyNumberFormat="1" applyFont="1" applyFill="1" applyBorder="1"/>
    <xf numFmtId="3" fontId="4" fillId="25" borderId="25" xfId="0" applyNumberFormat="1" applyFont="1" applyFill="1" applyBorder="1" applyAlignment="1">
      <alignment horizontal="center"/>
    </xf>
    <xf numFmtId="3" fontId="3" fillId="0" borderId="0" xfId="0" applyNumberFormat="1" applyFont="1" applyFill="1" applyBorder="1" applyAlignment="1" applyProtection="1"/>
    <xf numFmtId="0" fontId="4" fillId="20" borderId="0" xfId="0" applyNumberFormat="1" applyFont="1" applyFill="1" applyBorder="1" applyProtection="1">
      <protection locked="0"/>
    </xf>
    <xf numFmtId="0" fontId="3" fillId="23" borderId="0" xfId="0" applyFont="1" applyFill="1" applyAlignment="1">
      <alignment horizontal="left" vertical="top" wrapText="1"/>
    </xf>
    <xf numFmtId="0" fontId="0" fillId="0" borderId="0" xfId="0" applyAlignment="1">
      <alignment horizontal="left" vertical="top" wrapText="1"/>
    </xf>
    <xf numFmtId="0" fontId="63" fillId="23" borderId="0" xfId="52" applyFill="1" applyBorder="1" applyAlignment="1">
      <alignment horizontal="left" vertical="top" wrapText="1"/>
    </xf>
    <xf numFmtId="0" fontId="3" fillId="31" borderId="0" xfId="0" applyNumberFormat="1" applyFont="1" applyFill="1" applyBorder="1" applyAlignment="1" applyProtection="1">
      <alignment horizontal="left" vertical="top" wrapText="1"/>
    </xf>
    <xf numFmtId="3" fontId="7" fillId="19" borderId="0" xfId="0" applyNumberFormat="1" applyFont="1" applyFill="1" applyBorder="1" applyAlignment="1">
      <alignment horizontal="center" vertical="center"/>
    </xf>
    <xf numFmtId="3" fontId="9" fillId="22" borderId="99" xfId="0" applyNumberFormat="1" applyFont="1" applyFill="1" applyBorder="1" applyAlignment="1">
      <alignment horizontal="right" vertical="center" indent="1"/>
    </xf>
    <xf numFmtId="0" fontId="0" fillId="0" borderId="100" xfId="0" applyBorder="1" applyAlignment="1">
      <alignment horizontal="right" vertical="center" indent="1"/>
    </xf>
    <xf numFmtId="3" fontId="9" fillId="19" borderId="0" xfId="0" applyNumberFormat="1" applyFont="1" applyFill="1" applyBorder="1" applyAlignment="1">
      <alignment horizontal="center" vertical="center" wrapText="1"/>
    </xf>
    <xf numFmtId="3" fontId="9" fillId="22" borderId="67" xfId="0" applyNumberFormat="1" applyFont="1" applyFill="1" applyBorder="1" applyAlignment="1">
      <alignment horizontal="right" vertical="center" indent="1"/>
    </xf>
    <xf numFmtId="3" fontId="9" fillId="22" borderId="68" xfId="0" applyNumberFormat="1" applyFont="1" applyFill="1" applyBorder="1" applyAlignment="1">
      <alignment horizontal="right" vertical="center" indent="1"/>
    </xf>
    <xf numFmtId="3" fontId="9" fillId="22" borderId="100" xfId="0" applyNumberFormat="1" applyFont="1" applyFill="1" applyBorder="1" applyAlignment="1">
      <alignment horizontal="right" vertical="center" indent="1"/>
    </xf>
    <xf numFmtId="3" fontId="9" fillId="22" borderId="0" xfId="0" applyNumberFormat="1" applyFont="1" applyFill="1" applyBorder="1" applyAlignment="1">
      <alignment horizontal="center" vertical="center"/>
    </xf>
    <xf numFmtId="3" fontId="9" fillId="19" borderId="0" xfId="0" applyNumberFormat="1" applyFont="1" applyFill="1" applyBorder="1" applyAlignment="1">
      <alignment horizontal="center" vertical="top" wrapText="1"/>
    </xf>
    <xf numFmtId="0" fontId="49" fillId="19" borderId="40" xfId="0" applyFont="1" applyFill="1" applyBorder="1" applyAlignment="1">
      <alignment horizontal="left" vertical="center" wrapText="1"/>
    </xf>
    <xf numFmtId="0" fontId="49" fillId="19" borderId="33" xfId="0" applyFont="1" applyFill="1" applyBorder="1" applyAlignment="1">
      <alignment horizontal="left" vertical="center" wrapText="1"/>
    </xf>
    <xf numFmtId="0" fontId="49" fillId="19" borderId="36" xfId="0" applyFont="1" applyFill="1" applyBorder="1" applyAlignment="1">
      <alignment horizontal="left" vertical="center" wrapText="1"/>
    </xf>
    <xf numFmtId="0" fontId="49" fillId="19" borderId="66" xfId="0" applyFont="1" applyFill="1" applyBorder="1" applyAlignment="1">
      <alignment horizontal="left" vertical="center" wrapText="1"/>
    </xf>
    <xf numFmtId="0" fontId="49" fillId="19" borderId="31" xfId="0" applyFont="1" applyFill="1" applyBorder="1" applyAlignment="1">
      <alignment horizontal="left" vertical="center" wrapText="1"/>
    </xf>
    <xf numFmtId="0" fontId="49" fillId="19" borderId="38" xfId="0" applyFont="1" applyFill="1" applyBorder="1" applyAlignment="1">
      <alignment horizontal="left" vertical="center" wrapText="1"/>
    </xf>
    <xf numFmtId="0" fontId="15" fillId="17" borderId="63" xfId="0" applyNumberFormat="1" applyFont="1" applyFill="1" applyBorder="1" applyAlignment="1" applyProtection="1">
      <alignment horizontal="left" vertical="top"/>
      <protection locked="0"/>
    </xf>
    <xf numFmtId="0" fontId="15" fillId="17" borderId="64" xfId="0" applyNumberFormat="1" applyFont="1" applyFill="1" applyBorder="1" applyAlignment="1" applyProtection="1">
      <alignment horizontal="left" vertical="top"/>
      <protection locked="0"/>
    </xf>
    <xf numFmtId="0" fontId="15" fillId="17" borderId="65" xfId="0" applyNumberFormat="1" applyFont="1" applyFill="1" applyBorder="1" applyAlignment="1" applyProtection="1">
      <alignment horizontal="left" vertical="top"/>
      <protection locked="0"/>
    </xf>
    <xf numFmtId="9" fontId="9" fillId="22" borderId="67" xfId="46" applyFont="1" applyFill="1" applyBorder="1" applyAlignment="1">
      <alignment horizontal="right" vertical="center" indent="1"/>
    </xf>
    <xf numFmtId="9" fontId="9" fillId="22" borderId="68" xfId="46" applyFont="1" applyFill="1" applyBorder="1" applyAlignment="1">
      <alignment horizontal="right" vertical="center" indent="1"/>
    </xf>
    <xf numFmtId="9" fontId="9" fillId="22" borderId="67" xfId="46" applyFont="1" applyFill="1" applyBorder="1" applyAlignment="1" applyProtection="1">
      <alignment horizontal="right" vertical="center" indent="1"/>
    </xf>
    <xf numFmtId="9" fontId="9" fillId="22" borderId="68" xfId="46" applyFont="1" applyFill="1" applyBorder="1" applyAlignment="1" applyProtection="1">
      <alignment horizontal="right" vertical="center" indent="1"/>
    </xf>
    <xf numFmtId="3" fontId="9" fillId="23" borderId="67" xfId="0" applyNumberFormat="1" applyFont="1" applyFill="1" applyBorder="1" applyAlignment="1" applyProtection="1">
      <alignment horizontal="right" vertical="center" indent="1"/>
    </xf>
    <xf numFmtId="3" fontId="7" fillId="23" borderId="68" xfId="0" applyNumberFormat="1" applyFont="1" applyFill="1" applyBorder="1" applyAlignment="1" applyProtection="1">
      <alignment horizontal="right" vertical="center" indent="1"/>
    </xf>
    <xf numFmtId="0" fontId="7" fillId="0" borderId="0" xfId="0" applyFont="1" applyAlignment="1">
      <alignment vertical="top" wrapText="1"/>
    </xf>
    <xf numFmtId="3" fontId="12" fillId="17" borderId="51" xfId="0" applyNumberFormat="1" applyFont="1" applyFill="1" applyBorder="1" applyAlignment="1" applyProtection="1">
      <alignment horizontal="right" vertical="center" indent="1"/>
      <protection locked="0"/>
    </xf>
    <xf numFmtId="3" fontId="12" fillId="17" borderId="53" xfId="0" applyNumberFormat="1" applyFont="1" applyFill="1" applyBorder="1" applyAlignment="1" applyProtection="1">
      <alignment horizontal="right" vertical="center" indent="1"/>
      <protection locked="0"/>
    </xf>
    <xf numFmtId="3" fontId="12" fillId="17" borderId="99" xfId="0" applyNumberFormat="1" applyFont="1" applyFill="1" applyBorder="1" applyAlignment="1" applyProtection="1">
      <alignment horizontal="right" vertical="center" indent="1"/>
    </xf>
    <xf numFmtId="3" fontId="12" fillId="17" borderId="100" xfId="0" applyNumberFormat="1" applyFont="1" applyFill="1" applyBorder="1" applyAlignment="1" applyProtection="1">
      <alignment horizontal="right" vertical="center" indent="1"/>
    </xf>
    <xf numFmtId="0" fontId="7" fillId="20" borderId="16" xfId="0" applyFont="1" applyFill="1" applyBorder="1" applyAlignment="1" applyProtection="1">
      <alignment horizontal="center"/>
    </xf>
    <xf numFmtId="3" fontId="9" fillId="17" borderId="69" xfId="0" applyNumberFormat="1" applyFont="1" applyFill="1" applyBorder="1" applyAlignment="1">
      <alignment horizontal="right" vertical="center" indent="1"/>
    </xf>
    <xf numFmtId="3" fontId="7" fillId="17" borderId="70" xfId="0" applyNumberFormat="1" applyFont="1" applyFill="1" applyBorder="1" applyAlignment="1">
      <alignment horizontal="right" vertical="center" indent="1"/>
    </xf>
    <xf numFmtId="3" fontId="9" fillId="17" borderId="99" xfId="0" applyNumberFormat="1" applyFont="1" applyFill="1" applyBorder="1" applyAlignment="1">
      <alignment horizontal="right" vertical="center" indent="1"/>
    </xf>
    <xf numFmtId="3" fontId="7" fillId="17" borderId="100" xfId="0" applyNumberFormat="1" applyFont="1" applyFill="1" applyBorder="1" applyAlignment="1">
      <alignment horizontal="right" vertical="center" indent="1"/>
    </xf>
    <xf numFmtId="166" fontId="45" fillId="19" borderId="0" xfId="0" applyNumberFormat="1" applyFont="1" applyFill="1" applyBorder="1" applyAlignment="1">
      <alignment horizontal="right" vertical="center"/>
    </xf>
    <xf numFmtId="0" fontId="8" fillId="20" borderId="23" xfId="0" applyFont="1" applyFill="1" applyBorder="1" applyAlignment="1" applyProtection="1">
      <alignment horizontal="center"/>
    </xf>
    <xf numFmtId="0" fontId="8" fillId="20" borderId="0" xfId="0" applyFont="1" applyFill="1" applyBorder="1" applyAlignment="1" applyProtection="1">
      <alignment horizontal="center"/>
    </xf>
    <xf numFmtId="0" fontId="8" fillId="20" borderId="15" xfId="0" applyFont="1" applyFill="1" applyBorder="1" applyAlignment="1" applyProtection="1">
      <alignment horizontal="center"/>
    </xf>
    <xf numFmtId="167" fontId="10" fillId="19" borderId="0" xfId="0" applyNumberFormat="1" applyFont="1" applyFill="1" applyBorder="1" applyAlignment="1">
      <alignment horizontal="center" vertical="center"/>
    </xf>
    <xf numFmtId="0" fontId="7" fillId="20" borderId="0" xfId="0" applyFont="1" applyFill="1" applyBorder="1" applyAlignment="1" applyProtection="1">
      <alignment horizontal="center" vertical="top"/>
    </xf>
    <xf numFmtId="0" fontId="7" fillId="20" borderId="24" xfId="0" applyFont="1" applyFill="1" applyBorder="1" applyAlignment="1" applyProtection="1">
      <alignment horizontal="center"/>
    </xf>
    <xf numFmtId="0" fontId="7" fillId="20" borderId="25" xfId="0" applyFont="1" applyFill="1" applyBorder="1" applyAlignment="1" applyProtection="1">
      <alignment horizontal="center"/>
    </xf>
    <xf numFmtId="0" fontId="7" fillId="20" borderId="27" xfId="0" applyFont="1" applyFill="1" applyBorder="1" applyAlignment="1" applyProtection="1">
      <alignment horizontal="center"/>
    </xf>
    <xf numFmtId="0" fontId="7" fillId="19" borderId="0" xfId="0" applyFont="1" applyFill="1" applyBorder="1" applyAlignment="1">
      <alignment vertical="top" wrapText="1"/>
    </xf>
    <xf numFmtId="0" fontId="9" fillId="19" borderId="0" xfId="0" applyFont="1" applyFill="1" applyBorder="1" applyAlignment="1">
      <alignment vertical="top"/>
    </xf>
    <xf numFmtId="0" fontId="7" fillId="20" borderId="23" xfId="0" applyFont="1" applyFill="1" applyBorder="1" applyAlignment="1" applyProtection="1">
      <alignment horizontal="center"/>
    </xf>
    <xf numFmtId="0" fontId="7" fillId="20" borderId="0" xfId="0" applyFont="1" applyFill="1" applyBorder="1" applyAlignment="1" applyProtection="1">
      <alignment horizontal="center"/>
    </xf>
    <xf numFmtId="0" fontId="7" fillId="20" borderId="15" xfId="0" applyFont="1" applyFill="1" applyBorder="1" applyAlignment="1" applyProtection="1">
      <alignment horizontal="center"/>
    </xf>
    <xf numFmtId="0" fontId="9" fillId="19" borderId="0" xfId="0" applyFont="1" applyFill="1" applyBorder="1" applyAlignment="1">
      <alignment horizontal="center"/>
    </xf>
    <xf numFmtId="0" fontId="9" fillId="19" borderId="0" xfId="0" applyFont="1" applyFill="1" applyBorder="1" applyAlignment="1">
      <alignment horizontal="left"/>
    </xf>
    <xf numFmtId="3" fontId="9" fillId="17" borderId="67" xfId="0" applyNumberFormat="1" applyFont="1" applyFill="1" applyBorder="1" applyAlignment="1">
      <alignment horizontal="right" vertical="center" indent="1"/>
    </xf>
    <xf numFmtId="3" fontId="7" fillId="17" borderId="68" xfId="0" applyNumberFormat="1" applyFont="1" applyFill="1" applyBorder="1" applyAlignment="1">
      <alignment horizontal="right" vertical="center" indent="1"/>
    </xf>
    <xf numFmtId="3" fontId="9" fillId="17" borderId="69" xfId="0" applyNumberFormat="1" applyFont="1" applyFill="1" applyBorder="1" applyAlignment="1" applyProtection="1">
      <alignment horizontal="right" vertical="center" indent="1"/>
    </xf>
    <xf numFmtId="3" fontId="7" fillId="17" borderId="70" xfId="0" applyNumberFormat="1" applyFont="1" applyFill="1" applyBorder="1" applyAlignment="1" applyProtection="1">
      <alignment horizontal="right" vertical="center" indent="1"/>
    </xf>
    <xf numFmtId="3" fontId="9" fillId="22" borderId="0" xfId="0" applyNumberFormat="1" applyFont="1" applyFill="1" applyBorder="1" applyAlignment="1">
      <alignment vertical="center"/>
    </xf>
    <xf numFmtId="3" fontId="9" fillId="30" borderId="67" xfId="0" applyNumberFormat="1" applyFont="1" applyFill="1" applyBorder="1" applyAlignment="1">
      <alignment horizontal="right" vertical="center" indent="1"/>
    </xf>
    <xf numFmtId="3" fontId="9" fillId="30" borderId="68" xfId="0" applyNumberFormat="1" applyFont="1" applyFill="1" applyBorder="1" applyAlignment="1">
      <alignment horizontal="right" vertical="center" indent="1"/>
    </xf>
    <xf numFmtId="0" fontId="7" fillId="19" borderId="0" xfId="0" applyFont="1" applyFill="1" applyBorder="1" applyAlignment="1">
      <alignment wrapText="1"/>
    </xf>
    <xf numFmtId="0" fontId="0" fillId="0" borderId="0" xfId="0" applyAlignment="1">
      <alignment wrapText="1"/>
    </xf>
    <xf numFmtId="3" fontId="10" fillId="19" borderId="0" xfId="0" applyNumberFormat="1" applyFont="1" applyFill="1" applyBorder="1" applyAlignment="1">
      <alignment horizontal="right" vertical="center"/>
    </xf>
    <xf numFmtId="0" fontId="7" fillId="19" borderId="0" xfId="0" applyFont="1" applyFill="1" applyBorder="1" applyAlignment="1">
      <alignment horizontal="left" vertical="top" wrapText="1"/>
    </xf>
    <xf numFmtId="3" fontId="9" fillId="30" borderId="103" xfId="0" applyNumberFormat="1" applyFont="1" applyFill="1" applyBorder="1" applyAlignment="1">
      <alignment horizontal="right" vertical="center" indent="1"/>
    </xf>
    <xf numFmtId="3" fontId="9" fillId="30" borderId="104" xfId="0" applyNumberFormat="1" applyFont="1" applyFill="1" applyBorder="1" applyAlignment="1">
      <alignment horizontal="right" vertical="center" indent="1"/>
    </xf>
    <xf numFmtId="3" fontId="9" fillId="28" borderId="103" xfId="0" applyNumberFormat="1" applyFont="1" applyFill="1" applyBorder="1" applyAlignment="1">
      <alignment horizontal="right" vertical="center" indent="1"/>
    </xf>
    <xf numFmtId="3" fontId="9" fillId="28" borderId="104" xfId="0" applyNumberFormat="1" applyFont="1" applyFill="1" applyBorder="1" applyAlignment="1">
      <alignment horizontal="right" vertical="center" indent="1"/>
    </xf>
    <xf numFmtId="3" fontId="46" fillId="19" borderId="0" xfId="0" applyNumberFormat="1" applyFont="1" applyFill="1" applyBorder="1" applyAlignment="1">
      <alignment horizontal="left" vertical="center"/>
    </xf>
    <xf numFmtId="0" fontId="46" fillId="0" borderId="0" xfId="0" applyFont="1" applyAlignment="1">
      <alignment horizontal="left" vertical="center"/>
    </xf>
    <xf numFmtId="3" fontId="49" fillId="21" borderId="0" xfId="0" applyNumberFormat="1" applyFont="1" applyFill="1" applyBorder="1" applyAlignment="1">
      <alignment horizontal="left"/>
    </xf>
    <xf numFmtId="0" fontId="42" fillId="17" borderId="25" xfId="0" applyFont="1" applyFill="1" applyBorder="1" applyAlignment="1">
      <alignment horizontal="center"/>
    </xf>
    <xf numFmtId="1" fontId="57" fillId="21" borderId="66" xfId="0" applyNumberFormat="1" applyFont="1" applyFill="1" applyBorder="1" applyAlignment="1">
      <alignment horizontal="center"/>
    </xf>
    <xf numFmtId="0" fontId="57" fillId="21" borderId="31" xfId="0" applyFont="1" applyFill="1" applyBorder="1" applyAlignment="1">
      <alignment horizontal="center"/>
    </xf>
    <xf numFmtId="3" fontId="9" fillId="23" borderId="99" xfId="0" applyNumberFormat="1" applyFont="1" applyFill="1" applyBorder="1" applyAlignment="1" applyProtection="1">
      <alignment horizontal="right" vertical="center" indent="1"/>
    </xf>
    <xf numFmtId="3" fontId="9" fillId="23" borderId="100" xfId="0" applyNumberFormat="1" applyFont="1" applyFill="1" applyBorder="1" applyAlignment="1" applyProtection="1">
      <alignment horizontal="right" vertical="center" indent="1"/>
    </xf>
    <xf numFmtId="0" fontId="39" fillId="19" borderId="0" xfId="0" applyFont="1" applyFill="1" applyBorder="1" applyAlignment="1">
      <alignment horizontal="left" wrapText="1"/>
    </xf>
    <xf numFmtId="0" fontId="4" fillId="0" borderId="0" xfId="0" applyFont="1" applyAlignment="1">
      <alignment wrapText="1"/>
    </xf>
    <xf numFmtId="3" fontId="12" fillId="22" borderId="67" xfId="0" applyNumberFormat="1" applyFont="1" applyFill="1" applyBorder="1" applyAlignment="1" applyProtection="1">
      <alignment horizontal="right" vertical="center" indent="1"/>
    </xf>
    <xf numFmtId="3" fontId="13" fillId="22" borderId="68" xfId="0" applyNumberFormat="1" applyFont="1" applyFill="1" applyBorder="1" applyAlignment="1" applyProtection="1">
      <alignment horizontal="right" vertical="center" indent="1"/>
    </xf>
    <xf numFmtId="3" fontId="12" fillId="22" borderId="67" xfId="0" applyNumberFormat="1" applyFont="1" applyFill="1" applyBorder="1" applyAlignment="1">
      <alignment horizontal="right" vertical="center" indent="1"/>
    </xf>
    <xf numFmtId="3" fontId="13" fillId="22" borderId="68" xfId="0" applyNumberFormat="1" applyFont="1" applyFill="1" applyBorder="1" applyAlignment="1">
      <alignment horizontal="right" vertical="center" indent="1"/>
    </xf>
    <xf numFmtId="0" fontId="58" fillId="0" borderId="0" xfId="0" applyFont="1" applyBorder="1" applyAlignment="1">
      <alignment horizontal="left" vertical="center"/>
    </xf>
    <xf numFmtId="3" fontId="12" fillId="23" borderId="51" xfId="0" applyNumberFormat="1" applyFont="1" applyFill="1" applyBorder="1" applyAlignment="1" applyProtection="1">
      <alignment horizontal="right" vertical="center" indent="1"/>
      <protection locked="0"/>
    </xf>
    <xf numFmtId="3" fontId="12" fillId="23" borderId="53" xfId="0" applyNumberFormat="1" applyFont="1" applyFill="1" applyBorder="1" applyAlignment="1" applyProtection="1">
      <alignment horizontal="right" vertical="center" indent="1"/>
      <protection locked="0"/>
    </xf>
    <xf numFmtId="0" fontId="12" fillId="19" borderId="0" xfId="0" applyFont="1" applyFill="1" applyBorder="1" applyAlignment="1">
      <alignment horizontal="center" wrapText="1"/>
    </xf>
    <xf numFmtId="0" fontId="0" fillId="0" borderId="0" xfId="0" applyBorder="1" applyAlignment="1">
      <alignment wrapText="1"/>
    </xf>
    <xf numFmtId="0" fontId="56" fillId="19" borderId="0" xfId="0" applyFont="1" applyFill="1" applyBorder="1" applyAlignment="1">
      <alignment horizontal="center" vertical="center"/>
    </xf>
    <xf numFmtId="0" fontId="56" fillId="19" borderId="0" xfId="0" applyFont="1" applyFill="1" applyBorder="1" applyAlignment="1">
      <alignment horizontal="center" vertical="center" wrapText="1"/>
    </xf>
    <xf numFmtId="3" fontId="12" fillId="17" borderId="67" xfId="0" applyNumberFormat="1" applyFont="1" applyFill="1" applyBorder="1" applyAlignment="1">
      <alignment horizontal="right" vertical="center" indent="1"/>
    </xf>
    <xf numFmtId="3" fontId="13" fillId="17" borderId="68" xfId="0" applyNumberFormat="1" applyFont="1" applyFill="1" applyBorder="1" applyAlignment="1">
      <alignment horizontal="right" vertical="center" indent="1"/>
    </xf>
    <xf numFmtId="3" fontId="12" fillId="23" borderId="67" xfId="0" applyNumberFormat="1" applyFont="1" applyFill="1" applyBorder="1" applyAlignment="1" applyProtection="1">
      <alignment horizontal="right" vertical="center" indent="1"/>
    </xf>
    <xf numFmtId="3" fontId="13" fillId="23" borderId="68" xfId="0" applyNumberFormat="1" applyFont="1" applyFill="1" applyBorder="1" applyAlignment="1" applyProtection="1">
      <alignment horizontal="right" vertical="center" indent="1"/>
    </xf>
    <xf numFmtId="0" fontId="8" fillId="20" borderId="23" xfId="0" applyFont="1" applyFill="1" applyBorder="1" applyAlignment="1">
      <alignment horizontal="center"/>
    </xf>
    <xf numFmtId="0" fontId="0" fillId="0" borderId="0" xfId="0" applyBorder="1" applyAlignment="1">
      <alignment horizontal="center"/>
    </xf>
    <xf numFmtId="0" fontId="0" fillId="0" borderId="15" xfId="0" applyBorder="1" applyAlignment="1">
      <alignment horizontal="center"/>
    </xf>
    <xf numFmtId="0" fontId="3" fillId="0" borderId="0" xfId="0" applyFont="1" applyBorder="1" applyAlignment="1">
      <alignment horizontal="center"/>
    </xf>
    <xf numFmtId="0" fontId="3" fillId="0" borderId="15" xfId="0" applyFont="1" applyBorder="1" applyAlignment="1">
      <alignment horizontal="center"/>
    </xf>
    <xf numFmtId="0" fontId="3" fillId="0" borderId="0" xfId="0" applyFont="1" applyBorder="1" applyAlignment="1">
      <alignment wrapText="1"/>
    </xf>
    <xf numFmtId="3" fontId="12" fillId="17" borderId="68" xfId="0" applyNumberFormat="1" applyFont="1" applyFill="1" applyBorder="1" applyAlignment="1">
      <alignment horizontal="right" vertical="center" indent="1"/>
    </xf>
    <xf numFmtId="0" fontId="7" fillId="20" borderId="23" xfId="0" applyFont="1" applyFill="1" applyBorder="1" applyAlignment="1">
      <alignment horizontal="center"/>
    </xf>
    <xf numFmtId="0" fontId="7" fillId="20" borderId="0" xfId="0" applyFont="1" applyFill="1" applyBorder="1" applyAlignment="1">
      <alignment horizontal="center"/>
    </xf>
    <xf numFmtId="0" fontId="7" fillId="20" borderId="15" xfId="0" applyFont="1" applyFill="1" applyBorder="1" applyAlignment="1">
      <alignment horizontal="center"/>
    </xf>
    <xf numFmtId="0" fontId="4" fillId="19" borderId="16" xfId="0" applyFont="1" applyFill="1" applyBorder="1" applyAlignment="1">
      <alignment horizontal="left"/>
    </xf>
    <xf numFmtId="3" fontId="12" fillId="22" borderId="68" xfId="0" applyNumberFormat="1" applyFont="1" applyFill="1" applyBorder="1" applyAlignment="1">
      <alignment horizontal="right" vertical="center" indent="1"/>
    </xf>
    <xf numFmtId="0" fontId="52" fillId="23" borderId="51" xfId="0" applyFont="1" applyFill="1" applyBorder="1" applyAlignment="1">
      <alignment horizontal="center"/>
    </xf>
    <xf numFmtId="0" fontId="52" fillId="23" borderId="52" xfId="0" applyFont="1" applyFill="1" applyBorder="1" applyAlignment="1">
      <alignment horizontal="center"/>
    </xf>
    <xf numFmtId="0" fontId="52" fillId="23" borderId="53" xfId="0" applyFont="1" applyFill="1" applyBorder="1" applyAlignment="1">
      <alignment horizontal="center"/>
    </xf>
    <xf numFmtId="0" fontId="9" fillId="19" borderId="0" xfId="0" applyFont="1" applyFill="1" applyBorder="1" applyAlignment="1">
      <alignment wrapText="1"/>
    </xf>
    <xf numFmtId="0" fontId="3" fillId="0" borderId="0" xfId="0" applyFont="1" applyAlignment="1">
      <alignment wrapText="1"/>
    </xf>
    <xf numFmtId="3" fontId="12" fillId="25" borderId="0" xfId="0" applyNumberFormat="1" applyFont="1" applyFill="1" applyBorder="1" applyAlignment="1">
      <alignment horizontal="center"/>
    </xf>
    <xf numFmtId="0" fontId="12" fillId="25" borderId="0" xfId="0" applyFont="1" applyFill="1" applyBorder="1" applyAlignment="1">
      <alignment horizontal="center"/>
    </xf>
    <xf numFmtId="3" fontId="12" fillId="25" borderId="0" xfId="0" applyNumberFormat="1" applyFont="1" applyFill="1" applyBorder="1" applyAlignment="1">
      <alignment horizontal="right" vertical="center" indent="1"/>
    </xf>
    <xf numFmtId="3" fontId="9" fillId="23" borderId="51" xfId="0" applyNumberFormat="1" applyFont="1" applyFill="1" applyBorder="1" applyAlignment="1" applyProtection="1">
      <alignment horizontal="right" vertical="center" indent="1"/>
      <protection locked="0"/>
    </xf>
    <xf numFmtId="3" fontId="9" fillId="23" borderId="53" xfId="0" applyNumberFormat="1" applyFont="1" applyFill="1" applyBorder="1" applyAlignment="1" applyProtection="1">
      <alignment horizontal="right" vertical="center" indent="1"/>
      <protection locked="0"/>
    </xf>
    <xf numFmtId="0" fontId="9" fillId="19" borderId="0" xfId="0" applyFont="1" applyFill="1" applyBorder="1" applyAlignment="1">
      <alignment vertical="top" wrapText="1"/>
    </xf>
    <xf numFmtId="0" fontId="4" fillId="0" borderId="0" xfId="0" applyFont="1" applyBorder="1" applyAlignment="1">
      <alignment vertical="top" wrapText="1"/>
    </xf>
    <xf numFmtId="0" fontId="4" fillId="0" borderId="0" xfId="0" applyFont="1" applyAlignment="1">
      <alignment vertical="top" wrapText="1"/>
    </xf>
    <xf numFmtId="0" fontId="3" fillId="0" borderId="0" xfId="0" applyFont="1" applyBorder="1" applyAlignment="1">
      <alignment vertical="top" wrapText="1"/>
    </xf>
    <xf numFmtId="3" fontId="12" fillId="0" borderId="51" xfId="0" applyNumberFormat="1" applyFont="1" applyFill="1" applyBorder="1" applyAlignment="1" applyProtection="1">
      <alignment horizontal="right" vertical="center" indent="1"/>
      <protection locked="0"/>
    </xf>
    <xf numFmtId="3" fontId="12" fillId="0" borderId="53" xfId="0" applyNumberFormat="1" applyFont="1" applyFill="1" applyBorder="1" applyAlignment="1" applyProtection="1">
      <alignment horizontal="right" vertical="center" indent="1"/>
      <protection locked="0"/>
    </xf>
    <xf numFmtId="0" fontId="7" fillId="19" borderId="0" xfId="0" applyFont="1" applyFill="1" applyBorder="1" applyAlignment="1">
      <alignment horizontal="left" wrapText="1"/>
    </xf>
    <xf numFmtId="3" fontId="12" fillId="22" borderId="0" xfId="0" applyNumberFormat="1" applyFont="1" applyFill="1" applyBorder="1" applyAlignment="1">
      <alignment horizontal="right" vertical="center" indent="1"/>
    </xf>
    <xf numFmtId="0" fontId="7" fillId="25" borderId="0" xfId="0" applyFont="1" applyFill="1" applyBorder="1" applyAlignment="1">
      <alignment vertical="top" wrapText="1"/>
    </xf>
    <xf numFmtId="0" fontId="3" fillId="25" borderId="0" xfId="0" applyFont="1" applyFill="1" applyAlignment="1">
      <alignment vertical="top" wrapText="1"/>
    </xf>
    <xf numFmtId="0" fontId="3" fillId="25" borderId="0" xfId="0" applyFont="1" applyFill="1" applyBorder="1" applyAlignment="1">
      <alignment vertical="top" wrapText="1"/>
    </xf>
    <xf numFmtId="0" fontId="7" fillId="25" borderId="0" xfId="0" applyFont="1" applyFill="1" applyBorder="1" applyAlignment="1">
      <alignment horizontal="left" vertical="top" wrapText="1"/>
    </xf>
    <xf numFmtId="0" fontId="0" fillId="25" borderId="0" xfId="0" applyFill="1" applyAlignment="1">
      <alignment horizontal="left" vertical="top" wrapText="1"/>
    </xf>
    <xf numFmtId="0" fontId="9" fillId="19" borderId="16" xfId="0" applyFont="1" applyFill="1" applyBorder="1" applyAlignment="1">
      <alignment horizontal="left" wrapText="1"/>
    </xf>
    <xf numFmtId="0" fontId="9" fillId="19" borderId="0" xfId="0" applyFont="1" applyFill="1" applyBorder="1" applyAlignment="1">
      <alignment horizontal="left" wrapText="1"/>
    </xf>
    <xf numFmtId="0" fontId="13" fillId="19" borderId="0" xfId="0" applyFont="1" applyFill="1" applyBorder="1" applyAlignment="1">
      <alignment horizontal="left" vertical="top" wrapText="1"/>
    </xf>
    <xf numFmtId="0" fontId="7" fillId="25" borderId="0" xfId="0" applyFont="1" applyFill="1" applyBorder="1" applyAlignment="1" applyProtection="1">
      <alignment vertical="top" wrapText="1"/>
    </xf>
    <xf numFmtId="0" fontId="13" fillId="25" borderId="0" xfId="0" applyFont="1" applyFill="1" applyBorder="1" applyAlignment="1" applyProtection="1">
      <alignment vertical="top" wrapText="1"/>
    </xf>
    <xf numFmtId="0" fontId="0" fillId="25" borderId="0" xfId="0" applyFill="1" applyBorder="1" applyAlignment="1" applyProtection="1">
      <alignment vertical="top" wrapText="1"/>
    </xf>
    <xf numFmtId="0" fontId="13" fillId="19" borderId="0" xfId="0" applyFont="1" applyFill="1" applyBorder="1" applyAlignment="1">
      <alignment horizontal="center"/>
    </xf>
    <xf numFmtId="0" fontId="7" fillId="25" borderId="0" xfId="0" applyFont="1" applyFill="1" applyBorder="1" applyAlignment="1" applyProtection="1">
      <alignment horizontal="left" vertical="top" wrapText="1"/>
    </xf>
    <xf numFmtId="0" fontId="13" fillId="25" borderId="0" xfId="0" applyFont="1" applyFill="1" applyBorder="1" applyAlignment="1" applyProtection="1">
      <alignment horizontal="left" vertical="top" wrapText="1"/>
    </xf>
    <xf numFmtId="0" fontId="49" fillId="19" borderId="0" xfId="0" applyFont="1" applyFill="1" applyBorder="1" applyAlignment="1">
      <alignment horizontal="left" vertical="center" wrapText="1"/>
    </xf>
    <xf numFmtId="0" fontId="12" fillId="19" borderId="25" xfId="0" applyFont="1" applyFill="1" applyBorder="1" applyAlignment="1">
      <alignment horizontal="center"/>
    </xf>
    <xf numFmtId="0" fontId="12" fillId="19" borderId="0" xfId="0" applyFont="1" applyFill="1" applyBorder="1" applyAlignment="1">
      <alignment horizontal="left"/>
    </xf>
    <xf numFmtId="14" fontId="9" fillId="17" borderId="51" xfId="0" applyNumberFormat="1" applyFont="1" applyFill="1" applyBorder="1" applyAlignment="1" applyProtection="1">
      <alignment horizontal="right" vertical="center" indent="1"/>
      <protection locked="0"/>
    </xf>
    <xf numFmtId="14" fontId="9" fillId="17" borderId="53" xfId="0" applyNumberFormat="1" applyFont="1" applyFill="1" applyBorder="1" applyAlignment="1" applyProtection="1">
      <alignment horizontal="right" vertical="center" indent="1"/>
      <protection locked="0"/>
    </xf>
    <xf numFmtId="0" fontId="12" fillId="22" borderId="71" xfId="0" applyFont="1" applyFill="1" applyBorder="1" applyAlignment="1">
      <alignment horizontal="center"/>
    </xf>
    <xf numFmtId="0" fontId="51" fillId="23" borderId="0" xfId="0" applyFont="1" applyFill="1" applyBorder="1" applyAlignment="1">
      <alignment horizontal="center" vertical="center"/>
    </xf>
    <xf numFmtId="3" fontId="13" fillId="17" borderId="100" xfId="0" applyNumberFormat="1" applyFont="1" applyFill="1" applyBorder="1" applyAlignment="1" applyProtection="1">
      <alignment horizontal="right" vertical="center" indent="1"/>
    </xf>
    <xf numFmtId="3" fontId="12" fillId="17" borderId="97" xfId="0" applyNumberFormat="1" applyFont="1" applyFill="1" applyBorder="1" applyAlignment="1" applyProtection="1">
      <alignment horizontal="right" vertical="center" indent="1"/>
    </xf>
    <xf numFmtId="3" fontId="12" fillId="17" borderId="98" xfId="0" applyNumberFormat="1" applyFont="1" applyFill="1" applyBorder="1" applyAlignment="1" applyProtection="1">
      <alignment horizontal="right" vertical="center" indent="1"/>
    </xf>
    <xf numFmtId="0" fontId="9" fillId="22" borderId="19" xfId="0" applyFont="1" applyFill="1" applyBorder="1" applyAlignment="1">
      <alignment horizontal="center" vertical="center" wrapText="1"/>
    </xf>
    <xf numFmtId="0" fontId="12" fillId="22" borderId="19" xfId="0" applyFont="1" applyFill="1" applyBorder="1" applyAlignment="1">
      <alignment horizontal="center" vertical="center"/>
    </xf>
    <xf numFmtId="0" fontId="12" fillId="22" borderId="71" xfId="0" applyFont="1" applyFill="1" applyBorder="1" applyAlignment="1">
      <alignment horizontal="center" vertical="center"/>
    </xf>
    <xf numFmtId="3" fontId="12" fillId="17" borderId="0" xfId="0" applyNumberFormat="1" applyFont="1" applyFill="1" applyBorder="1" applyAlignment="1">
      <alignment horizontal="center" vertical="center"/>
    </xf>
    <xf numFmtId="3" fontId="12" fillId="22" borderId="101" xfId="0" applyNumberFormat="1" applyFont="1" applyFill="1" applyBorder="1" applyAlignment="1" applyProtection="1">
      <alignment horizontal="right" vertical="center" indent="1"/>
    </xf>
    <xf numFmtId="3" fontId="12" fillId="22" borderId="102" xfId="0" applyNumberFormat="1" applyFont="1" applyFill="1" applyBorder="1" applyAlignment="1" applyProtection="1">
      <alignment horizontal="right" vertical="center" indent="1"/>
    </xf>
    <xf numFmtId="3" fontId="12" fillId="22" borderId="99" xfId="0" applyNumberFormat="1" applyFont="1" applyFill="1" applyBorder="1" applyAlignment="1" applyProtection="1">
      <alignment horizontal="right" vertical="center" indent="1"/>
    </xf>
    <xf numFmtId="3" fontId="12" fillId="22" borderId="100" xfId="0" applyNumberFormat="1" applyFont="1" applyFill="1" applyBorder="1" applyAlignment="1" applyProtection="1">
      <alignment horizontal="right" vertical="center" indent="1"/>
    </xf>
    <xf numFmtId="0" fontId="9" fillId="19" borderId="0" xfId="0" applyFont="1" applyFill="1" applyBorder="1" applyAlignment="1">
      <alignment horizontal="center" vertical="center" wrapText="1"/>
    </xf>
    <xf numFmtId="0" fontId="0" fillId="0" borderId="0" xfId="0" applyBorder="1" applyAlignment="1">
      <alignment vertical="center" wrapText="1"/>
    </xf>
    <xf numFmtId="3" fontId="12" fillId="19" borderId="0" xfId="0" applyNumberFormat="1" applyFont="1" applyFill="1" applyBorder="1" applyAlignment="1">
      <alignment horizontal="center" vertical="center" wrapText="1"/>
    </xf>
    <xf numFmtId="0" fontId="12" fillId="19" borderId="0" xfId="0" applyFont="1" applyFill="1" applyBorder="1" applyAlignment="1">
      <alignment horizontal="center" vertical="center" wrapText="1"/>
    </xf>
    <xf numFmtId="0" fontId="7" fillId="19" borderId="0" xfId="0" applyFont="1" applyFill="1" applyBorder="1" applyAlignment="1">
      <alignment horizontal="center"/>
    </xf>
    <xf numFmtId="0" fontId="4" fillId="19" borderId="0" xfId="0" applyFont="1" applyFill="1" applyBorder="1" applyAlignment="1">
      <alignment horizontal="left"/>
    </xf>
    <xf numFmtId="0" fontId="9" fillId="19" borderId="0" xfId="0" applyFont="1" applyFill="1" applyBorder="1" applyAlignment="1">
      <alignment horizontal="center" vertical="center"/>
    </xf>
    <xf numFmtId="3" fontId="9" fillId="0" borderId="99" xfId="0" applyNumberFormat="1" applyFont="1" applyFill="1" applyBorder="1" applyAlignment="1">
      <alignment horizontal="right" vertical="center" indent="1"/>
    </xf>
    <xf numFmtId="3" fontId="9" fillId="0" borderId="100" xfId="0" applyNumberFormat="1" applyFont="1" applyFill="1" applyBorder="1" applyAlignment="1">
      <alignment horizontal="right" vertical="center" indent="1"/>
    </xf>
    <xf numFmtId="3" fontId="9" fillId="17" borderId="99" xfId="0" applyNumberFormat="1" applyFont="1" applyFill="1" applyBorder="1" applyAlignment="1" applyProtection="1">
      <alignment horizontal="right" indent="1"/>
    </xf>
    <xf numFmtId="3" fontId="9" fillId="17" borderId="100" xfId="0" applyNumberFormat="1" applyFont="1" applyFill="1" applyBorder="1" applyAlignment="1" applyProtection="1">
      <alignment horizontal="right" indent="1"/>
    </xf>
    <xf numFmtId="3" fontId="12" fillId="17" borderId="67" xfId="0" applyNumberFormat="1" applyFont="1" applyFill="1" applyBorder="1" applyAlignment="1" applyProtection="1">
      <alignment horizontal="right" vertical="center" indent="1"/>
    </xf>
    <xf numFmtId="3" fontId="13" fillId="17" borderId="68" xfId="0" applyNumberFormat="1" applyFont="1" applyFill="1" applyBorder="1" applyAlignment="1" applyProtection="1">
      <alignment horizontal="right" vertical="center" indent="1"/>
    </xf>
    <xf numFmtId="0" fontId="12" fillId="22" borderId="0" xfId="0" applyFont="1" applyFill="1" applyBorder="1" applyAlignment="1">
      <alignment horizontal="center" vertical="center"/>
    </xf>
    <xf numFmtId="3" fontId="9" fillId="22" borderId="99" xfId="0" applyNumberFormat="1" applyFont="1" applyFill="1" applyBorder="1" applyAlignment="1" applyProtection="1">
      <alignment horizontal="right" vertical="justify" indent="1"/>
    </xf>
    <xf numFmtId="3" fontId="4" fillId="0" borderId="100" xfId="0" applyNumberFormat="1" applyFont="1" applyBorder="1" applyAlignment="1" applyProtection="1">
      <alignment horizontal="right" vertical="justify" indent="1"/>
    </xf>
    <xf numFmtId="0" fontId="12" fillId="19" borderId="0" xfId="0" applyFont="1" applyFill="1" applyBorder="1" applyAlignment="1">
      <alignment horizontal="center"/>
    </xf>
    <xf numFmtId="0" fontId="12" fillId="19" borderId="111" xfId="0" applyFont="1" applyFill="1" applyBorder="1" applyAlignment="1">
      <alignment horizontal="center"/>
    </xf>
    <xf numFmtId="0" fontId="12" fillId="22" borderId="0" xfId="0" applyFont="1" applyFill="1" applyBorder="1" applyAlignment="1">
      <alignment horizontal="center"/>
    </xf>
    <xf numFmtId="0" fontId="13" fillId="19" borderId="0" xfId="0" applyFont="1" applyFill="1" applyBorder="1" applyAlignment="1">
      <alignment vertical="top" wrapText="1"/>
    </xf>
    <xf numFmtId="0" fontId="0" fillId="0" borderId="0" xfId="0" applyBorder="1" applyAlignment="1">
      <alignment vertical="top" wrapText="1"/>
    </xf>
    <xf numFmtId="3" fontId="12" fillId="0" borderId="99" xfId="0" applyNumberFormat="1" applyFont="1" applyFill="1" applyBorder="1" applyAlignment="1">
      <alignment horizontal="right" vertical="center" indent="1"/>
    </xf>
    <xf numFmtId="3" fontId="12" fillId="0" borderId="100" xfId="0" applyNumberFormat="1" applyFont="1" applyFill="1" applyBorder="1" applyAlignment="1">
      <alignment horizontal="right" vertical="center" indent="1"/>
    </xf>
    <xf numFmtId="0" fontId="9" fillId="19" borderId="115" xfId="58" applyFont="1" applyFill="1" applyBorder="1" applyAlignment="1" applyProtection="1">
      <alignment horizontal="center" vertical="center" wrapText="1"/>
    </xf>
    <xf numFmtId="0" fontId="7" fillId="0" borderId="0" xfId="0" applyFont="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16" xfId="0" applyBorder="1" applyAlignment="1" applyProtection="1">
      <alignment horizontal="center" vertical="center" wrapText="1"/>
    </xf>
    <xf numFmtId="0" fontId="9" fillId="19" borderId="115" xfId="58" quotePrefix="1" applyFont="1" applyFill="1" applyBorder="1" applyAlignment="1" applyProtection="1">
      <alignment horizontal="center" vertical="center" wrapText="1"/>
    </xf>
    <xf numFmtId="0" fontId="71" fillId="29" borderId="23" xfId="58" applyFont="1" applyFill="1" applyBorder="1" applyAlignment="1" applyProtection="1">
      <alignment horizontal="left"/>
    </xf>
    <xf numFmtId="0" fontId="70" fillId="29" borderId="0" xfId="58" applyFont="1" applyFill="1" applyBorder="1" applyAlignment="1" applyProtection="1">
      <alignment horizontal="left"/>
    </xf>
    <xf numFmtId="0" fontId="70" fillId="29" borderId="15" xfId="58" applyFont="1" applyFill="1" applyBorder="1" applyAlignment="1" applyProtection="1">
      <alignment horizontal="left"/>
    </xf>
    <xf numFmtId="0" fontId="67" fillId="19" borderId="0" xfId="58" applyFont="1" applyFill="1" applyBorder="1" applyAlignment="1" applyProtection="1">
      <alignment horizontal="center" vertical="center" wrapText="1"/>
    </xf>
    <xf numFmtId="0" fontId="0" fillId="0" borderId="0" xfId="58" applyFont="1" applyBorder="1" applyAlignment="1" applyProtection="1">
      <alignment horizontal="center" vertical="center"/>
    </xf>
    <xf numFmtId="0" fontId="50" fillId="19" borderId="0" xfId="58" quotePrefix="1" applyFont="1" applyFill="1" applyBorder="1" applyAlignment="1" applyProtection="1">
      <alignment horizontal="left" wrapText="1"/>
    </xf>
    <xf numFmtId="0" fontId="59" fillId="0" borderId="0" xfId="58" applyFont="1" applyBorder="1" applyAlignment="1" applyProtection="1">
      <alignment horizontal="left" wrapText="1"/>
    </xf>
    <xf numFmtId="0" fontId="59" fillId="0" borderId="116" xfId="58" applyFont="1" applyBorder="1" applyAlignment="1" applyProtection="1">
      <alignment horizontal="left" wrapText="1"/>
    </xf>
    <xf numFmtId="0" fontId="9" fillId="19" borderId="112" xfId="58" quotePrefix="1" applyFont="1" applyFill="1" applyBorder="1" applyAlignment="1" applyProtection="1">
      <alignment horizontal="center" vertical="center"/>
    </xf>
    <xf numFmtId="0" fontId="0" fillId="0" borderId="113" xfId="0" applyBorder="1" applyAlignment="1" applyProtection="1">
      <alignment horizontal="center" vertical="center"/>
    </xf>
    <xf numFmtId="0" fontId="0" fillId="0" borderId="114" xfId="0" applyBorder="1" applyAlignment="1" applyProtection="1">
      <alignment horizontal="center" vertical="center"/>
    </xf>
    <xf numFmtId="0" fontId="14" fillId="19" borderId="0" xfId="58" applyFont="1" applyFill="1" applyBorder="1" applyAlignment="1" applyProtection="1">
      <alignment horizontal="center" vertical="center" wrapText="1"/>
    </xf>
    <xf numFmtId="0" fontId="15" fillId="0" borderId="0" xfId="0" applyFont="1" applyAlignment="1" applyProtection="1">
      <alignment horizontal="center" vertical="center"/>
    </xf>
    <xf numFmtId="0" fontId="33" fillId="19" borderId="112" xfId="58" applyFont="1" applyFill="1" applyBorder="1" applyAlignment="1" applyProtection="1">
      <alignment horizontal="center" vertical="center"/>
    </xf>
    <xf numFmtId="0" fontId="0" fillId="0" borderId="113" xfId="0" applyBorder="1" applyAlignment="1">
      <alignment horizontal="center"/>
    </xf>
    <xf numFmtId="0" fontId="0" fillId="0" borderId="114" xfId="0" applyBorder="1" applyAlignment="1">
      <alignment horizontal="center"/>
    </xf>
    <xf numFmtId="0" fontId="0" fillId="0" borderId="113" xfId="0" applyBorder="1" applyAlignment="1">
      <alignment horizontal="center" vertical="center"/>
    </xf>
    <xf numFmtId="0" fontId="50" fillId="19" borderId="122" xfId="58" applyFont="1" applyFill="1" applyBorder="1" applyAlignment="1" applyProtection="1">
      <alignment horizontal="left" vertical="center" wrapText="1"/>
    </xf>
    <xf numFmtId="0" fontId="3" fillId="0" borderId="115" xfId="0" applyFont="1" applyBorder="1" applyAlignment="1">
      <alignment wrapText="1"/>
    </xf>
    <xf numFmtId="0" fontId="9" fillId="19" borderId="0" xfId="0" applyFont="1" applyFill="1" applyBorder="1" applyAlignment="1">
      <alignment horizontal="left" vertical="top" wrapText="1"/>
    </xf>
    <xf numFmtId="3" fontId="9" fillId="0" borderId="124" xfId="0" applyNumberFormat="1" applyFont="1" applyFill="1" applyBorder="1" applyAlignment="1" applyProtection="1">
      <alignment horizontal="right" vertical="center" indent="1"/>
      <protection locked="0"/>
    </xf>
    <xf numFmtId="3" fontId="9" fillId="0" borderId="125" xfId="0" applyNumberFormat="1" applyFont="1" applyFill="1" applyBorder="1" applyAlignment="1" applyProtection="1">
      <alignment horizontal="right" vertical="center" indent="1"/>
      <protection locked="0"/>
    </xf>
    <xf numFmtId="3" fontId="12" fillId="17" borderId="0" xfId="0" applyNumberFormat="1" applyFont="1" applyFill="1" applyBorder="1" applyAlignment="1">
      <alignment horizontal="right" vertical="center" indent="1"/>
    </xf>
    <xf numFmtId="3" fontId="9" fillId="17" borderId="99" xfId="0" applyNumberFormat="1" applyFont="1" applyFill="1" applyBorder="1" applyAlignment="1" applyProtection="1">
      <alignment horizontal="right" vertical="center" indent="1"/>
      <protection locked="0"/>
    </xf>
    <xf numFmtId="3" fontId="9" fillId="17" borderId="100" xfId="0" applyNumberFormat="1" applyFont="1" applyFill="1" applyBorder="1" applyAlignment="1" applyProtection="1">
      <alignment horizontal="right" vertical="center" indent="1"/>
      <protection locked="0"/>
    </xf>
    <xf numFmtId="9" fontId="9" fillId="23" borderId="103" xfId="46" applyFont="1" applyFill="1" applyBorder="1" applyAlignment="1">
      <alignment horizontal="right" vertical="center" indent="1"/>
    </xf>
    <xf numFmtId="9" fontId="9" fillId="23" borderId="104" xfId="46" applyFont="1" applyFill="1" applyBorder="1" applyAlignment="1">
      <alignment horizontal="right" vertical="center" indent="1"/>
    </xf>
    <xf numFmtId="9" fontId="9" fillId="23" borderId="103" xfId="46" applyFont="1" applyFill="1" applyBorder="1" applyAlignment="1" applyProtection="1">
      <alignment horizontal="right" vertical="center" indent="1"/>
    </xf>
    <xf numFmtId="9" fontId="9" fillId="23" borderId="104" xfId="46" applyFont="1" applyFill="1" applyBorder="1" applyAlignment="1" applyProtection="1">
      <alignment horizontal="right" vertical="center" indent="1"/>
    </xf>
    <xf numFmtId="0" fontId="9" fillId="19" borderId="0" xfId="0" applyFont="1" applyFill="1" applyAlignment="1">
      <alignment horizontal="left" vertical="top" wrapText="1"/>
    </xf>
    <xf numFmtId="0" fontId="7" fillId="19" borderId="0" xfId="0" applyFont="1" applyFill="1" applyAlignment="1">
      <alignment horizontal="left" vertical="top" wrapText="1"/>
    </xf>
    <xf numFmtId="3" fontId="7" fillId="19" borderId="0" xfId="0" applyNumberFormat="1" applyFont="1" applyFill="1" applyAlignment="1">
      <alignment horizontal="center" vertical="center"/>
    </xf>
    <xf numFmtId="3" fontId="9" fillId="19" borderId="0" xfId="0" applyNumberFormat="1" applyFont="1" applyFill="1" applyAlignment="1">
      <alignment horizontal="center" vertical="top" wrapText="1"/>
    </xf>
    <xf numFmtId="3" fontId="9" fillId="25" borderId="0" xfId="0" applyNumberFormat="1" applyFont="1" applyFill="1" applyAlignment="1">
      <alignment horizontal="center" vertical="center"/>
    </xf>
    <xf numFmtId="0" fontId="9" fillId="19" borderId="0" xfId="0" applyFont="1" applyFill="1" applyAlignment="1">
      <alignment horizontal="center" vertical="top" wrapText="1"/>
    </xf>
    <xf numFmtId="0" fontId="0" fillId="0" borderId="0" xfId="0" applyAlignment="1">
      <alignment horizontal="center"/>
    </xf>
    <xf numFmtId="0" fontId="0" fillId="0" borderId="123" xfId="0" applyBorder="1" applyAlignment="1">
      <alignment horizontal="center"/>
    </xf>
    <xf numFmtId="0" fontId="3" fillId="0" borderId="0" xfId="0" applyFont="1" applyAlignment="1">
      <alignment horizontal="center"/>
    </xf>
    <xf numFmtId="0" fontId="3" fillId="0" borderId="123" xfId="0" applyFont="1" applyBorder="1" applyAlignment="1">
      <alignment horizontal="center"/>
    </xf>
    <xf numFmtId="0" fontId="7" fillId="20" borderId="0" xfId="0" applyFont="1" applyFill="1" applyAlignment="1">
      <alignment horizontal="center"/>
    </xf>
    <xf numFmtId="0" fontId="7" fillId="20" borderId="123" xfId="0" applyFont="1" applyFill="1" applyBorder="1" applyAlignment="1">
      <alignment horizontal="center"/>
    </xf>
    <xf numFmtId="0" fontId="4" fillId="19" borderId="0" xfId="0" applyFont="1" applyFill="1" applyAlignment="1">
      <alignment horizontal="left"/>
    </xf>
    <xf numFmtId="3" fontId="9" fillId="17" borderId="51" xfId="0" applyNumberFormat="1" applyFont="1" applyFill="1" applyBorder="1" applyAlignment="1" applyProtection="1">
      <alignment horizontal="right" vertical="center" indent="1"/>
      <protection locked="0"/>
    </xf>
    <xf numFmtId="3" fontId="9" fillId="17" borderId="53" xfId="0" applyNumberFormat="1" applyFont="1" applyFill="1" applyBorder="1" applyAlignment="1" applyProtection="1">
      <alignment horizontal="right" vertical="center" indent="1"/>
      <protection locked="0"/>
    </xf>
    <xf numFmtId="0" fontId="3" fillId="0" borderId="136" xfId="0" applyNumberFormat="1" applyFont="1" applyFill="1" applyBorder="1" applyAlignment="1" applyProtection="1">
      <alignment horizontal="center"/>
    </xf>
    <xf numFmtId="0" fontId="3" fillId="0" borderId="132" xfId="0" applyNumberFormat="1" applyFont="1" applyFill="1" applyBorder="1" applyAlignment="1" applyProtection="1">
      <alignment horizontal="center"/>
    </xf>
    <xf numFmtId="0" fontId="3" fillId="0" borderId="137" xfId="0" applyNumberFormat="1" applyFont="1" applyFill="1" applyBorder="1" applyAlignment="1" applyProtection="1">
      <alignment horizontal="center"/>
    </xf>
    <xf numFmtId="0" fontId="3" fillId="0" borderId="132" xfId="0" applyNumberFormat="1" applyFont="1" applyFill="1" applyBorder="1" applyAlignment="1" applyProtection="1">
      <alignment horizontal="center" vertical="top" wrapText="1"/>
    </xf>
    <xf numFmtId="171" fontId="3" fillId="0" borderId="136" xfId="0" applyNumberFormat="1" applyFont="1" applyFill="1" applyBorder="1" applyAlignment="1" applyProtection="1">
      <alignment horizontal="center"/>
    </xf>
    <xf numFmtId="171" fontId="3" fillId="0" borderId="132" xfId="0" applyNumberFormat="1" applyFont="1" applyFill="1" applyBorder="1" applyAlignment="1" applyProtection="1">
      <alignment horizontal="center"/>
    </xf>
    <xf numFmtId="171" fontId="3" fillId="0" borderId="137" xfId="0" applyNumberFormat="1" applyFont="1" applyFill="1" applyBorder="1" applyAlignment="1" applyProtection="1">
      <alignment horizontal="center"/>
    </xf>
    <xf numFmtId="0" fontId="3" fillId="0" borderId="136" xfId="0" applyNumberFormat="1" applyFont="1" applyFill="1" applyBorder="1" applyAlignment="1" applyProtection="1">
      <alignment horizontal="center" vertical="top" wrapText="1"/>
    </xf>
    <xf numFmtId="0" fontId="3" fillId="0" borderId="137" xfId="0" applyNumberFormat="1" applyFont="1" applyFill="1" applyBorder="1" applyAlignment="1" applyProtection="1">
      <alignment horizontal="center" vertical="top" wrapText="1"/>
    </xf>
    <xf numFmtId="0" fontId="3" fillId="0" borderId="0" xfId="0" applyNumberFormat="1" applyFont="1" applyFill="1" applyBorder="1" applyAlignment="1" applyProtection="1">
      <alignment horizontal="center" vertical="top" wrapText="1"/>
    </xf>
    <xf numFmtId="0" fontId="3" fillId="0" borderId="143" xfId="0" applyNumberFormat="1" applyFont="1" applyFill="1" applyBorder="1" applyAlignment="1" applyProtection="1">
      <alignment horizontal="center" vertical="top" wrapText="1"/>
    </xf>
  </cellXfs>
  <cellStyles count="102">
    <cellStyle name="%" xfId="58"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ellBACode" xfId="74" xr:uid="{5BF1656A-E76F-404A-84AD-C01BA0B15401}"/>
    <cellStyle name="CellBACode 2" xfId="92" xr:uid="{429630FB-78C6-4907-A78F-7F08554FB37C}"/>
    <cellStyle name="CellBAName" xfId="75" xr:uid="{D125B45E-B206-47C0-9669-D8C6850E8A3C}"/>
    <cellStyle name="CellBAName 2" xfId="93" xr:uid="{74EDC7BE-DBDD-41BD-A926-9E097595E67C}"/>
    <cellStyle name="CellBAValue" xfId="27" xr:uid="{00000000-0005-0000-0000-00001B000000}"/>
    <cellStyle name="CellBAValue 2" xfId="28" xr:uid="{00000000-0005-0000-0000-00001C000000}"/>
    <cellStyle name="CellMCCode" xfId="76" xr:uid="{9E798746-A2A1-4373-B0FA-090601FF5CEF}"/>
    <cellStyle name="CellMCCode 2" xfId="94" xr:uid="{02DE0BE4-460C-4ADF-A34E-B7E3F1DDC07E}"/>
    <cellStyle name="CellMCName" xfId="77" xr:uid="{03B0A12C-128D-4972-BF33-024F18BCA6E4}"/>
    <cellStyle name="CellMCName 2" xfId="95" xr:uid="{2EAB1CC4-C5AF-43C0-9380-2D8B99236A8F}"/>
    <cellStyle name="CellNationCode" xfId="78" xr:uid="{182850AB-925A-4D44-90B2-F5FFE0E674AC}"/>
    <cellStyle name="CellNationName" xfId="79" xr:uid="{E5A3C43E-8119-42BC-9C27-96F57323C155}"/>
    <cellStyle name="CellNationValue" xfId="29" xr:uid="{00000000-0005-0000-0000-00001D000000}"/>
    <cellStyle name="CellRegionCode" xfId="80" xr:uid="{54921792-C976-4F7C-AECA-4C1199354C37}"/>
    <cellStyle name="CellRegionName" xfId="81" xr:uid="{DBB718B2-BA72-4DB5-BE2A-A8FDE3730076}"/>
    <cellStyle name="CellUACode" xfId="82" xr:uid="{E4406A4D-B9C8-47A1-B621-E1E3CD7C42BC}"/>
    <cellStyle name="CellUACode 2" xfId="96" xr:uid="{73AD437B-00F9-4907-8770-FF913E48203C}"/>
    <cellStyle name="CellUAName" xfId="83" xr:uid="{5EED78DB-DFEF-4169-B915-420FCACA10DB}"/>
    <cellStyle name="CellUAName 2" xfId="97" xr:uid="{F3619EDC-4E4D-4D02-A66F-58C56C486C9B}"/>
    <cellStyle name="CellUAValue" xfId="30" xr:uid="{00000000-0005-0000-0000-00001E000000}"/>
    <cellStyle name="CellUAValue 2" xfId="31" xr:uid="{00000000-0005-0000-0000-00001F000000}"/>
    <cellStyle name="Check Cell" xfId="32" builtinId="23" customBuiltin="1"/>
    <cellStyle name="Comma" xfId="33" builtinId="3"/>
    <cellStyle name="Comma 2" xfId="50" xr:uid="{00000000-0005-0000-0000-000022000000}"/>
    <cellStyle name="Comma 2 2" xfId="51" xr:uid="{00000000-0005-0000-0000-000023000000}"/>
    <cellStyle name="Comma 2 2 2" xfId="70" xr:uid="{45398699-4064-41DF-9C60-A96636DA7B2B}"/>
    <cellStyle name="Comma 2 3" xfId="69" xr:uid="{D5580FA8-40A1-49F3-9322-1B228C63C409}"/>
    <cellStyle name="Comma 3" xfId="59" xr:uid="{00000000-0005-0000-0000-000024000000}"/>
    <cellStyle name="Comma 3 2" xfId="73" xr:uid="{965F0132-591E-45D8-A840-6DF2D89C85E0}"/>
    <cellStyle name="Comma 4" xfId="67" xr:uid="{11006F35-77F8-433A-9C6E-4B5FF3F6EB44}"/>
    <cellStyle name="Currency 2" xfId="68" xr:uid="{066B58A8-0684-401B-AFE9-3689757BE9EC}"/>
    <cellStyle name="Data_Total" xfId="84" xr:uid="{3008A6E7-36CC-4219-9969-884F4B8991E1}"/>
    <cellStyle name="Explanatory Text" xfId="34" builtinId="53" customBuiltin="1"/>
    <cellStyle name="Good" xfId="35" builtinId="26" customBuiltin="1"/>
    <cellStyle name="Heading 1" xfId="36" builtinId="16" customBuiltin="1"/>
    <cellStyle name="Heading 2" xfId="37" builtinId="17" customBuiltin="1"/>
    <cellStyle name="Heading 3" xfId="38" builtinId="18" customBuiltin="1"/>
    <cellStyle name="Heading 4" xfId="39" builtinId="19" customBuiltin="1"/>
    <cellStyle name="Headings" xfId="85" xr:uid="{2D5F92CB-DBC1-4D3B-9630-3947235E29F8}"/>
    <cellStyle name="Headings 2" xfId="98" xr:uid="{645A7508-944D-4F08-8A8A-4974CC11A1E5}"/>
    <cellStyle name="Hyperlink 2" xfId="52" xr:uid="{00000000-0005-0000-0000-00002D000000}"/>
    <cellStyle name="Hyperlink 2 2" xfId="62" xr:uid="{00000000-0005-0000-0000-00002E000000}"/>
    <cellStyle name="Hyperlink 3" xfId="63" xr:uid="{00000000-0005-0000-0000-00002F000000}"/>
    <cellStyle name="Hyperlink 4" xfId="64" xr:uid="{00000000-0005-0000-0000-000030000000}"/>
    <cellStyle name="Input" xfId="40" builtinId="20" customBuiltin="1"/>
    <cellStyle name="Linked Cell" xfId="41" builtinId="24" customBuiltin="1"/>
    <cellStyle name="Neutral" xfId="42" builtinId="28" customBuiltin="1"/>
    <cellStyle name="Neutral 2" xfId="54" xr:uid="{00000000-0005-0000-0000-000035000000}"/>
    <cellStyle name="Normal" xfId="0" builtinId="0"/>
    <cellStyle name="Normal 2" xfId="43" xr:uid="{00000000-0005-0000-0000-000037000000}"/>
    <cellStyle name="Normal 2 2" xfId="65" xr:uid="{00000000-0005-0000-0000-000038000000}"/>
    <cellStyle name="Normal 3" xfId="55" xr:uid="{00000000-0005-0000-0000-000039000000}"/>
    <cellStyle name="Normal 3 2" xfId="61" xr:uid="{00000000-0005-0000-0000-00003A000000}"/>
    <cellStyle name="Normal 3 3" xfId="91" xr:uid="{36ABAF77-12F2-47F3-9D05-AD5A5DF6DF8D}"/>
    <cellStyle name="Normal 4" xfId="57" xr:uid="{00000000-0005-0000-0000-00003B000000}"/>
    <cellStyle name="Normal 4 2" xfId="72" xr:uid="{3657152A-03C0-490E-A8B1-3EF6DFB76F37}"/>
    <cellStyle name="Normal 5" xfId="53" xr:uid="{00000000-0005-0000-0000-00003C000000}"/>
    <cellStyle name="Normal 5 2" xfId="60" xr:uid="{00000000-0005-0000-0000-00003D000000}"/>
    <cellStyle name="Normal 5 3" xfId="71" xr:uid="{C57D2D4D-6189-4F9B-A269-6CE695FB0388}"/>
    <cellStyle name="Normal 6" xfId="66" xr:uid="{00000000-0005-0000-0000-00003E000000}"/>
    <cellStyle name="Normal_10-11 Data (2009)" xfId="101" xr:uid="{4CCD7516-73B1-41F7-98AC-1E276F74F4DB}"/>
    <cellStyle name="Normal_CTB Data down load" xfId="100" xr:uid="{7707414D-52A8-4BBA-B243-C6E9118200DB}"/>
    <cellStyle name="Note" xfId="44" builtinId="10" customBuiltin="1"/>
    <cellStyle name="Output" xfId="45" builtinId="21" customBuiltin="1"/>
    <cellStyle name="Percent" xfId="46" builtinId="5"/>
    <cellStyle name="Percent 2" xfId="56" xr:uid="{00000000-0005-0000-0000-000043000000}"/>
    <cellStyle name="Row_CategoryHeadings" xfId="86" xr:uid="{9FDC4338-6D5D-4E1F-BB3C-202796DC3274}"/>
    <cellStyle name="Source" xfId="87" xr:uid="{613CC219-AB3C-4F69-A05E-574FB82F3960}"/>
    <cellStyle name="Style4" xfId="88" xr:uid="{16E8C9D7-FF2A-4C81-AE42-031D13154A72}"/>
    <cellStyle name="Table_Name" xfId="89" xr:uid="{D78D7423-AF5B-4ABF-8FFC-B61BEF2090DF}"/>
    <cellStyle name="Title" xfId="47" builtinId="15" customBuiltin="1"/>
    <cellStyle name="Total" xfId="48" builtinId="25" customBuiltin="1"/>
    <cellStyle name="Warning Text" xfId="49" builtinId="11" customBuiltin="1"/>
    <cellStyle name="Warnings" xfId="90" xr:uid="{8261C79C-AD78-4171-B452-80AB06A984D0}"/>
    <cellStyle name="Warnings 2" xfId="99" xr:uid="{3AA3741E-50C1-4D72-A1B2-71DE5A5FCAAE}"/>
  </cellStyles>
  <dxfs count="10">
    <dxf>
      <fill>
        <patternFill>
          <bgColor rgb="FFFF0000"/>
        </patternFill>
      </fill>
    </dxf>
    <dxf>
      <fill>
        <patternFill>
          <bgColor rgb="FFFF0000"/>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rgb="FFFF0000"/>
        </patternFill>
      </fill>
    </dxf>
    <dxf>
      <fill>
        <patternFill>
          <bgColor theme="0" tint="-0.14996795556505021"/>
        </patternFill>
      </fill>
    </dxf>
    <dxf>
      <font>
        <color theme="6" tint="0.39994506668294322"/>
      </font>
      <fill>
        <patternFill>
          <bgColor theme="6" tint="0.39994506668294322"/>
        </patternFill>
      </fill>
      <border>
        <left/>
        <right/>
        <top/>
        <bottom/>
        <vertical/>
        <horizontal/>
      </border>
    </dxf>
  </dxfs>
  <tableStyles count="0" defaultTableStyle="TableStyleMedium9" defaultPivotStyle="PivotStyleLight16"/>
  <colors>
    <mruColors>
      <color rgb="FFFFFFCC"/>
      <color rgb="FFFFFF99"/>
      <color rgb="FFCCFFCC"/>
      <color rgb="FFCCFFFF"/>
      <color rgb="FF008000"/>
      <color rgb="FF0000FF"/>
      <color rgb="FF99CCFF"/>
      <color rgb="FFC4D79B"/>
      <color rgb="FFCCCCFF"/>
      <color rgb="FFDD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List" dx="16" fmlaLink="F1" fmlaRange="DataSheet1!$E$8:$E$317" noThreeD="1" sel="310" val="303"/>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49691</xdr:colOff>
      <xdr:row>6</xdr:row>
      <xdr:rowOff>159723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333375" y="333375"/>
          <a:ext cx="1859441" cy="969348"/>
        </a:xfrm>
        <a:prstGeom prst="rect">
          <a:avLst/>
        </a:prstGeom>
      </xdr:spPr>
    </xdr:pic>
    <xdr:clientData/>
  </xdr:twoCellAnchor>
  <xdr:twoCellAnchor editAs="oneCell">
    <xdr:from>
      <xdr:col>2</xdr:col>
      <xdr:colOff>0</xdr:colOff>
      <xdr:row>1</xdr:row>
      <xdr:rowOff>0</xdr:rowOff>
    </xdr:from>
    <xdr:to>
      <xdr:col>4</xdr:col>
      <xdr:colOff>49691</xdr:colOff>
      <xdr:row>6</xdr:row>
      <xdr:rowOff>159723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33375" y="333375"/>
          <a:ext cx="1859441" cy="9693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561975</xdr:colOff>
          <xdr:row>6</xdr:row>
          <xdr:rowOff>85725</xdr:rowOff>
        </xdr:from>
        <xdr:to>
          <xdr:col>14</xdr:col>
          <xdr:colOff>590550</xdr:colOff>
          <xdr:row>11</xdr:row>
          <xdr:rowOff>38100</xdr:rowOff>
        </xdr:to>
        <xdr:sp macro="" textlink="">
          <xdr:nvSpPr>
            <xdr:cNvPr id="2053" name="List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8</xdr:col>
      <xdr:colOff>3990975</xdr:colOff>
      <xdr:row>1</xdr:row>
      <xdr:rowOff>0</xdr:rowOff>
    </xdr:from>
    <xdr:to>
      <xdr:col>9</xdr:col>
      <xdr:colOff>0</xdr:colOff>
      <xdr:row>1</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5486400" y="1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3990975</xdr:colOff>
      <xdr:row>1</xdr:row>
      <xdr:rowOff>0</xdr:rowOff>
    </xdr:from>
    <xdr:to>
      <xdr:col>19</xdr:col>
      <xdr:colOff>0</xdr:colOff>
      <xdr:row>1</xdr:row>
      <xdr:rowOff>0</xdr:rowOff>
    </xdr:to>
    <xdr:sp macro="" textlink="">
      <xdr:nvSpPr>
        <xdr:cNvPr id="3" name="Line 1">
          <a:extLst>
            <a:ext uri="{FF2B5EF4-FFF2-40B4-BE49-F238E27FC236}">
              <a16:creationId xmlns:a16="http://schemas.microsoft.com/office/drawing/2014/main" id="{00000000-0008-0000-0400-000003000000}"/>
            </a:ext>
          </a:extLst>
        </xdr:cNvPr>
        <xdr:cNvSpPr>
          <a:spLocks noChangeShapeType="1"/>
        </xdr:cNvSpPr>
      </xdr:nvSpPr>
      <xdr:spPr bwMode="auto">
        <a:xfrm>
          <a:off x="10363200" y="1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3990975</xdr:colOff>
      <xdr:row>1</xdr:row>
      <xdr:rowOff>0</xdr:rowOff>
    </xdr:from>
    <xdr:to>
      <xdr:col>27</xdr:col>
      <xdr:colOff>0</xdr:colOff>
      <xdr:row>1</xdr:row>
      <xdr:rowOff>0</xdr:rowOff>
    </xdr:to>
    <xdr:sp macro="" textlink="">
      <xdr:nvSpPr>
        <xdr:cNvPr id="4" name="Line 1">
          <a:extLst>
            <a:ext uri="{FF2B5EF4-FFF2-40B4-BE49-F238E27FC236}">
              <a16:creationId xmlns:a16="http://schemas.microsoft.com/office/drawing/2014/main" id="{00000000-0008-0000-0400-000004000000}"/>
            </a:ext>
          </a:extLst>
        </xdr:cNvPr>
        <xdr:cNvSpPr>
          <a:spLocks noChangeShapeType="1"/>
        </xdr:cNvSpPr>
      </xdr:nvSpPr>
      <xdr:spPr bwMode="auto">
        <a:xfrm>
          <a:off x="15240000" y="1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GF3Data/Access/NNDR3/Forms_Uploaded/Allerdale%20NNDR3%2020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LGF3Data\BR\BR1\2011-12\To%20LAs\BR1%20Form%202011-12%20v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 val="Drop Downs and Lookups"/>
      <sheetName val="NNDR1_Form"/>
      <sheetName val="Supplementary_Information"/>
      <sheetName val="Supplementary_Validation"/>
      <sheetName val="NNDR1_Form1"/>
      <sheetName val="Supplementary_Information1"/>
      <sheetName val="Supplementary_Validation1"/>
      <sheetName val="Drop_Downs_and_Lookups"/>
      <sheetName val="NNDR1_Form2"/>
      <sheetName val="Supplementary_Information2"/>
      <sheetName val="Supplementary_Validation2"/>
      <sheetName val="Drop_Downs_and_Lookups1"/>
      <sheetName val="NNDR1_Form3"/>
      <sheetName val="Supplementary_Information3"/>
      <sheetName val="Supplementary_Validation3"/>
      <sheetName val="Drop_Downs_and_Lookups2"/>
      <sheetName val="NNDR1_Form4"/>
      <sheetName val="Supplementary_Information4"/>
      <sheetName val="Supplementary_Validation4"/>
      <sheetName val="Drop_Downs_and_Lookups3"/>
      <sheetName val="NNDR1_Form5"/>
      <sheetName val="Supplementary_Information5"/>
      <sheetName val="Supplementary_Validation5"/>
      <sheetName val="Drop_Downs_and_Lookups4"/>
      <sheetName val="NNDR1_Form6"/>
      <sheetName val="Supplementary_Information6"/>
      <sheetName val="Supplementary_Validation6"/>
      <sheetName val="Drop_Downs_and_Lookups5"/>
      <sheetName val="NNDR1_Form7"/>
      <sheetName val="Supplementary_Information7"/>
      <sheetName val="Supplementary_Validation7"/>
      <sheetName val="Drop_Downs_and_Lookups6"/>
      <sheetName val="NNDR1_Form8"/>
      <sheetName val="Supplementary_Information8"/>
      <sheetName val="Supplementary_Validation8"/>
      <sheetName val="Drop_Downs_and_Lookups7"/>
      <sheetName val="NNDR1_Form9"/>
      <sheetName val="Supplementary_Information9"/>
      <sheetName val="Supplementary_Validation9"/>
      <sheetName val="Drop_Downs_and_Lookups8"/>
      <sheetName val="NNDR1_Form10"/>
      <sheetName val="Supplementary_Information10"/>
      <sheetName val="Supplementary_Validation10"/>
      <sheetName val="Drop_Downs_and_Lookups9"/>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 val="Section_A"/>
      <sheetName val="Memorandum,_Sects_B_&amp;_C"/>
      <sheetName val="Section_D"/>
      <sheetName val="Section_E"/>
      <sheetName val="PWLB_CR"/>
      <sheetName val="Section_A1"/>
      <sheetName val="Memorandum,_Sects_B_&amp;_C1"/>
      <sheetName val="Section_D1"/>
      <sheetName val="Section_E1"/>
      <sheetName val="PWLB_CR1"/>
      <sheetName val="Section_A2"/>
      <sheetName val="Memorandum,_Sects_B_&amp;_C2"/>
      <sheetName val="Section_D2"/>
      <sheetName val="Section_E2"/>
      <sheetName val="PWLB_CR2"/>
      <sheetName val="Section_A3"/>
      <sheetName val="Memorandum,_Sects_B_&amp;_C3"/>
      <sheetName val="Section_D3"/>
      <sheetName val="Section_E3"/>
      <sheetName val="PWLB_CR3"/>
      <sheetName val="Section_A4"/>
      <sheetName val="Memorandum,_Sects_B_&amp;_C4"/>
      <sheetName val="Section_D4"/>
      <sheetName val="Section_E4"/>
      <sheetName val="PWLB_CR4"/>
      <sheetName val="Section_A5"/>
      <sheetName val="Memorandum,_Sects_B_&amp;_C5"/>
      <sheetName val="Section_D5"/>
      <sheetName val="Section_E5"/>
      <sheetName val="PWLB_CR5"/>
      <sheetName val="Section_A6"/>
      <sheetName val="Memorandum,_Sects_B_&amp;_C6"/>
      <sheetName val="Section_D6"/>
      <sheetName val="Section_E6"/>
      <sheetName val="PWLB_CR6"/>
      <sheetName val="Section_A7"/>
      <sheetName val="Memorandum,_Sects_B_&amp;_C7"/>
      <sheetName val="Section_D7"/>
      <sheetName val="Section_E7"/>
      <sheetName val="PWLB_CR7"/>
      <sheetName val="Section_A8"/>
      <sheetName val="Memorandum,_Sects_B_&amp;_C8"/>
      <sheetName val="Section_D8"/>
      <sheetName val="Section_E8"/>
      <sheetName val="PWLB_CR8"/>
      <sheetName val="Section_A9"/>
      <sheetName val="Memorandum,_Sects_B_&amp;_C9"/>
      <sheetName val="Section_D9"/>
      <sheetName val="Section_E9"/>
      <sheetName val="PWLB_CR9"/>
      <sheetName val="Section_A10"/>
      <sheetName val="Memorandum,_Sects_B_&amp;_C10"/>
      <sheetName val="Section_D10"/>
      <sheetName val="Section_E10"/>
      <sheetName val="PWLB_CR10"/>
    </sheetNames>
    <sheetDataSet>
      <sheetData sheetId="0" refreshError="1"/>
      <sheetData sheetId="1"/>
      <sheetData sheetId="2"/>
      <sheetData sheetId="3"/>
      <sheetData sheetId="4"/>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rt 1"/>
      <sheetName val="Part 2"/>
      <sheetName val="Part 2 DA Summary"/>
      <sheetName val="Part 3"/>
      <sheetName val="Part 4"/>
      <sheetName val="Part 5"/>
      <sheetName val="Main Validation"/>
      <sheetName val="NNDR3_P1"/>
      <sheetName val="NNDR3_P2"/>
      <sheetName val="Access_DASummary"/>
      <sheetName val="NNDR3_P3"/>
      <sheetName val="NNDR3_P4"/>
      <sheetName val="NNDR3_P5"/>
      <sheetName val="Data"/>
      <sheetName val="EZ list"/>
      <sheetName val="LA list"/>
      <sheetName val="LA_info"/>
      <sheetName val="TierSplit"/>
      <sheetName val="SSB &amp; Pubs Relief &amp; Amounts"/>
      <sheetName val="Discretionary Scheme Allocation"/>
      <sheetName val="SBRR threshold amounts"/>
      <sheetName val="Access_NNDR3_allparts"/>
      <sheetName val="Access_Val"/>
      <sheetName val="CHECK_P1"/>
      <sheetName val="CHECK_P2"/>
      <sheetName val="CHECK_P3"/>
      <sheetName val="CHECK_P4"/>
      <sheetName val="CHECK_P5"/>
    </sheetNames>
    <sheetDataSet>
      <sheetData sheetId="0" refreshError="1"/>
      <sheetData sheetId="1">
        <row r="20">
          <cell r="L20" t="str">
            <v>Allerdale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A8">
            <v>1</v>
          </cell>
          <cell r="B8" t="str">
            <v>Adur</v>
          </cell>
          <cell r="C8" t="str">
            <v>E3831</v>
          </cell>
          <cell r="D8">
            <v>85393</v>
          </cell>
          <cell r="H8">
            <v>-1268400</v>
          </cell>
          <cell r="I8">
            <v>0</v>
          </cell>
          <cell r="J8">
            <v>85393</v>
          </cell>
          <cell r="K8">
            <v>0</v>
          </cell>
          <cell r="L8">
            <v>0</v>
          </cell>
          <cell r="M8">
            <v>0</v>
          </cell>
          <cell r="N8">
            <v>0</v>
          </cell>
          <cell r="O8">
            <v>0</v>
          </cell>
          <cell r="P8">
            <v>0</v>
          </cell>
          <cell r="Q8">
            <v>0</v>
          </cell>
          <cell r="R8">
            <v>365549</v>
          </cell>
          <cell r="S8">
            <v>91387</v>
          </cell>
          <cell r="T8">
            <v>0</v>
          </cell>
          <cell r="U8">
            <v>0</v>
          </cell>
          <cell r="V8">
            <v>0</v>
          </cell>
          <cell r="W8">
            <v>0</v>
          </cell>
          <cell r="X8">
            <v>2543</v>
          </cell>
          <cell r="Y8">
            <v>636</v>
          </cell>
          <cell r="Z8">
            <v>0</v>
          </cell>
          <cell r="AA8">
            <v>0</v>
          </cell>
          <cell r="AB8">
            <v>0</v>
          </cell>
          <cell r="AC8">
            <v>0</v>
          </cell>
          <cell r="AD8">
            <v>0</v>
          </cell>
          <cell r="AE8">
            <v>0</v>
          </cell>
          <cell r="AF8">
            <v>0</v>
          </cell>
          <cell r="AG8">
            <v>0</v>
          </cell>
          <cell r="AH8">
            <v>0</v>
          </cell>
          <cell r="AI8">
            <v>0</v>
          </cell>
          <cell r="AM8">
            <v>0</v>
          </cell>
          <cell r="AN8">
            <v>0</v>
          </cell>
          <cell r="AO8">
            <v>0</v>
          </cell>
          <cell r="AP8">
            <v>105529</v>
          </cell>
          <cell r="AQ8">
            <v>26382</v>
          </cell>
          <cell r="AR8">
            <v>0</v>
          </cell>
          <cell r="AS8">
            <v>-176408</v>
          </cell>
          <cell r="AT8">
            <v>-141127</v>
          </cell>
          <cell r="AU8">
            <v>-35281</v>
          </cell>
          <cell r="AV8">
            <v>0</v>
          </cell>
          <cell r="AW8">
            <v>-352816</v>
          </cell>
          <cell r="AX8">
            <v>-892129</v>
          </cell>
          <cell r="AY8">
            <v>-713703</v>
          </cell>
          <cell r="AZ8">
            <v>-178426</v>
          </cell>
          <cell r="BA8">
            <v>0</v>
          </cell>
          <cell r="BB8">
            <v>-1784258</v>
          </cell>
          <cell r="BC8">
            <v>17432514</v>
          </cell>
          <cell r="BD8">
            <v>-1379147</v>
          </cell>
          <cell r="BE8">
            <v>486350</v>
          </cell>
          <cell r="BF8">
            <v>0</v>
          </cell>
          <cell r="BG8">
            <v>-1568209</v>
          </cell>
          <cell r="BH8">
            <v>-81560</v>
          </cell>
          <cell r="BI8">
            <v>0</v>
          </cell>
          <cell r="BJ8">
            <v>0</v>
          </cell>
          <cell r="BK8">
            <v>-183416</v>
          </cell>
          <cell r="BL8">
            <v>-13981</v>
          </cell>
          <cell r="BM8">
            <v>-19290</v>
          </cell>
          <cell r="BN8">
            <v>-2665</v>
          </cell>
          <cell r="BO8">
            <v>0</v>
          </cell>
          <cell r="BP8">
            <v>0</v>
          </cell>
          <cell r="BQ8">
            <v>0</v>
          </cell>
          <cell r="BR8">
            <v>0</v>
          </cell>
          <cell r="BS8">
            <v>0</v>
          </cell>
          <cell r="BT8">
            <v>18673625</v>
          </cell>
          <cell r="BU8">
            <v>-145119</v>
          </cell>
          <cell r="BV8">
            <v>427907</v>
          </cell>
          <cell r="BW8">
            <v>-1140850</v>
          </cell>
          <cell r="BX8">
            <v>-608267</v>
          </cell>
          <cell r="BY8">
            <v>434945</v>
          </cell>
          <cell r="BZ8">
            <v>17562967</v>
          </cell>
          <cell r="CA8">
            <v>-304134</v>
          </cell>
          <cell r="CB8">
            <v>-243306</v>
          </cell>
          <cell r="CC8">
            <v>-60827</v>
          </cell>
          <cell r="CD8">
            <v>0</v>
          </cell>
          <cell r="CE8">
            <v>217472</v>
          </cell>
          <cell r="CF8">
            <v>173978</v>
          </cell>
          <cell r="CG8">
            <v>43495</v>
          </cell>
          <cell r="CH8">
            <v>0</v>
          </cell>
        </row>
        <row r="9">
          <cell r="A9">
            <v>2</v>
          </cell>
          <cell r="B9" t="str">
            <v>Allerdale</v>
          </cell>
          <cell r="C9" t="str">
            <v>E0931</v>
          </cell>
          <cell r="D9">
            <v>183183</v>
          </cell>
          <cell r="H9">
            <v>689237</v>
          </cell>
          <cell r="I9">
            <v>0</v>
          </cell>
          <cell r="J9">
            <v>183183</v>
          </cell>
          <cell r="K9">
            <v>0</v>
          </cell>
          <cell r="L9">
            <v>408587</v>
          </cell>
          <cell r="M9">
            <v>0</v>
          </cell>
          <cell r="N9">
            <v>0</v>
          </cell>
          <cell r="O9">
            <v>0</v>
          </cell>
          <cell r="P9">
            <v>0</v>
          </cell>
          <cell r="Q9">
            <v>0</v>
          </cell>
          <cell r="R9">
            <v>855482</v>
          </cell>
          <cell r="S9">
            <v>213870</v>
          </cell>
          <cell r="T9">
            <v>0</v>
          </cell>
          <cell r="U9">
            <v>6042</v>
          </cell>
          <cell r="V9">
            <v>1511</v>
          </cell>
          <cell r="W9">
            <v>0</v>
          </cell>
          <cell r="X9">
            <v>0</v>
          </cell>
          <cell r="Y9">
            <v>0</v>
          </cell>
          <cell r="Z9">
            <v>0</v>
          </cell>
          <cell r="AA9">
            <v>0</v>
          </cell>
          <cell r="AB9">
            <v>0</v>
          </cell>
          <cell r="AC9">
            <v>0</v>
          </cell>
          <cell r="AD9">
            <v>0</v>
          </cell>
          <cell r="AE9">
            <v>0</v>
          </cell>
          <cell r="AF9">
            <v>0</v>
          </cell>
          <cell r="AG9">
            <v>0</v>
          </cell>
          <cell r="AH9">
            <v>0</v>
          </cell>
          <cell r="AI9">
            <v>0</v>
          </cell>
          <cell r="AM9">
            <v>0</v>
          </cell>
          <cell r="AN9">
            <v>0</v>
          </cell>
          <cell r="AO9">
            <v>0</v>
          </cell>
          <cell r="AP9">
            <v>177187</v>
          </cell>
          <cell r="AQ9">
            <v>42762</v>
          </cell>
          <cell r="AR9">
            <v>0</v>
          </cell>
          <cell r="AS9">
            <v>-183516</v>
          </cell>
          <cell r="AT9">
            <v>-146811</v>
          </cell>
          <cell r="AU9">
            <v>-36704</v>
          </cell>
          <cell r="AV9">
            <v>0</v>
          </cell>
          <cell r="AW9">
            <v>-367031</v>
          </cell>
          <cell r="AX9">
            <v>-583383</v>
          </cell>
          <cell r="AY9">
            <v>-466705</v>
          </cell>
          <cell r="AZ9">
            <v>-116677</v>
          </cell>
          <cell r="BA9">
            <v>0</v>
          </cell>
          <cell r="BB9">
            <v>-1166765</v>
          </cell>
          <cell r="BC9">
            <v>27109386</v>
          </cell>
          <cell r="BD9">
            <v>-3548482</v>
          </cell>
          <cell r="BE9">
            <v>694607</v>
          </cell>
          <cell r="BF9">
            <v>0</v>
          </cell>
          <cell r="BG9">
            <v>-2071588</v>
          </cell>
          <cell r="BH9">
            <v>-62642</v>
          </cell>
          <cell r="BI9">
            <v>-38633</v>
          </cell>
          <cell r="BJ9">
            <v>-9887</v>
          </cell>
          <cell r="BK9">
            <v>-674041</v>
          </cell>
          <cell r="BL9">
            <v>-156162</v>
          </cell>
          <cell r="BM9">
            <v>-86229</v>
          </cell>
          <cell r="BN9">
            <v>-1242</v>
          </cell>
          <cell r="BO9">
            <v>-1491</v>
          </cell>
          <cell r="BP9">
            <v>0</v>
          </cell>
          <cell r="BQ9">
            <v>0</v>
          </cell>
          <cell r="BR9">
            <v>0</v>
          </cell>
          <cell r="BS9">
            <v>0</v>
          </cell>
          <cell r="BT9">
            <v>27655386</v>
          </cell>
          <cell r="BU9">
            <v>-253633</v>
          </cell>
          <cell r="BV9">
            <v>793063</v>
          </cell>
          <cell r="BW9">
            <v>-186661</v>
          </cell>
          <cell r="BX9">
            <v>-1889894</v>
          </cell>
          <cell r="BY9">
            <v>-2180211</v>
          </cell>
          <cell r="BZ9">
            <v>28467472</v>
          </cell>
          <cell r="CA9">
            <v>-944947</v>
          </cell>
          <cell r="CB9">
            <v>-755958</v>
          </cell>
          <cell r="CC9">
            <v>-188989</v>
          </cell>
          <cell r="CD9">
            <v>0</v>
          </cell>
          <cell r="CE9">
            <v>-1090106</v>
          </cell>
          <cell r="CF9">
            <v>-872084</v>
          </cell>
          <cell r="CG9">
            <v>-218021</v>
          </cell>
          <cell r="CH9">
            <v>0</v>
          </cell>
        </row>
        <row r="10">
          <cell r="A10">
            <v>3</v>
          </cell>
          <cell r="B10" t="str">
            <v>Amber Valley</v>
          </cell>
          <cell r="C10" t="str">
            <v>E1031</v>
          </cell>
          <cell r="D10">
            <v>149167</v>
          </cell>
          <cell r="H10">
            <v>382831</v>
          </cell>
          <cell r="I10">
            <v>0</v>
          </cell>
          <cell r="J10">
            <v>149167</v>
          </cell>
          <cell r="K10">
            <v>0</v>
          </cell>
          <cell r="L10">
            <v>5554</v>
          </cell>
          <cell r="M10">
            <v>0</v>
          </cell>
          <cell r="N10">
            <v>0</v>
          </cell>
          <cell r="O10">
            <v>0</v>
          </cell>
          <cell r="P10">
            <v>0</v>
          </cell>
          <cell r="Q10">
            <v>0</v>
          </cell>
          <cell r="R10">
            <v>749130</v>
          </cell>
          <cell r="S10">
            <v>168554</v>
          </cell>
          <cell r="T10">
            <v>18728</v>
          </cell>
          <cell r="U10">
            <v>0</v>
          </cell>
          <cell r="V10">
            <v>0</v>
          </cell>
          <cell r="W10">
            <v>0</v>
          </cell>
          <cell r="X10">
            <v>0</v>
          </cell>
          <cell r="Y10">
            <v>0</v>
          </cell>
          <cell r="Z10">
            <v>0</v>
          </cell>
          <cell r="AA10">
            <v>2720</v>
          </cell>
          <cell r="AB10">
            <v>612</v>
          </cell>
          <cell r="AC10">
            <v>68</v>
          </cell>
          <cell r="AD10">
            <v>0</v>
          </cell>
          <cell r="AE10">
            <v>0</v>
          </cell>
          <cell r="AF10">
            <v>0</v>
          </cell>
          <cell r="AG10">
            <v>0</v>
          </cell>
          <cell r="AH10">
            <v>0</v>
          </cell>
          <cell r="AI10">
            <v>0</v>
          </cell>
          <cell r="AM10">
            <v>0</v>
          </cell>
          <cell r="AN10">
            <v>0</v>
          </cell>
          <cell r="AO10">
            <v>0</v>
          </cell>
          <cell r="AP10">
            <v>171340</v>
          </cell>
          <cell r="AQ10">
            <v>38533</v>
          </cell>
          <cell r="AR10">
            <v>4281</v>
          </cell>
          <cell r="AS10">
            <v>-186522</v>
          </cell>
          <cell r="AT10">
            <v>-149218</v>
          </cell>
          <cell r="AU10">
            <v>-33574</v>
          </cell>
          <cell r="AV10">
            <v>-3730</v>
          </cell>
          <cell r="AW10">
            <v>-373044</v>
          </cell>
          <cell r="AX10">
            <v>-700000</v>
          </cell>
          <cell r="AY10">
            <v>-560000</v>
          </cell>
          <cell r="AZ10">
            <v>-126000</v>
          </cell>
          <cell r="BA10">
            <v>-14000</v>
          </cell>
          <cell r="BB10">
            <v>-1400000</v>
          </cell>
          <cell r="BC10">
            <v>30159897</v>
          </cell>
          <cell r="BD10">
            <v>-2941944</v>
          </cell>
          <cell r="BE10">
            <v>816256</v>
          </cell>
          <cell r="BF10">
            <v>0</v>
          </cell>
          <cell r="BG10">
            <v>-1617130</v>
          </cell>
          <cell r="BH10">
            <v>-41947</v>
          </cell>
          <cell r="BI10">
            <v>-19993</v>
          </cell>
          <cell r="BJ10">
            <v>-36395</v>
          </cell>
          <cell r="BK10">
            <v>-1376747</v>
          </cell>
          <cell r="BL10">
            <v>-46829</v>
          </cell>
          <cell r="BM10">
            <v>-375941</v>
          </cell>
          <cell r="BN10">
            <v>0</v>
          </cell>
          <cell r="BO10">
            <v>-19993</v>
          </cell>
          <cell r="BP10">
            <v>-2140</v>
          </cell>
          <cell r="BQ10">
            <v>0</v>
          </cell>
          <cell r="BR10">
            <v>0</v>
          </cell>
          <cell r="BS10">
            <v>0</v>
          </cell>
          <cell r="BT10">
            <v>30357307</v>
          </cell>
          <cell r="BU10">
            <v>-174553</v>
          </cell>
          <cell r="BV10">
            <v>373044</v>
          </cell>
          <cell r="BW10">
            <v>-1147822</v>
          </cell>
          <cell r="BX10">
            <v>-194050</v>
          </cell>
          <cell r="BY10">
            <v>-151434</v>
          </cell>
          <cell r="BZ10">
            <v>28501922</v>
          </cell>
          <cell r="CA10">
            <v>-97025</v>
          </cell>
          <cell r="CB10">
            <v>-77620</v>
          </cell>
          <cell r="CC10">
            <v>-17465</v>
          </cell>
          <cell r="CD10">
            <v>-1940</v>
          </cell>
          <cell r="CE10">
            <v>-75717</v>
          </cell>
          <cell r="CF10">
            <v>-60574</v>
          </cell>
          <cell r="CG10">
            <v>-13629</v>
          </cell>
          <cell r="CH10">
            <v>-1514</v>
          </cell>
        </row>
        <row r="11">
          <cell r="A11">
            <v>4</v>
          </cell>
          <cell r="B11" t="str">
            <v>Arun</v>
          </cell>
          <cell r="C11" t="str">
            <v>E3832</v>
          </cell>
          <cell r="D11">
            <v>186077</v>
          </cell>
          <cell r="H11">
            <v>-457433</v>
          </cell>
          <cell r="I11">
            <v>0</v>
          </cell>
          <cell r="J11">
            <v>186077</v>
          </cell>
          <cell r="K11">
            <v>0</v>
          </cell>
          <cell r="L11">
            <v>0</v>
          </cell>
          <cell r="M11">
            <v>0</v>
          </cell>
          <cell r="N11">
            <v>0</v>
          </cell>
          <cell r="O11">
            <v>0</v>
          </cell>
          <cell r="P11">
            <v>0</v>
          </cell>
          <cell r="Q11">
            <v>0</v>
          </cell>
          <cell r="R11">
            <v>931966</v>
          </cell>
          <cell r="S11">
            <v>232991</v>
          </cell>
          <cell r="T11">
            <v>0</v>
          </cell>
          <cell r="U11">
            <v>3978</v>
          </cell>
          <cell r="V11">
            <v>994</v>
          </cell>
          <cell r="W11">
            <v>0</v>
          </cell>
          <cell r="X11">
            <v>0</v>
          </cell>
          <cell r="Y11">
            <v>0</v>
          </cell>
          <cell r="Z11">
            <v>0</v>
          </cell>
          <cell r="AA11">
            <v>11109</v>
          </cell>
          <cell r="AB11">
            <v>2777</v>
          </cell>
          <cell r="AC11">
            <v>0</v>
          </cell>
          <cell r="AD11">
            <v>0</v>
          </cell>
          <cell r="AE11">
            <v>0</v>
          </cell>
          <cell r="AF11">
            <v>0</v>
          </cell>
          <cell r="AG11">
            <v>0</v>
          </cell>
          <cell r="AH11">
            <v>0</v>
          </cell>
          <cell r="AI11">
            <v>0</v>
          </cell>
          <cell r="AM11">
            <v>0</v>
          </cell>
          <cell r="AN11">
            <v>0</v>
          </cell>
          <cell r="AO11">
            <v>0</v>
          </cell>
          <cell r="AP11">
            <v>212037</v>
          </cell>
          <cell r="AQ11">
            <v>53009</v>
          </cell>
          <cell r="AR11">
            <v>0</v>
          </cell>
          <cell r="AS11">
            <v>-154500</v>
          </cell>
          <cell r="AT11">
            <v>-123600</v>
          </cell>
          <cell r="AU11">
            <v>-30900</v>
          </cell>
          <cell r="AV11">
            <v>0</v>
          </cell>
          <cell r="AW11">
            <v>-309000</v>
          </cell>
          <cell r="AX11">
            <v>-2508000</v>
          </cell>
          <cell r="AY11">
            <v>-2006400</v>
          </cell>
          <cell r="AZ11">
            <v>-501600</v>
          </cell>
          <cell r="BA11">
            <v>0</v>
          </cell>
          <cell r="BB11">
            <v>-5016000</v>
          </cell>
          <cell r="BC11">
            <v>37274542</v>
          </cell>
          <cell r="BD11">
            <v>-3559187</v>
          </cell>
          <cell r="BE11">
            <v>927294</v>
          </cell>
          <cell r="BF11">
            <v>0</v>
          </cell>
          <cell r="BG11">
            <v>-2791543</v>
          </cell>
          <cell r="BH11">
            <v>-85893</v>
          </cell>
          <cell r="BI11">
            <v>-5219</v>
          </cell>
          <cell r="BJ11">
            <v>0</v>
          </cell>
          <cell r="BK11">
            <v>-636885</v>
          </cell>
          <cell r="BL11">
            <v>-114118</v>
          </cell>
          <cell r="BM11">
            <v>-17884</v>
          </cell>
          <cell r="BN11">
            <v>-1006</v>
          </cell>
          <cell r="BO11">
            <v>-3175</v>
          </cell>
          <cell r="BP11">
            <v>0</v>
          </cell>
          <cell r="BQ11">
            <v>0</v>
          </cell>
          <cell r="BR11">
            <v>0</v>
          </cell>
          <cell r="BS11">
            <v>0</v>
          </cell>
          <cell r="BT11">
            <v>37622453</v>
          </cell>
          <cell r="BU11">
            <v>-267000</v>
          </cell>
          <cell r="BV11">
            <v>822836</v>
          </cell>
          <cell r="BW11">
            <v>-344241</v>
          </cell>
          <cell r="BX11">
            <v>2121027</v>
          </cell>
          <cell r="BY11">
            <v>829263</v>
          </cell>
          <cell r="BZ11">
            <v>35289011</v>
          </cell>
          <cell r="CA11">
            <v>1060513</v>
          </cell>
          <cell r="CB11">
            <v>848411</v>
          </cell>
          <cell r="CC11">
            <v>212103</v>
          </cell>
          <cell r="CD11">
            <v>0</v>
          </cell>
          <cell r="CE11">
            <v>414632</v>
          </cell>
          <cell r="CF11">
            <v>331705</v>
          </cell>
          <cell r="CG11">
            <v>82926</v>
          </cell>
          <cell r="CH11">
            <v>0</v>
          </cell>
        </row>
        <row r="12">
          <cell r="A12">
            <v>5</v>
          </cell>
          <cell r="B12" t="str">
            <v>Ashfield</v>
          </cell>
          <cell r="C12" t="str">
            <v>E3031</v>
          </cell>
          <cell r="D12">
            <v>130702</v>
          </cell>
          <cell r="H12">
            <v>302189</v>
          </cell>
          <cell r="I12">
            <v>0</v>
          </cell>
          <cell r="J12">
            <v>130702</v>
          </cell>
          <cell r="K12">
            <v>0</v>
          </cell>
          <cell r="L12">
            <v>0</v>
          </cell>
          <cell r="M12">
            <v>0</v>
          </cell>
          <cell r="N12">
            <v>0</v>
          </cell>
          <cell r="O12">
            <v>0</v>
          </cell>
          <cell r="P12">
            <v>0</v>
          </cell>
          <cell r="Q12">
            <v>0</v>
          </cell>
          <cell r="R12">
            <v>556935</v>
          </cell>
          <cell r="S12">
            <v>125310</v>
          </cell>
          <cell r="T12">
            <v>13923</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M12">
            <v>0</v>
          </cell>
          <cell r="AN12">
            <v>0</v>
          </cell>
          <cell r="AO12">
            <v>0</v>
          </cell>
          <cell r="AP12">
            <v>218863</v>
          </cell>
          <cell r="AQ12">
            <v>49244</v>
          </cell>
          <cell r="AR12">
            <v>5472</v>
          </cell>
          <cell r="AS12">
            <v>-333890</v>
          </cell>
          <cell r="AT12">
            <v>-267110</v>
          </cell>
          <cell r="AU12">
            <v>-60099</v>
          </cell>
          <cell r="AV12">
            <v>-6677</v>
          </cell>
          <cell r="AW12">
            <v>-667776</v>
          </cell>
          <cell r="AX12">
            <v>-1455900</v>
          </cell>
          <cell r="AY12">
            <v>-1164721</v>
          </cell>
          <cell r="AZ12">
            <v>-262063</v>
          </cell>
          <cell r="BA12">
            <v>-29118</v>
          </cell>
          <cell r="BB12">
            <v>-2911802</v>
          </cell>
          <cell r="BC12">
            <v>34772284</v>
          </cell>
          <cell r="BD12">
            <v>-2080941</v>
          </cell>
          <cell r="BE12">
            <v>941795</v>
          </cell>
          <cell r="BF12">
            <v>0</v>
          </cell>
          <cell r="BG12">
            <v>-1798132</v>
          </cell>
          <cell r="BH12">
            <v>-8429</v>
          </cell>
          <cell r="BI12">
            <v>-11698</v>
          </cell>
          <cell r="BJ12">
            <v>-1215</v>
          </cell>
          <cell r="BK12">
            <v>-745133</v>
          </cell>
          <cell r="BL12">
            <v>-147857</v>
          </cell>
          <cell r="BM12">
            <v>-40881</v>
          </cell>
          <cell r="BN12">
            <v>0</v>
          </cell>
          <cell r="BO12">
            <v>-6268</v>
          </cell>
          <cell r="BP12">
            <v>-4437</v>
          </cell>
          <cell r="BQ12">
            <v>0</v>
          </cell>
          <cell r="BR12">
            <v>0</v>
          </cell>
          <cell r="BS12">
            <v>0</v>
          </cell>
          <cell r="BT12">
            <v>36595516</v>
          </cell>
          <cell r="BU12">
            <v>-309427</v>
          </cell>
          <cell r="BV12">
            <v>1366811</v>
          </cell>
          <cell r="BW12">
            <v>-214831</v>
          </cell>
          <cell r="BX12">
            <v>-535214</v>
          </cell>
          <cell r="BY12">
            <v>-1143757</v>
          </cell>
          <cell r="BZ12">
            <v>36424993</v>
          </cell>
          <cell r="CA12">
            <v>-267607</v>
          </cell>
          <cell r="CB12">
            <v>-214086</v>
          </cell>
          <cell r="CC12">
            <v>-48169</v>
          </cell>
          <cell r="CD12">
            <v>-5352</v>
          </cell>
          <cell r="CE12">
            <v>-571878</v>
          </cell>
          <cell r="CF12">
            <v>-457503</v>
          </cell>
          <cell r="CG12">
            <v>-102938</v>
          </cell>
          <cell r="CH12">
            <v>-11438</v>
          </cell>
        </row>
        <row r="13">
          <cell r="A13">
            <v>6</v>
          </cell>
          <cell r="B13" t="str">
            <v>Ashford</v>
          </cell>
          <cell r="C13" t="str">
            <v>E2231</v>
          </cell>
          <cell r="D13">
            <v>181049</v>
          </cell>
          <cell r="H13">
            <v>490248</v>
          </cell>
          <cell r="I13">
            <v>0</v>
          </cell>
          <cell r="J13">
            <v>181049</v>
          </cell>
          <cell r="K13">
            <v>0</v>
          </cell>
          <cell r="L13">
            <v>60400</v>
          </cell>
          <cell r="M13">
            <v>0</v>
          </cell>
          <cell r="N13">
            <v>0</v>
          </cell>
          <cell r="O13">
            <v>0</v>
          </cell>
          <cell r="P13">
            <v>0</v>
          </cell>
          <cell r="Q13">
            <v>0</v>
          </cell>
          <cell r="R13">
            <v>749487</v>
          </cell>
          <cell r="S13">
            <v>168634</v>
          </cell>
          <cell r="T13">
            <v>18737</v>
          </cell>
          <cell r="U13">
            <v>2588</v>
          </cell>
          <cell r="V13">
            <v>583</v>
          </cell>
          <cell r="W13">
            <v>65</v>
          </cell>
          <cell r="X13">
            <v>0</v>
          </cell>
          <cell r="Y13">
            <v>0</v>
          </cell>
          <cell r="Z13">
            <v>0</v>
          </cell>
          <cell r="AA13">
            <v>0</v>
          </cell>
          <cell r="AB13">
            <v>0</v>
          </cell>
          <cell r="AC13">
            <v>0</v>
          </cell>
          <cell r="AD13">
            <v>0</v>
          </cell>
          <cell r="AE13">
            <v>0</v>
          </cell>
          <cell r="AF13">
            <v>0</v>
          </cell>
          <cell r="AG13">
            <v>0</v>
          </cell>
          <cell r="AH13">
            <v>0</v>
          </cell>
          <cell r="AI13">
            <v>0</v>
          </cell>
          <cell r="AM13">
            <v>0</v>
          </cell>
          <cell r="AN13">
            <v>0</v>
          </cell>
          <cell r="AO13">
            <v>0</v>
          </cell>
          <cell r="AP13">
            <v>298223</v>
          </cell>
          <cell r="AQ13">
            <v>66896</v>
          </cell>
          <cell r="AR13">
            <v>7433</v>
          </cell>
          <cell r="AS13">
            <v>-130389</v>
          </cell>
          <cell r="AT13">
            <v>-104311</v>
          </cell>
          <cell r="AU13">
            <v>-23470</v>
          </cell>
          <cell r="AV13">
            <v>-2608</v>
          </cell>
          <cell r="AW13">
            <v>-260778</v>
          </cell>
          <cell r="AX13">
            <v>-1646964</v>
          </cell>
          <cell r="AY13">
            <v>-1317574</v>
          </cell>
          <cell r="AZ13">
            <v>-296454</v>
          </cell>
          <cell r="BA13">
            <v>-32939</v>
          </cell>
          <cell r="BB13">
            <v>-3293931</v>
          </cell>
          <cell r="BC13">
            <v>47285849</v>
          </cell>
          <cell r="BD13">
            <v>-2925750</v>
          </cell>
          <cell r="BE13">
            <v>1265801</v>
          </cell>
          <cell r="BF13">
            <v>0</v>
          </cell>
          <cell r="BG13">
            <v>-3450036</v>
          </cell>
          <cell r="BH13">
            <v>-88226</v>
          </cell>
          <cell r="BI13">
            <v>-36968</v>
          </cell>
          <cell r="BJ13">
            <v>-873</v>
          </cell>
          <cell r="BK13">
            <v>-1780591</v>
          </cell>
          <cell r="BL13">
            <v>-174149</v>
          </cell>
          <cell r="BM13">
            <v>-64493</v>
          </cell>
          <cell r="BN13">
            <v>-13349</v>
          </cell>
          <cell r="BO13">
            <v>-15569</v>
          </cell>
          <cell r="BP13">
            <v>-52161</v>
          </cell>
          <cell r="BQ13">
            <v>0</v>
          </cell>
          <cell r="BR13">
            <v>0</v>
          </cell>
          <cell r="BS13">
            <v>0</v>
          </cell>
          <cell r="BT13">
            <v>47203994</v>
          </cell>
          <cell r="BU13">
            <v>-286856</v>
          </cell>
          <cell r="BV13">
            <v>138972</v>
          </cell>
          <cell r="BW13">
            <v>-255031</v>
          </cell>
          <cell r="BX13">
            <v>-2867508</v>
          </cell>
          <cell r="BY13">
            <v>-2378178</v>
          </cell>
          <cell r="BZ13">
            <v>49481875</v>
          </cell>
          <cell r="CA13">
            <v>-1433754</v>
          </cell>
          <cell r="CB13">
            <v>-1147003</v>
          </cell>
          <cell r="CC13">
            <v>-258076</v>
          </cell>
          <cell r="CD13">
            <v>-28675</v>
          </cell>
          <cell r="CE13">
            <v>-1189089</v>
          </cell>
          <cell r="CF13">
            <v>-951271</v>
          </cell>
          <cell r="CG13">
            <v>-214036</v>
          </cell>
          <cell r="CH13">
            <v>-23782</v>
          </cell>
        </row>
        <row r="14">
          <cell r="A14">
            <v>7</v>
          </cell>
          <cell r="B14" t="str">
            <v>Aylesbury Vale</v>
          </cell>
          <cell r="C14" t="str">
            <v>E0431</v>
          </cell>
          <cell r="D14">
            <v>223286</v>
          </cell>
          <cell r="H14">
            <v>-441967</v>
          </cell>
          <cell r="I14">
            <v>-8387</v>
          </cell>
          <cell r="J14">
            <v>223286</v>
          </cell>
          <cell r="K14">
            <v>204367</v>
          </cell>
          <cell r="L14">
            <v>0</v>
          </cell>
          <cell r="M14">
            <v>0</v>
          </cell>
          <cell r="N14">
            <v>0</v>
          </cell>
          <cell r="O14">
            <v>0</v>
          </cell>
          <cell r="P14">
            <v>0</v>
          </cell>
          <cell r="Q14">
            <v>0</v>
          </cell>
          <cell r="R14">
            <v>971723</v>
          </cell>
          <cell r="S14">
            <v>218637</v>
          </cell>
          <cell r="T14">
            <v>24293</v>
          </cell>
          <cell r="U14">
            <v>4162</v>
          </cell>
          <cell r="V14">
            <v>936</v>
          </cell>
          <cell r="W14">
            <v>104</v>
          </cell>
          <cell r="X14">
            <v>21214</v>
          </cell>
          <cell r="Y14">
            <v>4773</v>
          </cell>
          <cell r="Z14">
            <v>530</v>
          </cell>
          <cell r="AA14">
            <v>0</v>
          </cell>
          <cell r="AB14">
            <v>0</v>
          </cell>
          <cell r="AC14">
            <v>0</v>
          </cell>
          <cell r="AD14">
            <v>0</v>
          </cell>
          <cell r="AE14">
            <v>0</v>
          </cell>
          <cell r="AF14">
            <v>0</v>
          </cell>
          <cell r="AG14">
            <v>0</v>
          </cell>
          <cell r="AH14">
            <v>0</v>
          </cell>
          <cell r="AI14">
            <v>0</v>
          </cell>
          <cell r="AM14">
            <v>0</v>
          </cell>
          <cell r="AN14">
            <v>0</v>
          </cell>
          <cell r="AO14">
            <v>0</v>
          </cell>
          <cell r="AP14">
            <v>315482</v>
          </cell>
          <cell r="AQ14">
            <v>70293</v>
          </cell>
          <cell r="AR14">
            <v>7810</v>
          </cell>
          <cell r="AS14">
            <v>0</v>
          </cell>
          <cell r="AT14">
            <v>0</v>
          </cell>
          <cell r="AU14">
            <v>0</v>
          </cell>
          <cell r="AV14">
            <v>0</v>
          </cell>
          <cell r="AW14">
            <v>0</v>
          </cell>
          <cell r="AX14">
            <v>-996424</v>
          </cell>
          <cell r="AY14">
            <v>-797139</v>
          </cell>
          <cell r="AZ14">
            <v>-179356</v>
          </cell>
          <cell r="BA14">
            <v>-19929</v>
          </cell>
          <cell r="BB14">
            <v>-1992848</v>
          </cell>
          <cell r="BC14">
            <v>54146204</v>
          </cell>
          <cell r="BD14">
            <v>-3405396</v>
          </cell>
          <cell r="BE14">
            <v>1418416</v>
          </cell>
          <cell r="BF14">
            <v>0</v>
          </cell>
          <cell r="BG14">
            <v>-4727174</v>
          </cell>
          <cell r="BH14">
            <v>-28506</v>
          </cell>
          <cell r="BI14">
            <v>-58700</v>
          </cell>
          <cell r="BJ14">
            <v>-5976</v>
          </cell>
          <cell r="BK14">
            <v>-2529198</v>
          </cell>
          <cell r="BL14">
            <v>-220957</v>
          </cell>
          <cell r="BM14">
            <v>-137684</v>
          </cell>
          <cell r="BN14">
            <v>-2256</v>
          </cell>
          <cell r="BO14">
            <v>0</v>
          </cell>
          <cell r="BP14">
            <v>0</v>
          </cell>
          <cell r="BQ14">
            <v>0</v>
          </cell>
          <cell r="BR14">
            <v>0</v>
          </cell>
          <cell r="BS14">
            <v>0</v>
          </cell>
          <cell r="BT14">
            <v>52325508</v>
          </cell>
          <cell r="BU14">
            <v>0</v>
          </cell>
          <cell r="BV14">
            <v>204693</v>
          </cell>
          <cell r="BW14">
            <v>-1192487</v>
          </cell>
          <cell r="BX14">
            <v>1911537</v>
          </cell>
          <cell r="BY14">
            <v>-839454</v>
          </cell>
          <cell r="BZ14">
            <v>51994226</v>
          </cell>
          <cell r="CA14">
            <v>955768</v>
          </cell>
          <cell r="CB14">
            <v>764615</v>
          </cell>
          <cell r="CC14">
            <v>172039</v>
          </cell>
          <cell r="CD14">
            <v>19115</v>
          </cell>
          <cell r="CE14">
            <v>-419726</v>
          </cell>
          <cell r="CF14">
            <v>-335782</v>
          </cell>
          <cell r="CG14">
            <v>-75551</v>
          </cell>
          <cell r="CH14">
            <v>-8395</v>
          </cell>
        </row>
        <row r="15">
          <cell r="A15">
            <v>8</v>
          </cell>
          <cell r="B15" t="str">
            <v>Babergh</v>
          </cell>
          <cell r="C15" t="str">
            <v>E3531</v>
          </cell>
          <cell r="D15">
            <v>129574</v>
          </cell>
          <cell r="H15">
            <v>-282421</v>
          </cell>
          <cell r="I15">
            <v>0</v>
          </cell>
          <cell r="J15">
            <v>129574</v>
          </cell>
          <cell r="K15">
            <v>0</v>
          </cell>
          <cell r="L15">
            <v>2148</v>
          </cell>
          <cell r="M15">
            <v>0</v>
          </cell>
          <cell r="N15">
            <v>0</v>
          </cell>
          <cell r="O15">
            <v>0</v>
          </cell>
          <cell r="P15">
            <v>0</v>
          </cell>
          <cell r="Q15">
            <v>0</v>
          </cell>
          <cell r="R15">
            <v>615014</v>
          </cell>
          <cell r="S15">
            <v>153753</v>
          </cell>
          <cell r="T15">
            <v>0</v>
          </cell>
          <cell r="U15">
            <v>12926</v>
          </cell>
          <cell r="V15">
            <v>3232</v>
          </cell>
          <cell r="W15">
            <v>0</v>
          </cell>
          <cell r="X15">
            <v>3611</v>
          </cell>
          <cell r="Y15">
            <v>903</v>
          </cell>
          <cell r="Z15">
            <v>0</v>
          </cell>
          <cell r="AA15">
            <v>5967</v>
          </cell>
          <cell r="AB15">
            <v>1492</v>
          </cell>
          <cell r="AC15">
            <v>0</v>
          </cell>
          <cell r="AD15">
            <v>0</v>
          </cell>
          <cell r="AE15">
            <v>0</v>
          </cell>
          <cell r="AF15">
            <v>0</v>
          </cell>
          <cell r="AG15">
            <v>0</v>
          </cell>
          <cell r="AH15">
            <v>0</v>
          </cell>
          <cell r="AI15">
            <v>0</v>
          </cell>
          <cell r="AM15">
            <v>0</v>
          </cell>
          <cell r="AN15">
            <v>0</v>
          </cell>
          <cell r="AO15">
            <v>0</v>
          </cell>
          <cell r="AP15">
            <v>136252</v>
          </cell>
          <cell r="AQ15">
            <v>34055</v>
          </cell>
          <cell r="AR15">
            <v>0</v>
          </cell>
          <cell r="AS15">
            <v>-163312</v>
          </cell>
          <cell r="AT15">
            <v>-130650</v>
          </cell>
          <cell r="AU15">
            <v>-32663</v>
          </cell>
          <cell r="AV15">
            <v>0</v>
          </cell>
          <cell r="AW15">
            <v>-326625</v>
          </cell>
          <cell r="AX15">
            <v>-507256</v>
          </cell>
          <cell r="AY15">
            <v>-405806</v>
          </cell>
          <cell r="AZ15">
            <v>-101451</v>
          </cell>
          <cell r="BA15">
            <v>0</v>
          </cell>
          <cell r="BB15">
            <v>-1014513</v>
          </cell>
          <cell r="BC15">
            <v>24080763</v>
          </cell>
          <cell r="BD15">
            <v>-2384299</v>
          </cell>
          <cell r="BE15">
            <v>618254</v>
          </cell>
          <cell r="BF15">
            <v>0</v>
          </cell>
          <cell r="BG15">
            <v>-2110451</v>
          </cell>
          <cell r="BH15">
            <v>-58478</v>
          </cell>
          <cell r="BI15">
            <v>-86725</v>
          </cell>
          <cell r="BJ15">
            <v>-4182</v>
          </cell>
          <cell r="BK15">
            <v>-455117</v>
          </cell>
          <cell r="BL15">
            <v>-44159</v>
          </cell>
          <cell r="BM15">
            <v>-9412</v>
          </cell>
          <cell r="BN15">
            <v>-7310</v>
          </cell>
          <cell r="BO15">
            <v>-71485</v>
          </cell>
          <cell r="BP15">
            <v>-12463</v>
          </cell>
          <cell r="BQ15">
            <v>0</v>
          </cell>
          <cell r="BR15">
            <v>0</v>
          </cell>
          <cell r="BS15">
            <v>0</v>
          </cell>
          <cell r="BT15">
            <v>23423964</v>
          </cell>
          <cell r="BU15">
            <v>-57570</v>
          </cell>
          <cell r="BV15">
            <v>397801</v>
          </cell>
          <cell r="BW15">
            <v>-475061</v>
          </cell>
          <cell r="BX15">
            <v>573584</v>
          </cell>
          <cell r="BY15">
            <v>844323</v>
          </cell>
          <cell r="BZ15">
            <v>22670887</v>
          </cell>
          <cell r="CA15">
            <v>286793</v>
          </cell>
          <cell r="CB15">
            <v>229433</v>
          </cell>
          <cell r="CC15">
            <v>57358</v>
          </cell>
          <cell r="CD15">
            <v>0</v>
          </cell>
          <cell r="CE15">
            <v>422162</v>
          </cell>
          <cell r="CF15">
            <v>337729</v>
          </cell>
          <cell r="CG15">
            <v>84432</v>
          </cell>
          <cell r="CH15">
            <v>0</v>
          </cell>
        </row>
        <row r="16">
          <cell r="A16">
            <v>9</v>
          </cell>
          <cell r="B16" t="str">
            <v>Barking and Dagenham</v>
          </cell>
          <cell r="C16" t="str">
            <v>E5030</v>
          </cell>
          <cell r="D16">
            <v>203037</v>
          </cell>
          <cell r="H16">
            <v>801540</v>
          </cell>
          <cell r="I16">
            <v>0</v>
          </cell>
          <cell r="J16">
            <v>203037</v>
          </cell>
          <cell r="K16">
            <v>0</v>
          </cell>
          <cell r="L16">
            <v>0</v>
          </cell>
          <cell r="M16">
            <v>0</v>
          </cell>
          <cell r="N16">
            <v>0</v>
          </cell>
          <cell r="O16">
            <v>0</v>
          </cell>
          <cell r="P16">
            <v>0</v>
          </cell>
          <cell r="Q16">
            <v>0</v>
          </cell>
          <cell r="R16">
            <v>581680</v>
          </cell>
          <cell r="S16">
            <v>717405</v>
          </cell>
          <cell r="T16">
            <v>0</v>
          </cell>
          <cell r="U16">
            <v>2018</v>
          </cell>
          <cell r="V16">
            <v>2489</v>
          </cell>
          <cell r="W16">
            <v>0</v>
          </cell>
          <cell r="X16">
            <v>0</v>
          </cell>
          <cell r="Y16">
            <v>0</v>
          </cell>
          <cell r="Z16">
            <v>0</v>
          </cell>
          <cell r="AA16">
            <v>63244</v>
          </cell>
          <cell r="AB16">
            <v>78000</v>
          </cell>
          <cell r="AC16">
            <v>0</v>
          </cell>
          <cell r="AD16">
            <v>0</v>
          </cell>
          <cell r="AE16">
            <v>0</v>
          </cell>
          <cell r="AF16">
            <v>0</v>
          </cell>
          <cell r="AG16">
            <v>0</v>
          </cell>
          <cell r="AH16">
            <v>0</v>
          </cell>
          <cell r="AI16">
            <v>0</v>
          </cell>
          <cell r="AM16">
            <v>0</v>
          </cell>
          <cell r="AN16">
            <v>0</v>
          </cell>
          <cell r="AO16">
            <v>0</v>
          </cell>
          <cell r="AP16">
            <v>257157</v>
          </cell>
          <cell r="AQ16">
            <v>317160</v>
          </cell>
          <cell r="AR16">
            <v>0</v>
          </cell>
          <cell r="AS16">
            <v>-2588000</v>
          </cell>
          <cell r="AT16">
            <v>-1552800</v>
          </cell>
          <cell r="AU16">
            <v>-1035200</v>
          </cell>
          <cell r="AV16">
            <v>0</v>
          </cell>
          <cell r="AW16">
            <v>-5176000</v>
          </cell>
          <cell r="AX16">
            <v>-4811185</v>
          </cell>
          <cell r="AY16">
            <v>-2886711</v>
          </cell>
          <cell r="AZ16">
            <v>-1924474</v>
          </cell>
          <cell r="BA16">
            <v>0</v>
          </cell>
          <cell r="BB16">
            <v>-9622370</v>
          </cell>
          <cell r="BC16">
            <v>60929832</v>
          </cell>
          <cell r="BD16">
            <v>-2774270</v>
          </cell>
          <cell r="BE16">
            <v>1508766</v>
          </cell>
          <cell r="BF16">
            <v>0</v>
          </cell>
          <cell r="BG16">
            <v>-3606573</v>
          </cell>
          <cell r="BH16">
            <v>-22425</v>
          </cell>
          <cell r="BI16">
            <v>0</v>
          </cell>
          <cell r="BJ16">
            <v>-15942</v>
          </cell>
          <cell r="BK16">
            <v>-3048683</v>
          </cell>
          <cell r="BL16">
            <v>-217638</v>
          </cell>
          <cell r="BM16">
            <v>-2468</v>
          </cell>
          <cell r="BN16">
            <v>-5606</v>
          </cell>
          <cell r="BO16">
            <v>0</v>
          </cell>
          <cell r="BP16">
            <v>0</v>
          </cell>
          <cell r="BQ16">
            <v>-437360</v>
          </cell>
          <cell r="BR16">
            <v>0</v>
          </cell>
          <cell r="BS16">
            <v>0</v>
          </cell>
          <cell r="BT16">
            <v>56569207</v>
          </cell>
          <cell r="BU16">
            <v>0</v>
          </cell>
          <cell r="BV16">
            <v>5345972</v>
          </cell>
          <cell r="BW16">
            <v>-1106263</v>
          </cell>
          <cell r="BX16">
            <v>1584924</v>
          </cell>
          <cell r="BY16">
            <v>-1068678</v>
          </cell>
          <cell r="BZ16">
            <v>57064258</v>
          </cell>
          <cell r="CA16">
            <v>792462</v>
          </cell>
          <cell r="CB16">
            <v>475478</v>
          </cell>
          <cell r="CC16">
            <v>316984</v>
          </cell>
          <cell r="CD16">
            <v>0</v>
          </cell>
          <cell r="CE16">
            <v>-534339</v>
          </cell>
          <cell r="CF16">
            <v>-320603</v>
          </cell>
          <cell r="CG16">
            <v>-213736</v>
          </cell>
          <cell r="CH16">
            <v>0</v>
          </cell>
        </row>
        <row r="17">
          <cell r="A17">
            <v>10</v>
          </cell>
          <cell r="B17" t="str">
            <v>Barnet</v>
          </cell>
          <cell r="C17" t="str">
            <v>E5031</v>
          </cell>
          <cell r="D17">
            <v>417570</v>
          </cell>
          <cell r="H17">
            <v>2533567</v>
          </cell>
          <cell r="I17">
            <v>0</v>
          </cell>
          <cell r="J17">
            <v>417570</v>
          </cell>
          <cell r="K17">
            <v>0</v>
          </cell>
          <cell r="L17">
            <v>0</v>
          </cell>
          <cell r="M17">
            <v>0</v>
          </cell>
          <cell r="N17">
            <v>0</v>
          </cell>
          <cell r="O17">
            <v>0</v>
          </cell>
          <cell r="P17">
            <v>0</v>
          </cell>
          <cell r="Q17">
            <v>0</v>
          </cell>
          <cell r="R17">
            <v>859448</v>
          </cell>
          <cell r="S17">
            <v>1059987</v>
          </cell>
          <cell r="T17">
            <v>0</v>
          </cell>
          <cell r="U17">
            <v>0</v>
          </cell>
          <cell r="V17">
            <v>0</v>
          </cell>
          <cell r="W17">
            <v>0</v>
          </cell>
          <cell r="X17">
            <v>0</v>
          </cell>
          <cell r="Y17">
            <v>0</v>
          </cell>
          <cell r="Z17">
            <v>0</v>
          </cell>
          <cell r="AA17">
            <v>984</v>
          </cell>
          <cell r="AB17">
            <v>1213</v>
          </cell>
          <cell r="AC17">
            <v>0</v>
          </cell>
          <cell r="AD17">
            <v>0</v>
          </cell>
          <cell r="AE17">
            <v>0</v>
          </cell>
          <cell r="AF17">
            <v>0</v>
          </cell>
          <cell r="AG17">
            <v>0</v>
          </cell>
          <cell r="AH17">
            <v>0</v>
          </cell>
          <cell r="AI17">
            <v>0</v>
          </cell>
          <cell r="AM17">
            <v>0</v>
          </cell>
          <cell r="AN17">
            <v>0</v>
          </cell>
          <cell r="AO17">
            <v>0</v>
          </cell>
          <cell r="AP17">
            <v>523185</v>
          </cell>
          <cell r="AQ17">
            <v>645261</v>
          </cell>
          <cell r="AR17">
            <v>0</v>
          </cell>
          <cell r="AS17">
            <v>959809</v>
          </cell>
          <cell r="AT17">
            <v>575886</v>
          </cell>
          <cell r="AU17">
            <v>383923</v>
          </cell>
          <cell r="AV17">
            <v>0</v>
          </cell>
          <cell r="AW17">
            <v>1919618</v>
          </cell>
          <cell r="AX17">
            <v>-5096006</v>
          </cell>
          <cell r="AY17">
            <v>-3057603</v>
          </cell>
          <cell r="AZ17">
            <v>-2038402</v>
          </cell>
          <cell r="BA17">
            <v>0</v>
          </cell>
          <cell r="BB17">
            <v>-10192011</v>
          </cell>
          <cell r="BC17">
            <v>107828338</v>
          </cell>
          <cell r="BD17">
            <v>-4044025</v>
          </cell>
          <cell r="BE17">
            <v>2811567</v>
          </cell>
          <cell r="BF17">
            <v>0</v>
          </cell>
          <cell r="BG17">
            <v>-11645160</v>
          </cell>
          <cell r="BH17">
            <v>-210171</v>
          </cell>
          <cell r="BI17">
            <v>0</v>
          </cell>
          <cell r="BJ17">
            <v>-48034</v>
          </cell>
          <cell r="BK17">
            <v>-3331118</v>
          </cell>
          <cell r="BL17">
            <v>-927893</v>
          </cell>
          <cell r="BM17">
            <v>-78628</v>
          </cell>
          <cell r="BN17">
            <v>-5188</v>
          </cell>
          <cell r="BO17">
            <v>0</v>
          </cell>
          <cell r="BP17">
            <v>0</v>
          </cell>
          <cell r="BQ17">
            <v>0</v>
          </cell>
          <cell r="BR17">
            <v>0</v>
          </cell>
          <cell r="BS17">
            <v>0</v>
          </cell>
          <cell r="BT17">
            <v>110181841</v>
          </cell>
          <cell r="BU17">
            <v>-2431882</v>
          </cell>
          <cell r="BV17">
            <v>10470076</v>
          </cell>
          <cell r="BW17">
            <v>-4847863</v>
          </cell>
          <cell r="BX17">
            <v>-795899</v>
          </cell>
          <cell r="BY17">
            <v>-516281</v>
          </cell>
          <cell r="BZ17">
            <v>116097173</v>
          </cell>
          <cell r="CA17">
            <v>-397949</v>
          </cell>
          <cell r="CB17">
            <v>-238770</v>
          </cell>
          <cell r="CC17">
            <v>-159180</v>
          </cell>
          <cell r="CD17">
            <v>0</v>
          </cell>
          <cell r="CE17">
            <v>-258141</v>
          </cell>
          <cell r="CF17">
            <v>-154884</v>
          </cell>
          <cell r="CG17">
            <v>-103256</v>
          </cell>
          <cell r="CH17">
            <v>0</v>
          </cell>
        </row>
        <row r="18">
          <cell r="A18">
            <v>11</v>
          </cell>
          <cell r="B18" t="str">
            <v>Barnsley</v>
          </cell>
          <cell r="C18" t="str">
            <v>E4401</v>
          </cell>
          <cell r="D18">
            <v>266729</v>
          </cell>
          <cell r="H18">
            <v>-3059596</v>
          </cell>
          <cell r="I18">
            <v>-5988</v>
          </cell>
          <cell r="J18">
            <v>266729</v>
          </cell>
          <cell r="K18">
            <v>242344</v>
          </cell>
          <cell r="L18">
            <v>48371</v>
          </cell>
          <cell r="M18">
            <v>0</v>
          </cell>
          <cell r="N18">
            <v>252508</v>
          </cell>
          <cell r="O18">
            <v>252508</v>
          </cell>
          <cell r="P18">
            <v>0</v>
          </cell>
          <cell r="Q18">
            <v>0</v>
          </cell>
          <cell r="R18">
            <v>1557861</v>
          </cell>
          <cell r="S18">
            <v>0</v>
          </cell>
          <cell r="T18">
            <v>31793</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M18">
            <v>0</v>
          </cell>
          <cell r="AN18">
            <v>0</v>
          </cell>
          <cell r="AO18">
            <v>0</v>
          </cell>
          <cell r="AP18">
            <v>336589</v>
          </cell>
          <cell r="AQ18">
            <v>0</v>
          </cell>
          <cell r="AR18">
            <v>6703</v>
          </cell>
          <cell r="AS18">
            <v>-772422</v>
          </cell>
          <cell r="AT18">
            <v>-756973</v>
          </cell>
          <cell r="AU18">
            <v>0</v>
          </cell>
          <cell r="AV18">
            <v>-15448</v>
          </cell>
          <cell r="AW18">
            <v>-1544843</v>
          </cell>
          <cell r="AX18">
            <v>-2978667</v>
          </cell>
          <cell r="AY18">
            <v>-2919095</v>
          </cell>
          <cell r="AZ18">
            <v>0</v>
          </cell>
          <cell r="BA18">
            <v>-59574</v>
          </cell>
          <cell r="BB18">
            <v>-5957336</v>
          </cell>
          <cell r="BC18">
            <v>51897033</v>
          </cell>
          <cell r="BD18">
            <v>-5239293</v>
          </cell>
          <cell r="BE18">
            <v>1490305</v>
          </cell>
          <cell r="BF18">
            <v>0</v>
          </cell>
          <cell r="BG18">
            <v>-4410511</v>
          </cell>
          <cell r="BH18">
            <v>0</v>
          </cell>
          <cell r="BI18">
            <v>-6646</v>
          </cell>
          <cell r="BJ18">
            <v>0</v>
          </cell>
          <cell r="BK18">
            <v>-2207970</v>
          </cell>
          <cell r="BL18">
            <v>-57494</v>
          </cell>
          <cell r="BM18">
            <v>-38875</v>
          </cell>
          <cell r="BN18">
            <v>0</v>
          </cell>
          <cell r="BO18">
            <v>-932</v>
          </cell>
          <cell r="BP18">
            <v>0</v>
          </cell>
          <cell r="BQ18">
            <v>-306688</v>
          </cell>
          <cell r="BR18">
            <v>-306688</v>
          </cell>
          <cell r="BS18">
            <v>0</v>
          </cell>
          <cell r="BT18">
            <v>56106809</v>
          </cell>
          <cell r="BU18">
            <v>-906978</v>
          </cell>
          <cell r="BV18">
            <v>2773995</v>
          </cell>
          <cell r="BW18">
            <v>-1918203</v>
          </cell>
          <cell r="BX18">
            <v>455819</v>
          </cell>
          <cell r="BY18">
            <v>243690</v>
          </cell>
          <cell r="BZ18">
            <v>44620441</v>
          </cell>
          <cell r="CA18">
            <v>227910</v>
          </cell>
          <cell r="CB18">
            <v>223351</v>
          </cell>
          <cell r="CC18">
            <v>0</v>
          </cell>
          <cell r="CD18">
            <v>4558</v>
          </cell>
          <cell r="CE18">
            <v>121845</v>
          </cell>
          <cell r="CF18">
            <v>119408</v>
          </cell>
          <cell r="CG18">
            <v>0</v>
          </cell>
          <cell r="CH18">
            <v>2437</v>
          </cell>
        </row>
        <row r="19">
          <cell r="A19">
            <v>12</v>
          </cell>
          <cell r="B19" t="str">
            <v>Barrow-in-Furness</v>
          </cell>
          <cell r="C19" t="str">
            <v>E0932</v>
          </cell>
          <cell r="D19">
            <v>92724</v>
          </cell>
          <cell r="H19">
            <v>-2944194</v>
          </cell>
          <cell r="I19">
            <v>0</v>
          </cell>
          <cell r="J19">
            <v>92724</v>
          </cell>
          <cell r="K19">
            <v>0</v>
          </cell>
          <cell r="L19">
            <v>135658</v>
          </cell>
          <cell r="M19">
            <v>0</v>
          </cell>
          <cell r="N19">
            <v>0</v>
          </cell>
          <cell r="O19">
            <v>0</v>
          </cell>
          <cell r="P19">
            <v>0</v>
          </cell>
          <cell r="Q19">
            <v>0</v>
          </cell>
          <cell r="R19">
            <v>361435</v>
          </cell>
          <cell r="S19">
            <v>90359</v>
          </cell>
          <cell r="T19">
            <v>0</v>
          </cell>
          <cell r="U19">
            <v>1125</v>
          </cell>
          <cell r="V19">
            <v>281</v>
          </cell>
          <cell r="W19">
            <v>0</v>
          </cell>
          <cell r="X19">
            <v>0</v>
          </cell>
          <cell r="Y19">
            <v>0</v>
          </cell>
          <cell r="Z19">
            <v>0</v>
          </cell>
          <cell r="AA19">
            <v>0</v>
          </cell>
          <cell r="AB19">
            <v>0</v>
          </cell>
          <cell r="AC19">
            <v>0</v>
          </cell>
          <cell r="AD19">
            <v>0</v>
          </cell>
          <cell r="AE19">
            <v>0</v>
          </cell>
          <cell r="AF19">
            <v>0</v>
          </cell>
          <cell r="AG19">
            <v>0</v>
          </cell>
          <cell r="AH19">
            <v>0</v>
          </cell>
          <cell r="AI19">
            <v>0</v>
          </cell>
          <cell r="AM19">
            <v>0</v>
          </cell>
          <cell r="AN19">
            <v>0</v>
          </cell>
          <cell r="AO19">
            <v>0</v>
          </cell>
          <cell r="AP19">
            <v>121545</v>
          </cell>
          <cell r="AQ19">
            <v>29877</v>
          </cell>
          <cell r="AR19">
            <v>0</v>
          </cell>
          <cell r="AS19">
            <v>-621367</v>
          </cell>
          <cell r="AT19">
            <v>-497092</v>
          </cell>
          <cell r="AU19">
            <v>-124273</v>
          </cell>
          <cell r="AV19">
            <v>0</v>
          </cell>
          <cell r="AW19">
            <v>-1242732</v>
          </cell>
          <cell r="AX19">
            <v>-657024</v>
          </cell>
          <cell r="AY19">
            <v>-525619</v>
          </cell>
          <cell r="AZ19">
            <v>-131406</v>
          </cell>
          <cell r="BA19">
            <v>0</v>
          </cell>
          <cell r="BB19">
            <v>-1314049</v>
          </cell>
          <cell r="BC19">
            <v>22513473</v>
          </cell>
          <cell r="BD19">
            <v>-1434605</v>
          </cell>
          <cell r="BE19">
            <v>640096</v>
          </cell>
          <cell r="BF19">
            <v>0</v>
          </cell>
          <cell r="BG19">
            <v>-1720091</v>
          </cell>
          <cell r="BH19">
            <v>-103806</v>
          </cell>
          <cell r="BI19">
            <v>0</v>
          </cell>
          <cell r="BJ19">
            <v>-693734</v>
          </cell>
          <cell r="BK19">
            <v>-580844</v>
          </cell>
          <cell r="BL19">
            <v>0</v>
          </cell>
          <cell r="BM19">
            <v>0</v>
          </cell>
          <cell r="BN19">
            <v>0</v>
          </cell>
          <cell r="BO19">
            <v>0</v>
          </cell>
          <cell r="BP19">
            <v>0</v>
          </cell>
          <cell r="BQ19">
            <v>0</v>
          </cell>
          <cell r="BR19">
            <v>0</v>
          </cell>
          <cell r="BS19">
            <v>0</v>
          </cell>
          <cell r="BT19">
            <v>23500850</v>
          </cell>
          <cell r="BU19">
            <v>-93265</v>
          </cell>
          <cell r="BV19">
            <v>1459430</v>
          </cell>
          <cell r="BW19">
            <v>-1123072</v>
          </cell>
          <cell r="BX19">
            <v>-2015048</v>
          </cell>
          <cell r="BY19">
            <v>-1202806</v>
          </cell>
          <cell r="BZ19">
            <v>19889491</v>
          </cell>
          <cell r="CA19">
            <v>-1007523</v>
          </cell>
          <cell r="CB19">
            <v>-806020</v>
          </cell>
          <cell r="CC19">
            <v>-201505</v>
          </cell>
          <cell r="CD19">
            <v>0</v>
          </cell>
          <cell r="CE19">
            <v>-601403</v>
          </cell>
          <cell r="CF19">
            <v>-481122</v>
          </cell>
          <cell r="CG19">
            <v>-120281</v>
          </cell>
          <cell r="CH19">
            <v>0</v>
          </cell>
        </row>
        <row r="20">
          <cell r="A20">
            <v>13</v>
          </cell>
          <cell r="B20" t="str">
            <v>Basildon</v>
          </cell>
          <cell r="C20" t="str">
            <v>E1531</v>
          </cell>
          <cell r="D20">
            <v>229078</v>
          </cell>
          <cell r="H20">
            <v>-131303</v>
          </cell>
          <cell r="I20">
            <v>0</v>
          </cell>
          <cell r="J20">
            <v>237078</v>
          </cell>
          <cell r="K20">
            <v>0</v>
          </cell>
          <cell r="L20">
            <v>38</v>
          </cell>
          <cell r="M20">
            <v>0</v>
          </cell>
          <cell r="N20">
            <v>0</v>
          </cell>
          <cell r="O20">
            <v>0</v>
          </cell>
          <cell r="P20">
            <v>0</v>
          </cell>
          <cell r="Q20">
            <v>0</v>
          </cell>
          <cell r="R20">
            <v>745932</v>
          </cell>
          <cell r="S20">
            <v>167835</v>
          </cell>
          <cell r="T20">
            <v>18648</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M20">
            <v>0</v>
          </cell>
          <cell r="AN20">
            <v>0</v>
          </cell>
          <cell r="AO20">
            <v>0</v>
          </cell>
          <cell r="AP20">
            <v>461178</v>
          </cell>
          <cell r="AQ20">
            <v>103765</v>
          </cell>
          <cell r="AR20">
            <v>11529</v>
          </cell>
          <cell r="AS20">
            <v>-616500</v>
          </cell>
          <cell r="AT20">
            <v>-493200</v>
          </cell>
          <cell r="AU20">
            <v>-110970</v>
          </cell>
          <cell r="AV20">
            <v>-12330</v>
          </cell>
          <cell r="AW20">
            <v>-1233000</v>
          </cell>
          <cell r="AX20">
            <v>-3900000</v>
          </cell>
          <cell r="AY20">
            <v>-3120000</v>
          </cell>
          <cell r="AZ20">
            <v>-702000</v>
          </cell>
          <cell r="BA20">
            <v>-78000</v>
          </cell>
          <cell r="BB20">
            <v>-7800000</v>
          </cell>
          <cell r="BC20">
            <v>91872476</v>
          </cell>
          <cell r="BD20">
            <v>-2600882</v>
          </cell>
          <cell r="BE20">
            <v>2186662</v>
          </cell>
          <cell r="BF20">
            <v>0</v>
          </cell>
          <cell r="BG20">
            <v>-3671985</v>
          </cell>
          <cell r="BH20">
            <v>-40850</v>
          </cell>
          <cell r="BI20">
            <v>-3504</v>
          </cell>
          <cell r="BJ20">
            <v>-1656</v>
          </cell>
          <cell r="BK20">
            <v>-1744695</v>
          </cell>
          <cell r="BL20">
            <v>-9390</v>
          </cell>
          <cell r="BM20">
            <v>-41855</v>
          </cell>
          <cell r="BN20">
            <v>0</v>
          </cell>
          <cell r="BO20">
            <v>0</v>
          </cell>
          <cell r="BP20">
            <v>0</v>
          </cell>
          <cell r="BQ20">
            <v>0</v>
          </cell>
          <cell r="BR20">
            <v>0</v>
          </cell>
          <cell r="BS20">
            <v>0</v>
          </cell>
          <cell r="BT20">
            <v>83750263</v>
          </cell>
          <cell r="BU20">
            <v>-111997</v>
          </cell>
          <cell r="BV20">
            <v>3097956</v>
          </cell>
          <cell r="BW20">
            <v>-1103355</v>
          </cell>
          <cell r="BX20">
            <v>5499644</v>
          </cell>
          <cell r="BY20">
            <v>-3503226</v>
          </cell>
          <cell r="BZ20">
            <v>76753112</v>
          </cell>
          <cell r="CA20">
            <v>2749821</v>
          </cell>
          <cell r="CB20">
            <v>2199858</v>
          </cell>
          <cell r="CC20">
            <v>494969</v>
          </cell>
          <cell r="CD20">
            <v>54996</v>
          </cell>
          <cell r="CE20">
            <v>-1751614</v>
          </cell>
          <cell r="CF20">
            <v>-1401290</v>
          </cell>
          <cell r="CG20">
            <v>-315290</v>
          </cell>
          <cell r="CH20">
            <v>-35032</v>
          </cell>
        </row>
        <row r="21">
          <cell r="A21">
            <v>14</v>
          </cell>
          <cell r="B21" t="str">
            <v>Basingstoke &amp; Deane</v>
          </cell>
          <cell r="C21" t="str">
            <v>E1731</v>
          </cell>
          <cell r="D21">
            <v>198939</v>
          </cell>
          <cell r="H21">
            <v>-3287241</v>
          </cell>
          <cell r="I21">
            <v>25826</v>
          </cell>
          <cell r="J21">
            <v>198939</v>
          </cell>
          <cell r="K21">
            <v>0</v>
          </cell>
          <cell r="L21">
            <v>97014</v>
          </cell>
          <cell r="M21">
            <v>206122</v>
          </cell>
          <cell r="N21">
            <v>155000</v>
          </cell>
          <cell r="O21">
            <v>155000</v>
          </cell>
          <cell r="P21">
            <v>0</v>
          </cell>
          <cell r="Q21">
            <v>0</v>
          </cell>
          <cell r="R21">
            <v>441620</v>
          </cell>
          <cell r="S21">
            <v>95803</v>
          </cell>
          <cell r="T21">
            <v>10645</v>
          </cell>
          <cell r="U21">
            <v>13572</v>
          </cell>
          <cell r="V21">
            <v>2158</v>
          </cell>
          <cell r="W21">
            <v>240</v>
          </cell>
          <cell r="X21">
            <v>0</v>
          </cell>
          <cell r="Y21">
            <v>0</v>
          </cell>
          <cell r="Z21">
            <v>0</v>
          </cell>
          <cell r="AA21">
            <v>765</v>
          </cell>
          <cell r="AB21">
            <v>172</v>
          </cell>
          <cell r="AC21">
            <v>19</v>
          </cell>
          <cell r="AD21">
            <v>0</v>
          </cell>
          <cell r="AE21">
            <v>0</v>
          </cell>
          <cell r="AF21">
            <v>0</v>
          </cell>
          <cell r="AG21">
            <v>0</v>
          </cell>
          <cell r="AH21">
            <v>0</v>
          </cell>
          <cell r="AI21">
            <v>0</v>
          </cell>
          <cell r="AM21">
            <v>0</v>
          </cell>
          <cell r="AN21">
            <v>0</v>
          </cell>
          <cell r="AO21">
            <v>0</v>
          </cell>
          <cell r="AP21">
            <v>422981</v>
          </cell>
          <cell r="AQ21">
            <v>97415</v>
          </cell>
          <cell r="AR21">
            <v>10480</v>
          </cell>
          <cell r="AS21">
            <v>-217501</v>
          </cell>
          <cell r="AT21">
            <v>-174000</v>
          </cell>
          <cell r="AU21">
            <v>-39150</v>
          </cell>
          <cell r="AV21">
            <v>-4350</v>
          </cell>
          <cell r="AW21">
            <v>-435001</v>
          </cell>
          <cell r="AX21">
            <v>-3450000</v>
          </cell>
          <cell r="AY21">
            <v>-2760000</v>
          </cell>
          <cell r="AZ21">
            <v>-621000</v>
          </cell>
          <cell r="BA21">
            <v>-69000</v>
          </cell>
          <cell r="BB21">
            <v>-6900000</v>
          </cell>
          <cell r="BC21">
            <v>73612621</v>
          </cell>
          <cell r="BD21">
            <v>-1770308</v>
          </cell>
          <cell r="BE21">
            <v>2092972</v>
          </cell>
          <cell r="BF21">
            <v>0</v>
          </cell>
          <cell r="BG21">
            <v>-3348992</v>
          </cell>
          <cell r="BH21">
            <v>-11311</v>
          </cell>
          <cell r="BI21">
            <v>-35627</v>
          </cell>
          <cell r="BJ21">
            <v>-867917</v>
          </cell>
          <cell r="BK21">
            <v>-3748529</v>
          </cell>
          <cell r="BL21">
            <v>-458803</v>
          </cell>
          <cell r="BM21">
            <v>-171032</v>
          </cell>
          <cell r="BN21">
            <v>-2827</v>
          </cell>
          <cell r="BO21">
            <v>-28982</v>
          </cell>
          <cell r="BP21">
            <v>-66538</v>
          </cell>
          <cell r="BQ21">
            <v>0</v>
          </cell>
          <cell r="BR21">
            <v>0</v>
          </cell>
          <cell r="BS21">
            <v>0</v>
          </cell>
          <cell r="BT21">
            <v>75069821</v>
          </cell>
          <cell r="BU21">
            <v>-254487</v>
          </cell>
          <cell r="BV21">
            <v>1799878</v>
          </cell>
          <cell r="BW21">
            <v>-1995400</v>
          </cell>
          <cell r="BX21">
            <v>-3158537</v>
          </cell>
          <cell r="BY21">
            <v>-2085694</v>
          </cell>
          <cell r="BZ21">
            <v>69766145</v>
          </cell>
          <cell r="CA21">
            <v>-1579267</v>
          </cell>
          <cell r="CB21">
            <v>-1263416</v>
          </cell>
          <cell r="CC21">
            <v>-284268</v>
          </cell>
          <cell r="CD21">
            <v>-31586</v>
          </cell>
          <cell r="CE21">
            <v>-1042847</v>
          </cell>
          <cell r="CF21">
            <v>-834278</v>
          </cell>
          <cell r="CG21">
            <v>-187712</v>
          </cell>
          <cell r="CH21">
            <v>-20857</v>
          </cell>
        </row>
        <row r="22">
          <cell r="A22">
            <v>15</v>
          </cell>
          <cell r="B22" t="str">
            <v>Bassetlaw</v>
          </cell>
          <cell r="C22" t="str">
            <v>E3032</v>
          </cell>
          <cell r="D22">
            <v>167487</v>
          </cell>
          <cell r="H22">
            <v>-6930775</v>
          </cell>
          <cell r="I22">
            <v>0</v>
          </cell>
          <cell r="J22">
            <v>167487</v>
          </cell>
          <cell r="K22">
            <v>0</v>
          </cell>
          <cell r="L22">
            <v>482834</v>
          </cell>
          <cell r="M22">
            <v>0</v>
          </cell>
          <cell r="N22">
            <v>0</v>
          </cell>
          <cell r="O22">
            <v>0</v>
          </cell>
          <cell r="P22">
            <v>0</v>
          </cell>
          <cell r="Q22">
            <v>0</v>
          </cell>
          <cell r="R22">
            <v>635662</v>
          </cell>
          <cell r="S22">
            <v>143024</v>
          </cell>
          <cell r="T22">
            <v>15892</v>
          </cell>
          <cell r="U22">
            <v>6460</v>
          </cell>
          <cell r="V22">
            <v>1453</v>
          </cell>
          <cell r="W22">
            <v>161</v>
          </cell>
          <cell r="X22">
            <v>2273</v>
          </cell>
          <cell r="Y22">
            <v>511</v>
          </cell>
          <cell r="Z22">
            <v>57</v>
          </cell>
          <cell r="AA22">
            <v>0</v>
          </cell>
          <cell r="AB22">
            <v>0</v>
          </cell>
          <cell r="AC22">
            <v>0</v>
          </cell>
          <cell r="AD22">
            <v>0</v>
          </cell>
          <cell r="AE22">
            <v>0</v>
          </cell>
          <cell r="AF22">
            <v>0</v>
          </cell>
          <cell r="AG22">
            <v>0</v>
          </cell>
          <cell r="AH22">
            <v>0</v>
          </cell>
          <cell r="AI22">
            <v>0</v>
          </cell>
          <cell r="AM22">
            <v>0</v>
          </cell>
          <cell r="AN22">
            <v>0</v>
          </cell>
          <cell r="AO22">
            <v>0</v>
          </cell>
          <cell r="AP22">
            <v>260432</v>
          </cell>
          <cell r="AQ22">
            <v>56965</v>
          </cell>
          <cell r="AR22">
            <v>6329</v>
          </cell>
          <cell r="AS22">
            <v>-433577</v>
          </cell>
          <cell r="AT22">
            <v>-346861</v>
          </cell>
          <cell r="AU22">
            <v>-78043</v>
          </cell>
          <cell r="AV22">
            <v>-8671</v>
          </cell>
          <cell r="AW22">
            <v>-867152</v>
          </cell>
          <cell r="AX22">
            <v>-4428694</v>
          </cell>
          <cell r="AY22">
            <v>-3542955</v>
          </cell>
          <cell r="AZ22">
            <v>-797166</v>
          </cell>
          <cell r="BA22">
            <v>-88574</v>
          </cell>
          <cell r="BB22">
            <v>-8857389</v>
          </cell>
          <cell r="BC22">
            <v>51159497</v>
          </cell>
          <cell r="BD22">
            <v>-2684107</v>
          </cell>
          <cell r="BE22">
            <v>1392332</v>
          </cell>
          <cell r="BF22">
            <v>0</v>
          </cell>
          <cell r="BG22">
            <v>-2889856</v>
          </cell>
          <cell r="BH22">
            <v>-13300</v>
          </cell>
          <cell r="BI22">
            <v>-41304</v>
          </cell>
          <cell r="BJ22">
            <v>-533713</v>
          </cell>
          <cell r="BK22">
            <v>-1120938</v>
          </cell>
          <cell r="BL22">
            <v>-84736</v>
          </cell>
          <cell r="BM22">
            <v>-60862</v>
          </cell>
          <cell r="BN22">
            <v>-1625</v>
          </cell>
          <cell r="BO22">
            <v>-43207</v>
          </cell>
          <cell r="BP22">
            <v>-13587</v>
          </cell>
          <cell r="BQ22">
            <v>0</v>
          </cell>
          <cell r="BR22">
            <v>0</v>
          </cell>
          <cell r="BS22">
            <v>0</v>
          </cell>
          <cell r="BT22">
            <v>51131177</v>
          </cell>
          <cell r="BU22">
            <v>4009</v>
          </cell>
          <cell r="BV22">
            <v>2206792</v>
          </cell>
          <cell r="BW22">
            <v>-876882</v>
          </cell>
          <cell r="BX22">
            <v>-1860223</v>
          </cell>
          <cell r="BY22">
            <v>-3183688</v>
          </cell>
          <cell r="BZ22">
            <v>42136258</v>
          </cell>
          <cell r="CA22">
            <v>-930112</v>
          </cell>
          <cell r="CB22">
            <v>-744089</v>
          </cell>
          <cell r="CC22">
            <v>-167420</v>
          </cell>
          <cell r="CD22">
            <v>-18602</v>
          </cell>
          <cell r="CE22">
            <v>-1591844</v>
          </cell>
          <cell r="CF22">
            <v>-1273475</v>
          </cell>
          <cell r="CG22">
            <v>-286532</v>
          </cell>
          <cell r="CH22">
            <v>-31837</v>
          </cell>
        </row>
        <row r="23">
          <cell r="A23">
            <v>16</v>
          </cell>
          <cell r="B23" t="str">
            <v>Bath &amp; North East Somerset</v>
          </cell>
          <cell r="C23" t="str">
            <v>E0101</v>
          </cell>
          <cell r="D23">
            <v>259447</v>
          </cell>
          <cell r="H23">
            <v>-616863</v>
          </cell>
          <cell r="I23">
            <v>-22611</v>
          </cell>
          <cell r="J23">
            <v>259447</v>
          </cell>
          <cell r="K23">
            <v>534106</v>
          </cell>
          <cell r="L23">
            <v>54227</v>
          </cell>
          <cell r="M23">
            <v>0</v>
          </cell>
          <cell r="N23">
            <v>0</v>
          </cell>
          <cell r="O23">
            <v>0</v>
          </cell>
          <cell r="P23">
            <v>0</v>
          </cell>
          <cell r="Q23">
            <v>0</v>
          </cell>
          <cell r="R23">
            <v>2658051</v>
          </cell>
          <cell r="S23">
            <v>137597</v>
          </cell>
          <cell r="T23">
            <v>27519</v>
          </cell>
          <cell r="U23">
            <v>10424</v>
          </cell>
          <cell r="V23">
            <v>555</v>
          </cell>
          <cell r="W23">
            <v>111</v>
          </cell>
          <cell r="X23">
            <v>0</v>
          </cell>
          <cell r="Y23">
            <v>0</v>
          </cell>
          <cell r="Z23">
            <v>0</v>
          </cell>
          <cell r="AA23">
            <v>8393</v>
          </cell>
          <cell r="AB23">
            <v>446</v>
          </cell>
          <cell r="AC23">
            <v>89</v>
          </cell>
          <cell r="AD23">
            <v>0</v>
          </cell>
          <cell r="AE23">
            <v>0</v>
          </cell>
          <cell r="AF23">
            <v>0</v>
          </cell>
          <cell r="AG23">
            <v>0</v>
          </cell>
          <cell r="AH23">
            <v>0</v>
          </cell>
          <cell r="AI23">
            <v>0</v>
          </cell>
          <cell r="AM23">
            <v>0</v>
          </cell>
          <cell r="AN23">
            <v>0</v>
          </cell>
          <cell r="AO23">
            <v>0</v>
          </cell>
          <cell r="AP23">
            <v>916397</v>
          </cell>
          <cell r="AQ23">
            <v>48274</v>
          </cell>
          <cell r="AR23">
            <v>9655</v>
          </cell>
          <cell r="AS23">
            <v>-232757</v>
          </cell>
          <cell r="AT23">
            <v>-228099</v>
          </cell>
          <cell r="AU23">
            <v>0</v>
          </cell>
          <cell r="AV23">
            <v>-4655</v>
          </cell>
          <cell r="AW23">
            <v>-465511</v>
          </cell>
          <cell r="AX23">
            <v>-2970160</v>
          </cell>
          <cell r="AY23">
            <v>-2910759</v>
          </cell>
          <cell r="AZ23">
            <v>0</v>
          </cell>
          <cell r="BA23">
            <v>-59405</v>
          </cell>
          <cell r="BB23">
            <v>-5940324</v>
          </cell>
          <cell r="BC23">
            <v>62618001</v>
          </cell>
          <cell r="BD23">
            <v>-4137817</v>
          </cell>
          <cell r="BE23">
            <v>1860457</v>
          </cell>
          <cell r="BF23">
            <v>0</v>
          </cell>
          <cell r="BG23">
            <v>-7569114</v>
          </cell>
          <cell r="BH23">
            <v>-158983</v>
          </cell>
          <cell r="BI23">
            <v>-25287</v>
          </cell>
          <cell r="BJ23">
            <v>-852</v>
          </cell>
          <cell r="BK23">
            <v>-3059203</v>
          </cell>
          <cell r="BL23">
            <v>-86069</v>
          </cell>
          <cell r="BM23">
            <v>-44483</v>
          </cell>
          <cell r="BN23">
            <v>-21426</v>
          </cell>
          <cell r="BO23">
            <v>-13205</v>
          </cell>
          <cell r="BP23">
            <v>-37077</v>
          </cell>
          <cell r="BQ23">
            <v>0</v>
          </cell>
          <cell r="BR23">
            <v>0</v>
          </cell>
          <cell r="BS23">
            <v>0</v>
          </cell>
          <cell r="BT23">
            <v>62931587</v>
          </cell>
          <cell r="BU23">
            <v>-734050</v>
          </cell>
          <cell r="BV23">
            <v>1895114</v>
          </cell>
          <cell r="BW23">
            <v>-2086122</v>
          </cell>
          <cell r="BX23">
            <v>-5998126</v>
          </cell>
          <cell r="BY23">
            <v>-4355102</v>
          </cell>
          <cell r="BZ23">
            <v>64273969</v>
          </cell>
          <cell r="CA23">
            <v>-2999063</v>
          </cell>
          <cell r="CB23">
            <v>-2939082</v>
          </cell>
          <cell r="CC23">
            <v>0</v>
          </cell>
          <cell r="CD23">
            <v>-59981</v>
          </cell>
          <cell r="CE23">
            <v>-2177551</v>
          </cell>
          <cell r="CF23">
            <v>-2134000</v>
          </cell>
          <cell r="CG23">
            <v>0</v>
          </cell>
          <cell r="CH23">
            <v>-43551</v>
          </cell>
        </row>
        <row r="24">
          <cell r="A24">
            <v>17</v>
          </cell>
          <cell r="B24" t="str">
            <v>Bedford UA</v>
          </cell>
          <cell r="C24" t="str">
            <v>E0202</v>
          </cell>
          <cell r="D24">
            <v>226153</v>
          </cell>
          <cell r="H24">
            <v>-4672669</v>
          </cell>
          <cell r="I24">
            <v>0</v>
          </cell>
          <cell r="J24">
            <v>226153</v>
          </cell>
          <cell r="K24">
            <v>0</v>
          </cell>
          <cell r="L24">
            <v>449000</v>
          </cell>
          <cell r="M24">
            <v>0</v>
          </cell>
          <cell r="N24">
            <v>0</v>
          </cell>
          <cell r="O24">
            <v>0</v>
          </cell>
          <cell r="P24">
            <v>0</v>
          </cell>
          <cell r="Q24">
            <v>0</v>
          </cell>
          <cell r="R24">
            <v>1143838</v>
          </cell>
          <cell r="S24">
            <v>0</v>
          </cell>
          <cell r="T24">
            <v>23344</v>
          </cell>
          <cell r="U24">
            <v>4728</v>
          </cell>
          <cell r="V24">
            <v>0</v>
          </cell>
          <cell r="W24">
            <v>96</v>
          </cell>
          <cell r="X24">
            <v>1276</v>
          </cell>
          <cell r="Y24">
            <v>0</v>
          </cell>
          <cell r="Z24">
            <v>26</v>
          </cell>
          <cell r="AA24">
            <v>5389</v>
          </cell>
          <cell r="AB24">
            <v>0</v>
          </cell>
          <cell r="AC24">
            <v>110</v>
          </cell>
          <cell r="AD24">
            <v>0</v>
          </cell>
          <cell r="AE24">
            <v>0</v>
          </cell>
          <cell r="AF24">
            <v>0</v>
          </cell>
          <cell r="AG24">
            <v>0</v>
          </cell>
          <cell r="AH24">
            <v>0</v>
          </cell>
          <cell r="AI24">
            <v>0</v>
          </cell>
          <cell r="AM24">
            <v>0</v>
          </cell>
          <cell r="AN24">
            <v>0</v>
          </cell>
          <cell r="AO24">
            <v>0</v>
          </cell>
          <cell r="AP24">
            <v>443296</v>
          </cell>
          <cell r="AQ24">
            <v>0</v>
          </cell>
          <cell r="AR24">
            <v>8909</v>
          </cell>
          <cell r="AS24">
            <v>-1209808</v>
          </cell>
          <cell r="AT24">
            <v>-1185611</v>
          </cell>
          <cell r="AU24">
            <v>0</v>
          </cell>
          <cell r="AV24">
            <v>-24196</v>
          </cell>
          <cell r="AW24">
            <v>-2419615</v>
          </cell>
          <cell r="AX24">
            <v>-3224608</v>
          </cell>
          <cell r="AY24">
            <v>-3160117</v>
          </cell>
          <cell r="AZ24">
            <v>0</v>
          </cell>
          <cell r="BA24">
            <v>-64492</v>
          </cell>
          <cell r="BB24">
            <v>-6449217</v>
          </cell>
          <cell r="BC24">
            <v>65896682</v>
          </cell>
          <cell r="BD24">
            <v>-3343638</v>
          </cell>
          <cell r="BE24">
            <v>1856716</v>
          </cell>
          <cell r="BF24">
            <v>0</v>
          </cell>
          <cell r="BG24">
            <v>-5381995</v>
          </cell>
          <cell r="BH24">
            <v>-149756</v>
          </cell>
          <cell r="BI24">
            <v>-42601</v>
          </cell>
          <cell r="BJ24">
            <v>0</v>
          </cell>
          <cell r="BK24">
            <v>-1855343</v>
          </cell>
          <cell r="BL24">
            <v>-121139</v>
          </cell>
          <cell r="BM24">
            <v>-30666</v>
          </cell>
          <cell r="BN24">
            <v>-1454</v>
          </cell>
          <cell r="BO24">
            <v>-35658</v>
          </cell>
          <cell r="BP24">
            <v>-26943</v>
          </cell>
          <cell r="BQ24">
            <v>0</v>
          </cell>
          <cell r="BR24">
            <v>0</v>
          </cell>
          <cell r="BS24">
            <v>0</v>
          </cell>
          <cell r="BT24">
            <v>69036366</v>
          </cell>
          <cell r="BU24">
            <v>-254880</v>
          </cell>
          <cell r="BV24">
            <v>3207041</v>
          </cell>
          <cell r="BW24">
            <v>-898353</v>
          </cell>
          <cell r="BX24">
            <v>-434903</v>
          </cell>
          <cell r="BY24">
            <v>0</v>
          </cell>
          <cell r="BZ24">
            <v>59309876</v>
          </cell>
          <cell r="CA24">
            <v>-217451</v>
          </cell>
          <cell r="CB24">
            <v>-213103</v>
          </cell>
          <cell r="CC24">
            <v>0</v>
          </cell>
          <cell r="CD24">
            <v>-4349</v>
          </cell>
          <cell r="CE24">
            <v>0</v>
          </cell>
          <cell r="CF24">
            <v>0</v>
          </cell>
          <cell r="CG24">
            <v>0</v>
          </cell>
          <cell r="CH24">
            <v>0</v>
          </cell>
        </row>
        <row r="25">
          <cell r="A25">
            <v>18</v>
          </cell>
          <cell r="B25" t="str">
            <v>Bexley</v>
          </cell>
          <cell r="C25" t="str">
            <v>E5032</v>
          </cell>
          <cell r="D25">
            <v>247577</v>
          </cell>
          <cell r="H25">
            <v>-639747</v>
          </cell>
          <cell r="I25">
            <v>0</v>
          </cell>
          <cell r="J25">
            <v>247577</v>
          </cell>
          <cell r="K25">
            <v>0</v>
          </cell>
          <cell r="L25">
            <v>0</v>
          </cell>
          <cell r="M25">
            <v>0</v>
          </cell>
          <cell r="N25">
            <v>0</v>
          </cell>
          <cell r="O25">
            <v>0</v>
          </cell>
          <cell r="P25">
            <v>0</v>
          </cell>
          <cell r="Q25">
            <v>0</v>
          </cell>
          <cell r="R25">
            <v>845889</v>
          </cell>
          <cell r="S25">
            <v>1043264</v>
          </cell>
          <cell r="T25">
            <v>0</v>
          </cell>
          <cell r="U25">
            <v>0</v>
          </cell>
          <cell r="V25">
            <v>0</v>
          </cell>
          <cell r="W25">
            <v>0</v>
          </cell>
          <cell r="X25">
            <v>0</v>
          </cell>
          <cell r="Y25">
            <v>0</v>
          </cell>
          <cell r="Z25">
            <v>0</v>
          </cell>
          <cell r="AA25">
            <v>590</v>
          </cell>
          <cell r="AB25">
            <v>728</v>
          </cell>
          <cell r="AC25">
            <v>0</v>
          </cell>
          <cell r="AD25">
            <v>0</v>
          </cell>
          <cell r="AE25">
            <v>0</v>
          </cell>
          <cell r="AF25">
            <v>0</v>
          </cell>
          <cell r="AG25">
            <v>0</v>
          </cell>
          <cell r="AH25">
            <v>0</v>
          </cell>
          <cell r="AI25">
            <v>0</v>
          </cell>
          <cell r="AM25">
            <v>0</v>
          </cell>
          <cell r="AN25">
            <v>0</v>
          </cell>
          <cell r="AO25">
            <v>0</v>
          </cell>
          <cell r="AP25">
            <v>328829</v>
          </cell>
          <cell r="AQ25">
            <v>405556</v>
          </cell>
          <cell r="AR25">
            <v>0</v>
          </cell>
          <cell r="AS25">
            <v>-823500</v>
          </cell>
          <cell r="AT25">
            <v>-494100</v>
          </cell>
          <cell r="AU25">
            <v>-329400</v>
          </cell>
          <cell r="AV25">
            <v>0</v>
          </cell>
          <cell r="AW25">
            <v>-1647000</v>
          </cell>
          <cell r="AX25">
            <v>-4464448</v>
          </cell>
          <cell r="AY25">
            <v>-2678671</v>
          </cell>
          <cell r="AZ25">
            <v>-1785780</v>
          </cell>
          <cell r="BA25">
            <v>0</v>
          </cell>
          <cell r="BB25">
            <v>-8928899</v>
          </cell>
          <cell r="BC25">
            <v>71725761</v>
          </cell>
          <cell r="BD25">
            <v>-4065796</v>
          </cell>
          <cell r="BE25">
            <v>1885533</v>
          </cell>
          <cell r="BF25">
            <v>0</v>
          </cell>
          <cell r="BG25">
            <v>-7019576</v>
          </cell>
          <cell r="BH25">
            <v>-102521</v>
          </cell>
          <cell r="BI25">
            <v>0</v>
          </cell>
          <cell r="BJ25">
            <v>-64329</v>
          </cell>
          <cell r="BK25">
            <v>-1365148</v>
          </cell>
          <cell r="BL25">
            <v>0</v>
          </cell>
          <cell r="BM25">
            <v>0</v>
          </cell>
          <cell r="BN25">
            <v>0</v>
          </cell>
          <cell r="BO25">
            <v>0</v>
          </cell>
          <cell r="BP25">
            <v>0</v>
          </cell>
          <cell r="BQ25">
            <v>0</v>
          </cell>
          <cell r="BR25">
            <v>0</v>
          </cell>
          <cell r="BS25">
            <v>0</v>
          </cell>
          <cell r="BT25">
            <v>73262633</v>
          </cell>
          <cell r="BU25">
            <v>0</v>
          </cell>
          <cell r="BV25">
            <v>1767267</v>
          </cell>
          <cell r="BW25">
            <v>-2782104</v>
          </cell>
          <cell r="BX25">
            <v>-958457</v>
          </cell>
          <cell r="BY25">
            <v>473496</v>
          </cell>
          <cell r="BZ25">
            <v>72968732</v>
          </cell>
          <cell r="CA25">
            <v>-479228</v>
          </cell>
          <cell r="CB25">
            <v>-287538</v>
          </cell>
          <cell r="CC25">
            <v>-191691</v>
          </cell>
          <cell r="CD25">
            <v>0</v>
          </cell>
          <cell r="CE25">
            <v>236748</v>
          </cell>
          <cell r="CF25">
            <v>142049</v>
          </cell>
          <cell r="CG25">
            <v>94699</v>
          </cell>
          <cell r="CH25">
            <v>0</v>
          </cell>
        </row>
        <row r="26">
          <cell r="A26">
            <v>19</v>
          </cell>
          <cell r="B26" t="str">
            <v>Birmingham</v>
          </cell>
          <cell r="C26" t="str">
            <v>E4601</v>
          </cell>
          <cell r="D26">
            <v>1893141</v>
          </cell>
          <cell r="H26">
            <v>-3428934</v>
          </cell>
          <cell r="I26">
            <v>0</v>
          </cell>
          <cell r="J26">
            <v>1893141</v>
          </cell>
          <cell r="K26">
            <v>1524577</v>
          </cell>
          <cell r="L26">
            <v>0</v>
          </cell>
          <cell r="M26">
            <v>0</v>
          </cell>
          <cell r="N26">
            <v>0</v>
          </cell>
          <cell r="O26">
            <v>0</v>
          </cell>
          <cell r="P26">
            <v>0</v>
          </cell>
          <cell r="Q26">
            <v>0</v>
          </cell>
          <cell r="R26">
            <v>17280582</v>
          </cell>
          <cell r="S26">
            <v>0</v>
          </cell>
          <cell r="T26">
            <v>171536</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M26">
            <v>0</v>
          </cell>
          <cell r="AN26">
            <v>0</v>
          </cell>
          <cell r="AO26">
            <v>0</v>
          </cell>
          <cell r="AP26">
            <v>6021003</v>
          </cell>
          <cell r="AQ26">
            <v>0</v>
          </cell>
          <cell r="AR26">
            <v>60587</v>
          </cell>
          <cell r="AS26">
            <v>-26597211</v>
          </cell>
          <cell r="AT26">
            <v>-26065269</v>
          </cell>
          <cell r="AU26">
            <v>0</v>
          </cell>
          <cell r="AV26">
            <v>-531945</v>
          </cell>
          <cell r="AW26">
            <v>-53194425</v>
          </cell>
          <cell r="AX26">
            <v>-26304407</v>
          </cell>
          <cell r="AY26">
            <v>-25778318</v>
          </cell>
          <cell r="AZ26">
            <v>0</v>
          </cell>
          <cell r="BA26">
            <v>-526088</v>
          </cell>
          <cell r="BB26">
            <v>-52608813</v>
          </cell>
          <cell r="BC26">
            <v>411407320</v>
          </cell>
          <cell r="BD26">
            <v>-24872090</v>
          </cell>
          <cell r="BE26">
            <v>12117962</v>
          </cell>
          <cell r="BF26">
            <v>0</v>
          </cell>
          <cell r="BG26">
            <v>-31041926</v>
          </cell>
          <cell r="BH26">
            <v>-131345</v>
          </cell>
          <cell r="BI26">
            <v>0</v>
          </cell>
          <cell r="BJ26">
            <v>-146141</v>
          </cell>
          <cell r="BK26">
            <v>-27630306</v>
          </cell>
          <cell r="BL26">
            <v>-53459</v>
          </cell>
          <cell r="BM26">
            <v>-842913</v>
          </cell>
          <cell r="BN26">
            <v>0</v>
          </cell>
          <cell r="BO26">
            <v>0</v>
          </cell>
          <cell r="BP26">
            <v>0</v>
          </cell>
          <cell r="BQ26">
            <v>-739983</v>
          </cell>
          <cell r="BR26">
            <v>-910956</v>
          </cell>
          <cell r="BS26">
            <v>0</v>
          </cell>
          <cell r="BT26">
            <v>429422975</v>
          </cell>
          <cell r="BU26">
            <v>-10758570</v>
          </cell>
          <cell r="BV26">
            <v>95231971</v>
          </cell>
          <cell r="BW26">
            <v>-19651025</v>
          </cell>
          <cell r="BX26">
            <v>-23874625</v>
          </cell>
          <cell r="BY26">
            <v>-20227100</v>
          </cell>
          <cell r="BZ26">
            <v>403335568</v>
          </cell>
          <cell r="CA26">
            <v>-11937312</v>
          </cell>
          <cell r="CB26">
            <v>-11698567</v>
          </cell>
          <cell r="CC26">
            <v>0</v>
          </cell>
          <cell r="CD26">
            <v>-238746</v>
          </cell>
          <cell r="CE26">
            <v>-10113550</v>
          </cell>
          <cell r="CF26">
            <v>-9911279</v>
          </cell>
          <cell r="CG26">
            <v>0</v>
          </cell>
          <cell r="CH26">
            <v>-202271</v>
          </cell>
        </row>
        <row r="27">
          <cell r="A27">
            <v>20</v>
          </cell>
          <cell r="B27" t="str">
            <v>Blaby</v>
          </cell>
          <cell r="C27" t="str">
            <v>E2431</v>
          </cell>
          <cell r="D27">
            <v>101839</v>
          </cell>
          <cell r="H27">
            <v>220792</v>
          </cell>
          <cell r="I27">
            <v>0</v>
          </cell>
          <cell r="J27">
            <v>101839</v>
          </cell>
          <cell r="K27">
            <v>0</v>
          </cell>
          <cell r="L27">
            <v>0</v>
          </cell>
          <cell r="M27">
            <v>0</v>
          </cell>
          <cell r="N27">
            <v>0</v>
          </cell>
          <cell r="O27">
            <v>0</v>
          </cell>
          <cell r="P27">
            <v>0</v>
          </cell>
          <cell r="Q27">
            <v>0</v>
          </cell>
          <cell r="R27">
            <v>343560</v>
          </cell>
          <cell r="S27">
            <v>77301</v>
          </cell>
          <cell r="T27">
            <v>8589</v>
          </cell>
          <cell r="U27">
            <v>1229</v>
          </cell>
          <cell r="V27">
            <v>277</v>
          </cell>
          <cell r="W27">
            <v>31</v>
          </cell>
          <cell r="X27">
            <v>10696</v>
          </cell>
          <cell r="Y27">
            <v>2407</v>
          </cell>
          <cell r="Z27">
            <v>267</v>
          </cell>
          <cell r="AA27">
            <v>0</v>
          </cell>
          <cell r="AB27">
            <v>0</v>
          </cell>
          <cell r="AC27">
            <v>0</v>
          </cell>
          <cell r="AD27">
            <v>0</v>
          </cell>
          <cell r="AE27">
            <v>0</v>
          </cell>
          <cell r="AF27">
            <v>0</v>
          </cell>
          <cell r="AG27">
            <v>0</v>
          </cell>
          <cell r="AH27">
            <v>0</v>
          </cell>
          <cell r="AI27">
            <v>0</v>
          </cell>
          <cell r="AM27">
            <v>0</v>
          </cell>
          <cell r="AN27">
            <v>0</v>
          </cell>
          <cell r="AO27">
            <v>0</v>
          </cell>
          <cell r="AP27">
            <v>258551</v>
          </cell>
          <cell r="AQ27">
            <v>58174</v>
          </cell>
          <cell r="AR27">
            <v>6464</v>
          </cell>
          <cell r="AS27">
            <v>-104575</v>
          </cell>
          <cell r="AT27">
            <v>-83660</v>
          </cell>
          <cell r="AU27">
            <v>-18824</v>
          </cell>
          <cell r="AV27">
            <v>-2092</v>
          </cell>
          <cell r="AW27">
            <v>-209151</v>
          </cell>
          <cell r="AX27">
            <v>-2141558</v>
          </cell>
          <cell r="AY27">
            <v>-1713245</v>
          </cell>
          <cell r="AZ27">
            <v>-385480</v>
          </cell>
          <cell r="BA27">
            <v>-42832</v>
          </cell>
          <cell r="BB27">
            <v>-4283115</v>
          </cell>
          <cell r="BC27">
            <v>43552889</v>
          </cell>
          <cell r="BD27">
            <v>-1382779</v>
          </cell>
          <cell r="BE27">
            <v>1140861</v>
          </cell>
          <cell r="BF27">
            <v>0</v>
          </cell>
          <cell r="BG27">
            <v>-973894</v>
          </cell>
          <cell r="BH27">
            <v>-45375</v>
          </cell>
          <cell r="BI27">
            <v>0</v>
          </cell>
          <cell r="BJ27">
            <v>-5206</v>
          </cell>
          <cell r="BK27">
            <v>-849447</v>
          </cell>
          <cell r="BL27">
            <v>-51194</v>
          </cell>
          <cell r="BM27">
            <v>-3531</v>
          </cell>
          <cell r="BN27">
            <v>-4651</v>
          </cell>
          <cell r="BO27">
            <v>0</v>
          </cell>
          <cell r="BP27">
            <v>0</v>
          </cell>
          <cell r="BQ27">
            <v>0</v>
          </cell>
          <cell r="BR27">
            <v>0</v>
          </cell>
          <cell r="BS27">
            <v>0</v>
          </cell>
          <cell r="BT27">
            <v>43597965</v>
          </cell>
          <cell r="BU27">
            <v>0</v>
          </cell>
          <cell r="BV27">
            <v>965553</v>
          </cell>
          <cell r="BW27">
            <v>-1176701</v>
          </cell>
          <cell r="BX27">
            <v>2578509</v>
          </cell>
          <cell r="BY27">
            <v>1582560</v>
          </cell>
          <cell r="BZ27">
            <v>43030227</v>
          </cell>
          <cell r="CA27">
            <v>1289254</v>
          </cell>
          <cell r="CB27">
            <v>1031404</v>
          </cell>
          <cell r="CC27">
            <v>232065</v>
          </cell>
          <cell r="CD27">
            <v>25786</v>
          </cell>
          <cell r="CE27">
            <v>791280</v>
          </cell>
          <cell r="CF27">
            <v>633024</v>
          </cell>
          <cell r="CG27">
            <v>142430</v>
          </cell>
          <cell r="CH27">
            <v>15826</v>
          </cell>
        </row>
        <row r="28">
          <cell r="A28">
            <v>21</v>
          </cell>
          <cell r="B28" t="str">
            <v>Blackburn with Darwen</v>
          </cell>
          <cell r="C28" t="str">
            <v>E2301</v>
          </cell>
          <cell r="D28">
            <v>247772</v>
          </cell>
          <cell r="H28">
            <v>-5000000</v>
          </cell>
          <cell r="I28">
            <v>0</v>
          </cell>
          <cell r="J28">
            <v>247772</v>
          </cell>
          <cell r="K28">
            <v>0</v>
          </cell>
          <cell r="L28">
            <v>0</v>
          </cell>
          <cell r="M28">
            <v>0</v>
          </cell>
          <cell r="N28">
            <v>0</v>
          </cell>
          <cell r="O28">
            <v>0</v>
          </cell>
          <cell r="P28">
            <v>0</v>
          </cell>
          <cell r="Q28">
            <v>0</v>
          </cell>
          <cell r="R28">
            <v>1612692</v>
          </cell>
          <cell r="S28">
            <v>0</v>
          </cell>
          <cell r="T28">
            <v>32912</v>
          </cell>
          <cell r="U28">
            <v>7461</v>
          </cell>
          <cell r="V28">
            <v>0</v>
          </cell>
          <cell r="W28">
            <v>152</v>
          </cell>
          <cell r="X28">
            <v>99472</v>
          </cell>
          <cell r="Y28">
            <v>0</v>
          </cell>
          <cell r="Z28">
            <v>2030</v>
          </cell>
          <cell r="AA28">
            <v>24868</v>
          </cell>
          <cell r="AB28">
            <v>0</v>
          </cell>
          <cell r="AC28">
            <v>508</v>
          </cell>
          <cell r="AD28">
            <v>0</v>
          </cell>
          <cell r="AE28">
            <v>0</v>
          </cell>
          <cell r="AF28">
            <v>0</v>
          </cell>
          <cell r="AG28">
            <v>0</v>
          </cell>
          <cell r="AH28">
            <v>0</v>
          </cell>
          <cell r="AI28">
            <v>0</v>
          </cell>
          <cell r="AM28">
            <v>0</v>
          </cell>
          <cell r="AN28">
            <v>0</v>
          </cell>
          <cell r="AO28">
            <v>0</v>
          </cell>
          <cell r="AP28">
            <v>289629</v>
          </cell>
          <cell r="AQ28">
            <v>0</v>
          </cell>
          <cell r="AR28">
            <v>5911</v>
          </cell>
          <cell r="AS28">
            <v>-968000</v>
          </cell>
          <cell r="AT28">
            <v>-948640</v>
          </cell>
          <cell r="AU28">
            <v>0</v>
          </cell>
          <cell r="AV28">
            <v>-19360</v>
          </cell>
          <cell r="AW28">
            <v>-1936000</v>
          </cell>
          <cell r="AX28">
            <v>-3161764</v>
          </cell>
          <cell r="AY28">
            <v>-3098531</v>
          </cell>
          <cell r="AZ28">
            <v>0</v>
          </cell>
          <cell r="BA28">
            <v>-63237</v>
          </cell>
          <cell r="BB28">
            <v>-6323532</v>
          </cell>
          <cell r="BC28">
            <v>45989784</v>
          </cell>
          <cell r="BD28">
            <v>-5584229</v>
          </cell>
          <cell r="BE28">
            <v>1378013</v>
          </cell>
          <cell r="BF28">
            <v>0</v>
          </cell>
          <cell r="BG28">
            <v>-4792298</v>
          </cell>
          <cell r="BH28">
            <v>-79814</v>
          </cell>
          <cell r="BI28">
            <v>-2348</v>
          </cell>
          <cell r="BJ28">
            <v>-85010</v>
          </cell>
          <cell r="BK28">
            <v>-2619257</v>
          </cell>
          <cell r="BL28">
            <v>-29080</v>
          </cell>
          <cell r="BM28">
            <v>-536</v>
          </cell>
          <cell r="BN28">
            <v>0</v>
          </cell>
          <cell r="BO28">
            <v>-837</v>
          </cell>
          <cell r="BP28">
            <v>0</v>
          </cell>
          <cell r="BQ28">
            <v>-57668</v>
          </cell>
          <cell r="BR28">
            <v>0</v>
          </cell>
          <cell r="BS28">
            <v>0</v>
          </cell>
          <cell r="BT28">
            <v>48691393</v>
          </cell>
          <cell r="BU28">
            <v>-308805</v>
          </cell>
          <cell r="BV28">
            <v>3273644</v>
          </cell>
          <cell r="BW28">
            <v>-943236</v>
          </cell>
          <cell r="BX28">
            <v>-2117012</v>
          </cell>
          <cell r="BY28">
            <v>-906953</v>
          </cell>
          <cell r="BZ28">
            <v>39348980</v>
          </cell>
          <cell r="CA28">
            <v>-1058506</v>
          </cell>
          <cell r="CB28">
            <v>-1037336</v>
          </cell>
          <cell r="CC28">
            <v>0</v>
          </cell>
          <cell r="CD28">
            <v>-21170</v>
          </cell>
          <cell r="CE28">
            <v>-453476</v>
          </cell>
          <cell r="CF28">
            <v>-444407</v>
          </cell>
          <cell r="CG28">
            <v>0</v>
          </cell>
          <cell r="CH28">
            <v>-9070</v>
          </cell>
        </row>
        <row r="29">
          <cell r="A29">
            <v>22</v>
          </cell>
          <cell r="B29" t="str">
            <v>Blackpool</v>
          </cell>
          <cell r="C29" t="str">
            <v>E2302</v>
          </cell>
          <cell r="D29">
            <v>261549</v>
          </cell>
          <cell r="H29">
            <v>-3823333</v>
          </cell>
          <cell r="I29">
            <v>-135660</v>
          </cell>
          <cell r="J29">
            <v>261549</v>
          </cell>
          <cell r="K29">
            <v>199308</v>
          </cell>
          <cell r="L29">
            <v>0</v>
          </cell>
          <cell r="M29">
            <v>0</v>
          </cell>
          <cell r="N29">
            <v>20508</v>
          </cell>
          <cell r="O29">
            <v>20508</v>
          </cell>
          <cell r="P29">
            <v>0</v>
          </cell>
          <cell r="Q29">
            <v>0</v>
          </cell>
          <cell r="R29">
            <v>1945650</v>
          </cell>
          <cell r="S29">
            <v>0</v>
          </cell>
          <cell r="T29">
            <v>38472</v>
          </cell>
          <cell r="U29">
            <v>2202</v>
          </cell>
          <cell r="V29">
            <v>0</v>
          </cell>
          <cell r="W29">
            <v>45</v>
          </cell>
          <cell r="X29">
            <v>0</v>
          </cell>
          <cell r="Y29">
            <v>0</v>
          </cell>
          <cell r="Z29">
            <v>0</v>
          </cell>
          <cell r="AA29">
            <v>11692</v>
          </cell>
          <cell r="AB29">
            <v>0</v>
          </cell>
          <cell r="AC29">
            <v>239</v>
          </cell>
          <cell r="AD29">
            <v>0</v>
          </cell>
          <cell r="AE29">
            <v>0</v>
          </cell>
          <cell r="AF29">
            <v>0</v>
          </cell>
          <cell r="AG29">
            <v>0</v>
          </cell>
          <cell r="AH29">
            <v>0</v>
          </cell>
          <cell r="AI29">
            <v>0</v>
          </cell>
          <cell r="AM29">
            <v>0</v>
          </cell>
          <cell r="AN29">
            <v>0</v>
          </cell>
          <cell r="AO29">
            <v>0</v>
          </cell>
          <cell r="AP29">
            <v>318160</v>
          </cell>
          <cell r="AQ29">
            <v>0</v>
          </cell>
          <cell r="AR29">
            <v>6426</v>
          </cell>
          <cell r="AS29">
            <v>-1135001</v>
          </cell>
          <cell r="AT29">
            <v>-1112300</v>
          </cell>
          <cell r="AU29">
            <v>0</v>
          </cell>
          <cell r="AV29">
            <v>-22699</v>
          </cell>
          <cell r="AW29">
            <v>-2270000</v>
          </cell>
          <cell r="AX29">
            <v>-3907250</v>
          </cell>
          <cell r="AY29">
            <v>-3829106</v>
          </cell>
          <cell r="AZ29">
            <v>0</v>
          </cell>
          <cell r="BA29">
            <v>-78145</v>
          </cell>
          <cell r="BB29">
            <v>-7814501</v>
          </cell>
          <cell r="BC29">
            <v>51002775</v>
          </cell>
          <cell r="BD29">
            <v>-6336705</v>
          </cell>
          <cell r="BE29">
            <v>1376051</v>
          </cell>
          <cell r="BF29">
            <v>0</v>
          </cell>
          <cell r="BG29">
            <v>-2679729</v>
          </cell>
          <cell r="BH29">
            <v>0</v>
          </cell>
          <cell r="BI29">
            <v>0</v>
          </cell>
          <cell r="BJ29">
            <v>0</v>
          </cell>
          <cell r="BK29">
            <v>-1957958</v>
          </cell>
          <cell r="BL29">
            <v>-4001</v>
          </cell>
          <cell r="BM29">
            <v>-25458</v>
          </cell>
          <cell r="BN29">
            <v>0</v>
          </cell>
          <cell r="BO29">
            <v>0</v>
          </cell>
          <cell r="BP29">
            <v>0</v>
          </cell>
          <cell r="BQ29">
            <v>-28344</v>
          </cell>
          <cell r="BR29">
            <v>0</v>
          </cell>
          <cell r="BS29">
            <v>-28344</v>
          </cell>
          <cell r="BT29">
            <v>53642062</v>
          </cell>
          <cell r="BU29">
            <v>-1155977</v>
          </cell>
          <cell r="BV29">
            <v>5987416</v>
          </cell>
          <cell r="BW29">
            <v>-116778</v>
          </cell>
          <cell r="BX29">
            <v>784593</v>
          </cell>
          <cell r="BY29">
            <v>-238804</v>
          </cell>
          <cell r="BZ29">
            <v>42776659</v>
          </cell>
          <cell r="CA29">
            <v>392296</v>
          </cell>
          <cell r="CB29">
            <v>384451</v>
          </cell>
          <cell r="CC29">
            <v>0</v>
          </cell>
          <cell r="CD29">
            <v>7846</v>
          </cell>
          <cell r="CE29">
            <v>-119402</v>
          </cell>
          <cell r="CF29">
            <v>-117014</v>
          </cell>
          <cell r="CG29">
            <v>0</v>
          </cell>
          <cell r="CH29">
            <v>-2388</v>
          </cell>
        </row>
        <row r="30">
          <cell r="A30">
            <v>23</v>
          </cell>
          <cell r="B30" t="str">
            <v>Bolsover</v>
          </cell>
          <cell r="C30" t="str">
            <v>E1032</v>
          </cell>
          <cell r="D30">
            <v>96880</v>
          </cell>
          <cell r="H30">
            <v>145527</v>
          </cell>
          <cell r="I30">
            <v>0</v>
          </cell>
          <cell r="J30">
            <v>96880</v>
          </cell>
          <cell r="K30">
            <v>0</v>
          </cell>
          <cell r="L30">
            <v>43541</v>
          </cell>
          <cell r="M30">
            <v>0</v>
          </cell>
          <cell r="N30">
            <v>0</v>
          </cell>
          <cell r="O30">
            <v>0</v>
          </cell>
          <cell r="P30">
            <v>0</v>
          </cell>
          <cell r="Q30">
            <v>0</v>
          </cell>
          <cell r="R30">
            <v>330352</v>
          </cell>
          <cell r="S30">
            <v>74329</v>
          </cell>
          <cell r="T30">
            <v>8259</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M30">
            <v>0</v>
          </cell>
          <cell r="AN30">
            <v>0</v>
          </cell>
          <cell r="AO30">
            <v>0</v>
          </cell>
          <cell r="AP30">
            <v>149453</v>
          </cell>
          <cell r="AQ30">
            <v>33480</v>
          </cell>
          <cell r="AR30">
            <v>3720</v>
          </cell>
          <cell r="AS30">
            <v>-81728</v>
          </cell>
          <cell r="AT30">
            <v>-65384</v>
          </cell>
          <cell r="AU30">
            <v>-14711</v>
          </cell>
          <cell r="AV30">
            <v>-1635</v>
          </cell>
          <cell r="AW30">
            <v>-163458</v>
          </cell>
          <cell r="AX30">
            <v>-1333688</v>
          </cell>
          <cell r="AY30">
            <v>-1066950</v>
          </cell>
          <cell r="AZ30">
            <v>-240063</v>
          </cell>
          <cell r="BA30">
            <v>-26674</v>
          </cell>
          <cell r="BB30">
            <v>-2667375</v>
          </cell>
          <cell r="BC30">
            <v>26392122</v>
          </cell>
          <cell r="BD30">
            <v>-1433287</v>
          </cell>
          <cell r="BE30">
            <v>653214</v>
          </cell>
          <cell r="BF30">
            <v>0</v>
          </cell>
          <cell r="BG30">
            <v>-558437</v>
          </cell>
          <cell r="BH30">
            <v>0</v>
          </cell>
          <cell r="BI30">
            <v>-8941</v>
          </cell>
          <cell r="BJ30">
            <v>-79044</v>
          </cell>
          <cell r="BK30">
            <v>-337437</v>
          </cell>
          <cell r="BL30">
            <v>0</v>
          </cell>
          <cell r="BM30">
            <v>-14807</v>
          </cell>
          <cell r="BN30">
            <v>0</v>
          </cell>
          <cell r="BO30">
            <v>0</v>
          </cell>
          <cell r="BP30">
            <v>0</v>
          </cell>
          <cell r="BQ30">
            <v>0</v>
          </cell>
          <cell r="BR30">
            <v>0</v>
          </cell>
          <cell r="BS30">
            <v>0</v>
          </cell>
          <cell r="BT30">
            <v>26270073</v>
          </cell>
          <cell r="BU30">
            <v>0</v>
          </cell>
          <cell r="BV30">
            <v>292077</v>
          </cell>
          <cell r="BW30">
            <v>-815803</v>
          </cell>
          <cell r="BX30">
            <v>2769988</v>
          </cell>
          <cell r="BY30">
            <v>2885897</v>
          </cell>
          <cell r="BZ30">
            <v>24764360</v>
          </cell>
          <cell r="CA30">
            <v>1384995</v>
          </cell>
          <cell r="CB30">
            <v>1107995</v>
          </cell>
          <cell r="CC30">
            <v>249298</v>
          </cell>
          <cell r="CD30">
            <v>27700</v>
          </cell>
          <cell r="CE30">
            <v>1442948</v>
          </cell>
          <cell r="CF30">
            <v>1154359</v>
          </cell>
          <cell r="CG30">
            <v>259731</v>
          </cell>
          <cell r="CH30">
            <v>28859</v>
          </cell>
        </row>
        <row r="31">
          <cell r="A31">
            <v>24</v>
          </cell>
          <cell r="B31" t="str">
            <v>Bolton</v>
          </cell>
          <cell r="C31" t="str">
            <v>E4201</v>
          </cell>
          <cell r="D31">
            <v>393126</v>
          </cell>
          <cell r="H31">
            <v>-5046000</v>
          </cell>
          <cell r="I31">
            <v>0</v>
          </cell>
          <cell r="J31">
            <v>393126</v>
          </cell>
          <cell r="K31">
            <v>0</v>
          </cell>
          <cell r="L31">
            <v>0</v>
          </cell>
          <cell r="M31">
            <v>0</v>
          </cell>
          <cell r="N31">
            <v>0</v>
          </cell>
          <cell r="O31">
            <v>0</v>
          </cell>
          <cell r="P31">
            <v>0</v>
          </cell>
          <cell r="Q31">
            <v>0</v>
          </cell>
          <cell r="R31">
            <v>5526792</v>
          </cell>
          <cell r="S31">
            <v>0</v>
          </cell>
          <cell r="T31">
            <v>55826</v>
          </cell>
          <cell r="U31">
            <v>0</v>
          </cell>
          <cell r="V31">
            <v>0</v>
          </cell>
          <cell r="W31">
            <v>0</v>
          </cell>
          <cell r="X31">
            <v>37180</v>
          </cell>
          <cell r="Y31">
            <v>0</v>
          </cell>
          <cell r="Z31">
            <v>376</v>
          </cell>
          <cell r="AA31">
            <v>5024</v>
          </cell>
          <cell r="AB31">
            <v>0</v>
          </cell>
          <cell r="AC31">
            <v>51</v>
          </cell>
          <cell r="AD31">
            <v>0</v>
          </cell>
          <cell r="AE31">
            <v>0</v>
          </cell>
          <cell r="AF31">
            <v>0</v>
          </cell>
          <cell r="AG31">
            <v>0</v>
          </cell>
          <cell r="AH31">
            <v>0</v>
          </cell>
          <cell r="AI31">
            <v>0</v>
          </cell>
          <cell r="AM31">
            <v>0</v>
          </cell>
          <cell r="AN31">
            <v>0</v>
          </cell>
          <cell r="AO31">
            <v>0</v>
          </cell>
          <cell r="AP31">
            <v>1150980</v>
          </cell>
          <cell r="AQ31">
            <v>0</v>
          </cell>
          <cell r="AR31">
            <v>11626</v>
          </cell>
          <cell r="AS31">
            <v>-2168088</v>
          </cell>
          <cell r="AT31">
            <v>-2124725</v>
          </cell>
          <cell r="AU31">
            <v>0</v>
          </cell>
          <cell r="AV31">
            <v>-43361</v>
          </cell>
          <cell r="AW31">
            <v>-4336174</v>
          </cell>
          <cell r="AX31">
            <v>-3432668</v>
          </cell>
          <cell r="AY31">
            <v>-3364014</v>
          </cell>
          <cell r="AZ31">
            <v>0</v>
          </cell>
          <cell r="BA31">
            <v>-68654</v>
          </cell>
          <cell r="BB31">
            <v>-6865336</v>
          </cell>
          <cell r="BC31">
            <v>87482508</v>
          </cell>
          <cell r="BD31">
            <v>-8175656</v>
          </cell>
          <cell r="BE31">
            <v>2481457</v>
          </cell>
          <cell r="BF31">
            <v>0</v>
          </cell>
          <cell r="BG31">
            <v>-6704946</v>
          </cell>
          <cell r="BH31">
            <v>-104575</v>
          </cell>
          <cell r="BI31">
            <v>0</v>
          </cell>
          <cell r="BJ31">
            <v>-68188</v>
          </cell>
          <cell r="BK31">
            <v>-4145942</v>
          </cell>
          <cell r="BL31">
            <v>-659031</v>
          </cell>
          <cell r="BM31">
            <v>-291727</v>
          </cell>
          <cell r="BN31">
            <v>-4477</v>
          </cell>
          <cell r="BO31">
            <v>0</v>
          </cell>
          <cell r="BP31">
            <v>0</v>
          </cell>
          <cell r="BQ31">
            <v>0</v>
          </cell>
          <cell r="BR31">
            <v>0</v>
          </cell>
          <cell r="BS31">
            <v>0</v>
          </cell>
          <cell r="BT31">
            <v>89189849</v>
          </cell>
          <cell r="BU31">
            <v>-2047592</v>
          </cell>
          <cell r="BV31">
            <v>7262035</v>
          </cell>
          <cell r="BW31">
            <v>-1822941</v>
          </cell>
          <cell r="BX31">
            <v>-9883657</v>
          </cell>
          <cell r="BY31">
            <v>-8958355</v>
          </cell>
          <cell r="BZ31">
            <v>77396357</v>
          </cell>
          <cell r="CA31">
            <v>-4941828</v>
          </cell>
          <cell r="CB31">
            <v>-4842992</v>
          </cell>
          <cell r="CC31">
            <v>0</v>
          </cell>
          <cell r="CD31">
            <v>-98837</v>
          </cell>
          <cell r="CE31">
            <v>-4479177</v>
          </cell>
          <cell r="CF31">
            <v>-4389594</v>
          </cell>
          <cell r="CG31">
            <v>0</v>
          </cell>
          <cell r="CH31">
            <v>-89584</v>
          </cell>
        </row>
        <row r="32">
          <cell r="A32">
            <v>25</v>
          </cell>
          <cell r="B32" t="str">
            <v>Boston</v>
          </cell>
          <cell r="C32" t="str">
            <v>E2531</v>
          </cell>
          <cell r="D32">
            <v>91296</v>
          </cell>
          <cell r="H32">
            <v>151158</v>
          </cell>
          <cell r="I32">
            <v>0</v>
          </cell>
          <cell r="J32">
            <v>91296</v>
          </cell>
          <cell r="K32">
            <v>0</v>
          </cell>
          <cell r="L32">
            <v>188057</v>
          </cell>
          <cell r="M32">
            <v>0</v>
          </cell>
          <cell r="N32">
            <v>0</v>
          </cell>
          <cell r="O32">
            <v>0</v>
          </cell>
          <cell r="P32">
            <v>0</v>
          </cell>
          <cell r="Q32">
            <v>0</v>
          </cell>
          <cell r="R32">
            <v>395470</v>
          </cell>
          <cell r="S32">
            <v>98867</v>
          </cell>
          <cell r="T32">
            <v>0</v>
          </cell>
          <cell r="U32">
            <v>1741</v>
          </cell>
          <cell r="V32">
            <v>435</v>
          </cell>
          <cell r="W32">
            <v>0</v>
          </cell>
          <cell r="X32">
            <v>0</v>
          </cell>
          <cell r="Y32">
            <v>0</v>
          </cell>
          <cell r="Z32">
            <v>0</v>
          </cell>
          <cell r="AA32">
            <v>4109</v>
          </cell>
          <cell r="AB32">
            <v>1027</v>
          </cell>
          <cell r="AC32">
            <v>0</v>
          </cell>
          <cell r="AD32">
            <v>0</v>
          </cell>
          <cell r="AE32">
            <v>0</v>
          </cell>
          <cell r="AF32">
            <v>0</v>
          </cell>
          <cell r="AG32">
            <v>0</v>
          </cell>
          <cell r="AH32">
            <v>0</v>
          </cell>
          <cell r="AI32">
            <v>0</v>
          </cell>
          <cell r="AM32">
            <v>0</v>
          </cell>
          <cell r="AN32">
            <v>0</v>
          </cell>
          <cell r="AO32">
            <v>0</v>
          </cell>
          <cell r="AP32">
            <v>117903</v>
          </cell>
          <cell r="AQ32">
            <v>28770</v>
          </cell>
          <cell r="AR32">
            <v>0</v>
          </cell>
          <cell r="AS32">
            <v>-119109</v>
          </cell>
          <cell r="AT32">
            <v>-95286</v>
          </cell>
          <cell r="AU32">
            <v>-23822</v>
          </cell>
          <cell r="AV32">
            <v>0</v>
          </cell>
          <cell r="AW32">
            <v>-238217</v>
          </cell>
          <cell r="AX32">
            <v>-1103729</v>
          </cell>
          <cell r="AY32">
            <v>-882983</v>
          </cell>
          <cell r="AZ32">
            <v>-220746</v>
          </cell>
          <cell r="BA32">
            <v>0</v>
          </cell>
          <cell r="BB32">
            <v>-2207458</v>
          </cell>
          <cell r="BC32">
            <v>19905848</v>
          </cell>
          <cell r="BD32">
            <v>-1631040</v>
          </cell>
          <cell r="BE32">
            <v>541243</v>
          </cell>
          <cell r="BF32">
            <v>0</v>
          </cell>
          <cell r="BG32">
            <v>-1475101</v>
          </cell>
          <cell r="BH32">
            <v>-61827</v>
          </cell>
          <cell r="BI32">
            <v>-20138</v>
          </cell>
          <cell r="BJ32">
            <v>0</v>
          </cell>
          <cell r="BK32">
            <v>-1120958</v>
          </cell>
          <cell r="BL32">
            <v>-46011</v>
          </cell>
          <cell r="BM32">
            <v>-22991</v>
          </cell>
          <cell r="BN32">
            <v>-11593</v>
          </cell>
          <cell r="BO32">
            <v>-1443</v>
          </cell>
          <cell r="BP32">
            <v>0</v>
          </cell>
          <cell r="BQ32">
            <v>0</v>
          </cell>
          <cell r="BR32">
            <v>0</v>
          </cell>
          <cell r="BS32">
            <v>0</v>
          </cell>
          <cell r="BT32">
            <v>20530677</v>
          </cell>
          <cell r="BU32">
            <v>-172609</v>
          </cell>
          <cell r="BV32">
            <v>592087</v>
          </cell>
          <cell r="BW32">
            <v>-887310</v>
          </cell>
          <cell r="BX32">
            <v>-374762</v>
          </cell>
          <cell r="BY32">
            <v>12606</v>
          </cell>
          <cell r="BZ32">
            <v>19152335</v>
          </cell>
          <cell r="CA32">
            <v>-187380</v>
          </cell>
          <cell r="CB32">
            <v>-149906</v>
          </cell>
          <cell r="CC32">
            <v>-37476</v>
          </cell>
          <cell r="CD32">
            <v>0</v>
          </cell>
          <cell r="CE32">
            <v>6303</v>
          </cell>
          <cell r="CF32">
            <v>5042</v>
          </cell>
          <cell r="CG32">
            <v>1261</v>
          </cell>
          <cell r="CH32">
            <v>0</v>
          </cell>
        </row>
        <row r="33">
          <cell r="A33">
            <v>26</v>
          </cell>
          <cell r="B33" t="str">
            <v>Bournemouth</v>
          </cell>
          <cell r="C33" t="str">
            <v>E1202</v>
          </cell>
          <cell r="D33">
            <v>292496</v>
          </cell>
          <cell r="H33">
            <v>-3511960.15</v>
          </cell>
          <cell r="I33">
            <v>0</v>
          </cell>
          <cell r="J33">
            <v>292496</v>
          </cell>
          <cell r="K33">
            <v>0</v>
          </cell>
          <cell r="L33">
            <v>204</v>
          </cell>
          <cell r="M33">
            <v>0</v>
          </cell>
          <cell r="N33">
            <v>0</v>
          </cell>
          <cell r="O33">
            <v>0</v>
          </cell>
          <cell r="P33">
            <v>0</v>
          </cell>
          <cell r="Q33">
            <v>0</v>
          </cell>
          <cell r="R33">
            <v>1409606</v>
          </cell>
          <cell r="S33">
            <v>0</v>
          </cell>
          <cell r="T33">
            <v>28767</v>
          </cell>
          <cell r="U33">
            <v>0</v>
          </cell>
          <cell r="V33">
            <v>0</v>
          </cell>
          <cell r="W33">
            <v>0</v>
          </cell>
          <cell r="X33">
            <v>418</v>
          </cell>
          <cell r="Y33">
            <v>0</v>
          </cell>
          <cell r="Z33">
            <v>9</v>
          </cell>
          <cell r="AA33">
            <v>5063</v>
          </cell>
          <cell r="AB33">
            <v>0</v>
          </cell>
          <cell r="AC33">
            <v>103</v>
          </cell>
          <cell r="AD33">
            <v>0</v>
          </cell>
          <cell r="AE33">
            <v>0</v>
          </cell>
          <cell r="AF33">
            <v>0</v>
          </cell>
          <cell r="AG33">
            <v>0</v>
          </cell>
          <cell r="AH33">
            <v>0</v>
          </cell>
          <cell r="AI33">
            <v>0</v>
          </cell>
          <cell r="AM33">
            <v>0</v>
          </cell>
          <cell r="AN33">
            <v>0</v>
          </cell>
          <cell r="AO33">
            <v>0</v>
          </cell>
          <cell r="AP33">
            <v>477927</v>
          </cell>
          <cell r="AQ33">
            <v>0</v>
          </cell>
          <cell r="AR33">
            <v>9754</v>
          </cell>
          <cell r="AS33">
            <v>-957030</v>
          </cell>
          <cell r="AT33">
            <v>-937888</v>
          </cell>
          <cell r="AU33">
            <v>0</v>
          </cell>
          <cell r="AV33">
            <v>-19141</v>
          </cell>
          <cell r="AW33">
            <v>-1914059</v>
          </cell>
          <cell r="AX33">
            <v>-405584</v>
          </cell>
          <cell r="AY33">
            <v>-397473</v>
          </cell>
          <cell r="AZ33">
            <v>0</v>
          </cell>
          <cell r="BA33">
            <v>-8112</v>
          </cell>
          <cell r="BB33">
            <v>-811169</v>
          </cell>
          <cell r="BC33">
            <v>67267868.890000001</v>
          </cell>
          <cell r="BD33">
            <v>-4656147</v>
          </cell>
          <cell r="BE33">
            <v>1841234</v>
          </cell>
          <cell r="BF33">
            <v>0</v>
          </cell>
          <cell r="BG33">
            <v>-5820377</v>
          </cell>
          <cell r="BH33">
            <v>-115304</v>
          </cell>
          <cell r="BI33">
            <v>0</v>
          </cell>
          <cell r="BJ33">
            <v>0</v>
          </cell>
          <cell r="BK33">
            <v>-1814279</v>
          </cell>
          <cell r="BL33">
            <v>-78970</v>
          </cell>
          <cell r="BM33">
            <v>-20586</v>
          </cell>
          <cell r="BN33">
            <v>-4000</v>
          </cell>
          <cell r="BO33">
            <v>0</v>
          </cell>
          <cell r="BP33">
            <v>0</v>
          </cell>
          <cell r="BQ33">
            <v>0</v>
          </cell>
          <cell r="BR33">
            <v>0</v>
          </cell>
          <cell r="BS33">
            <v>0</v>
          </cell>
          <cell r="BT33">
            <v>67808841.890000001</v>
          </cell>
          <cell r="BU33">
            <v>-110660</v>
          </cell>
          <cell r="BV33">
            <v>3742481</v>
          </cell>
          <cell r="BW33">
            <v>-521775</v>
          </cell>
          <cell r="BX33">
            <v>-3816517.1099999994</v>
          </cell>
          <cell r="BY33">
            <v>-1459167</v>
          </cell>
          <cell r="BZ33">
            <v>64930839</v>
          </cell>
          <cell r="CA33">
            <v>-1908259.1099999994</v>
          </cell>
          <cell r="CB33">
            <v>-1870093</v>
          </cell>
          <cell r="CC33">
            <v>0</v>
          </cell>
          <cell r="CD33">
            <v>-38165</v>
          </cell>
          <cell r="CE33">
            <v>-729583</v>
          </cell>
          <cell r="CF33">
            <v>-714992</v>
          </cell>
          <cell r="CG33">
            <v>0</v>
          </cell>
          <cell r="CH33">
            <v>-14592</v>
          </cell>
        </row>
        <row r="34">
          <cell r="A34">
            <v>27</v>
          </cell>
          <cell r="B34" t="str">
            <v>Bracknell Forest</v>
          </cell>
          <cell r="C34" t="str">
            <v>E0301</v>
          </cell>
          <cell r="D34">
            <v>144145</v>
          </cell>
          <cell r="H34">
            <v>-1910966</v>
          </cell>
          <cell r="I34">
            <v>0</v>
          </cell>
          <cell r="J34">
            <v>144145</v>
          </cell>
          <cell r="K34">
            <v>0</v>
          </cell>
          <cell r="L34">
            <v>708</v>
          </cell>
          <cell r="M34">
            <v>0</v>
          </cell>
          <cell r="N34">
            <v>0</v>
          </cell>
          <cell r="O34">
            <v>0</v>
          </cell>
          <cell r="P34">
            <v>0</v>
          </cell>
          <cell r="Q34">
            <v>0</v>
          </cell>
          <cell r="R34">
            <v>327617</v>
          </cell>
          <cell r="S34">
            <v>0</v>
          </cell>
          <cell r="T34">
            <v>6686</v>
          </cell>
          <cell r="U34">
            <v>3916</v>
          </cell>
          <cell r="V34">
            <v>0</v>
          </cell>
          <cell r="W34">
            <v>80</v>
          </cell>
          <cell r="X34">
            <v>0</v>
          </cell>
          <cell r="Y34">
            <v>0</v>
          </cell>
          <cell r="Z34">
            <v>0</v>
          </cell>
          <cell r="AA34">
            <v>735</v>
          </cell>
          <cell r="AB34">
            <v>0</v>
          </cell>
          <cell r="AC34">
            <v>15</v>
          </cell>
          <cell r="AD34">
            <v>0</v>
          </cell>
          <cell r="AE34">
            <v>0</v>
          </cell>
          <cell r="AF34">
            <v>0</v>
          </cell>
          <cell r="AG34">
            <v>0</v>
          </cell>
          <cell r="AH34">
            <v>0</v>
          </cell>
          <cell r="AI34">
            <v>0</v>
          </cell>
          <cell r="AM34">
            <v>0</v>
          </cell>
          <cell r="AN34">
            <v>0</v>
          </cell>
          <cell r="AO34">
            <v>0</v>
          </cell>
          <cell r="AP34">
            <v>448320</v>
          </cell>
          <cell r="AQ34">
            <v>0</v>
          </cell>
          <cell r="AR34">
            <v>9149</v>
          </cell>
          <cell r="AS34">
            <v>-451700</v>
          </cell>
          <cell r="AT34">
            <v>-442666</v>
          </cell>
          <cell r="AU34">
            <v>0</v>
          </cell>
          <cell r="AV34">
            <v>-9034</v>
          </cell>
          <cell r="AW34">
            <v>-903400</v>
          </cell>
          <cell r="AX34">
            <v>-6085895</v>
          </cell>
          <cell r="AY34">
            <v>-5964177</v>
          </cell>
          <cell r="AZ34">
            <v>0</v>
          </cell>
          <cell r="BA34">
            <v>-121719</v>
          </cell>
          <cell r="BB34">
            <v>-12171791</v>
          </cell>
          <cell r="BC34">
            <v>61318852</v>
          </cell>
          <cell r="BD34">
            <v>-855910</v>
          </cell>
          <cell r="BE34">
            <v>1943633</v>
          </cell>
          <cell r="BF34">
            <v>0</v>
          </cell>
          <cell r="BG34">
            <v>-2244640</v>
          </cell>
          <cell r="BH34">
            <v>-3539</v>
          </cell>
          <cell r="BI34">
            <v>0</v>
          </cell>
          <cell r="BJ34">
            <v>-52368</v>
          </cell>
          <cell r="BK34">
            <v>-4217239</v>
          </cell>
          <cell r="BL34">
            <v>-68516</v>
          </cell>
          <cell r="BM34">
            <v>-55039</v>
          </cell>
          <cell r="BN34">
            <v>0</v>
          </cell>
          <cell r="BO34">
            <v>0</v>
          </cell>
          <cell r="BP34">
            <v>0</v>
          </cell>
          <cell r="BQ34">
            <v>0</v>
          </cell>
          <cell r="BR34">
            <v>0</v>
          </cell>
          <cell r="BS34">
            <v>0</v>
          </cell>
          <cell r="BT34">
            <v>70521336</v>
          </cell>
          <cell r="BU34">
            <v>0</v>
          </cell>
          <cell r="BV34">
            <v>2344110</v>
          </cell>
          <cell r="BW34">
            <v>-3746017</v>
          </cell>
          <cell r="BX34">
            <v>10569163</v>
          </cell>
          <cell r="BY34">
            <v>18598260</v>
          </cell>
          <cell r="BZ34">
            <v>60907297</v>
          </cell>
          <cell r="CA34">
            <v>5284582</v>
          </cell>
          <cell r="CB34">
            <v>5178890</v>
          </cell>
          <cell r="CC34">
            <v>0</v>
          </cell>
          <cell r="CD34">
            <v>105691</v>
          </cell>
          <cell r="CE34">
            <v>9299130</v>
          </cell>
          <cell r="CF34">
            <v>9113147</v>
          </cell>
          <cell r="CG34">
            <v>0</v>
          </cell>
          <cell r="CH34">
            <v>185983</v>
          </cell>
        </row>
        <row r="35">
          <cell r="A35">
            <v>28</v>
          </cell>
          <cell r="B35" t="str">
            <v>Bradford</v>
          </cell>
          <cell r="C35" t="str">
            <v>E4701</v>
          </cell>
          <cell r="D35">
            <v>736622</v>
          </cell>
          <cell r="H35">
            <v>-3828219</v>
          </cell>
          <cell r="I35">
            <v>0</v>
          </cell>
          <cell r="J35">
            <v>736622</v>
          </cell>
          <cell r="K35">
            <v>0</v>
          </cell>
          <cell r="L35">
            <v>0</v>
          </cell>
          <cell r="M35">
            <v>0</v>
          </cell>
          <cell r="N35">
            <v>0</v>
          </cell>
          <cell r="O35">
            <v>0</v>
          </cell>
          <cell r="P35">
            <v>0</v>
          </cell>
          <cell r="Q35">
            <v>0</v>
          </cell>
          <cell r="R35">
            <v>5339165</v>
          </cell>
          <cell r="S35">
            <v>0</v>
          </cell>
          <cell r="T35">
            <v>108963</v>
          </cell>
          <cell r="U35">
            <v>14920</v>
          </cell>
          <cell r="V35">
            <v>0</v>
          </cell>
          <cell r="W35">
            <v>305</v>
          </cell>
          <cell r="X35">
            <v>2984</v>
          </cell>
          <cell r="Y35">
            <v>0</v>
          </cell>
          <cell r="Z35">
            <v>61</v>
          </cell>
          <cell r="AA35">
            <v>2487</v>
          </cell>
          <cell r="AB35">
            <v>0</v>
          </cell>
          <cell r="AC35">
            <v>51</v>
          </cell>
          <cell r="AD35">
            <v>0</v>
          </cell>
          <cell r="AE35">
            <v>0</v>
          </cell>
          <cell r="AF35">
            <v>0</v>
          </cell>
          <cell r="AG35">
            <v>0</v>
          </cell>
          <cell r="AH35">
            <v>0</v>
          </cell>
          <cell r="AI35">
            <v>0</v>
          </cell>
          <cell r="AM35">
            <v>0</v>
          </cell>
          <cell r="AN35">
            <v>0</v>
          </cell>
          <cell r="AO35">
            <v>0</v>
          </cell>
          <cell r="AP35">
            <v>953522</v>
          </cell>
          <cell r="AQ35">
            <v>0</v>
          </cell>
          <cell r="AR35">
            <v>19460</v>
          </cell>
          <cell r="AS35">
            <v>-2474634</v>
          </cell>
          <cell r="AT35">
            <v>-2425140</v>
          </cell>
          <cell r="AU35">
            <v>0</v>
          </cell>
          <cell r="AV35">
            <v>-49493</v>
          </cell>
          <cell r="AW35">
            <v>-4949267</v>
          </cell>
          <cell r="AX35">
            <v>-5900000</v>
          </cell>
          <cell r="AY35">
            <v>-5782000</v>
          </cell>
          <cell r="AZ35">
            <v>0</v>
          </cell>
          <cell r="BA35">
            <v>-118000</v>
          </cell>
          <cell r="BB35">
            <v>-11800000</v>
          </cell>
          <cell r="BC35">
            <v>140402399</v>
          </cell>
          <cell r="BD35">
            <v>-16087584</v>
          </cell>
          <cell r="BE35">
            <v>4088002</v>
          </cell>
          <cell r="BF35">
            <v>0</v>
          </cell>
          <cell r="BG35">
            <v>-14195844</v>
          </cell>
          <cell r="BH35">
            <v>-174159</v>
          </cell>
          <cell r="BI35">
            <v>-8020</v>
          </cell>
          <cell r="BJ35">
            <v>-346445</v>
          </cell>
          <cell r="BK35">
            <v>-8587023</v>
          </cell>
          <cell r="BL35">
            <v>-8141</v>
          </cell>
          <cell r="BM35">
            <v>-349134</v>
          </cell>
          <cell r="BN35">
            <v>0</v>
          </cell>
          <cell r="BO35">
            <v>0</v>
          </cell>
          <cell r="BP35">
            <v>-6718</v>
          </cell>
          <cell r="BQ35">
            <v>0</v>
          </cell>
          <cell r="BR35">
            <v>0</v>
          </cell>
          <cell r="BS35">
            <v>0</v>
          </cell>
          <cell r="BT35">
            <v>143883375</v>
          </cell>
          <cell r="BU35">
            <v>-3976688</v>
          </cell>
          <cell r="BV35">
            <v>9638103</v>
          </cell>
          <cell r="BW35">
            <v>-1262603</v>
          </cell>
          <cell r="BX35">
            <v>-11931397</v>
          </cell>
          <cell r="BY35">
            <v>-11962701</v>
          </cell>
          <cell r="BZ35">
            <v>129545616</v>
          </cell>
          <cell r="CA35">
            <v>-5965699</v>
          </cell>
          <cell r="CB35">
            <v>-5846384</v>
          </cell>
          <cell r="CC35">
            <v>0</v>
          </cell>
          <cell r="CD35">
            <v>-119314</v>
          </cell>
          <cell r="CE35">
            <v>-5981351</v>
          </cell>
          <cell r="CF35">
            <v>-5861723</v>
          </cell>
          <cell r="CG35">
            <v>0</v>
          </cell>
          <cell r="CH35">
            <v>-119627</v>
          </cell>
        </row>
        <row r="36">
          <cell r="A36">
            <v>29</v>
          </cell>
          <cell r="B36" t="str">
            <v>Braintree</v>
          </cell>
          <cell r="C36" t="str">
            <v>E1532</v>
          </cell>
          <cell r="D36">
            <v>192687</v>
          </cell>
          <cell r="H36">
            <v>48819</v>
          </cell>
          <cell r="I36">
            <v>0</v>
          </cell>
          <cell r="J36">
            <v>192687</v>
          </cell>
          <cell r="K36">
            <v>0</v>
          </cell>
          <cell r="L36">
            <v>84807</v>
          </cell>
          <cell r="M36">
            <v>106338</v>
          </cell>
          <cell r="N36">
            <v>0</v>
          </cell>
          <cell r="O36">
            <v>0</v>
          </cell>
          <cell r="P36">
            <v>0</v>
          </cell>
          <cell r="Q36">
            <v>0</v>
          </cell>
          <cell r="R36">
            <v>858446</v>
          </cell>
          <cell r="S36">
            <v>193150</v>
          </cell>
          <cell r="T36">
            <v>21461</v>
          </cell>
          <cell r="U36">
            <v>0</v>
          </cell>
          <cell r="V36">
            <v>0</v>
          </cell>
          <cell r="W36">
            <v>0</v>
          </cell>
          <cell r="X36">
            <v>0</v>
          </cell>
          <cell r="Y36">
            <v>0</v>
          </cell>
          <cell r="Z36">
            <v>0</v>
          </cell>
          <cell r="AA36">
            <v>1624</v>
          </cell>
          <cell r="AB36">
            <v>365</v>
          </cell>
          <cell r="AC36">
            <v>41</v>
          </cell>
          <cell r="AD36">
            <v>0</v>
          </cell>
          <cell r="AE36">
            <v>0</v>
          </cell>
          <cell r="AF36">
            <v>0</v>
          </cell>
          <cell r="AG36">
            <v>0</v>
          </cell>
          <cell r="AH36">
            <v>0</v>
          </cell>
          <cell r="AI36">
            <v>0</v>
          </cell>
          <cell r="AM36">
            <v>0</v>
          </cell>
          <cell r="AN36">
            <v>0</v>
          </cell>
          <cell r="AO36">
            <v>0</v>
          </cell>
          <cell r="AP36">
            <v>244640</v>
          </cell>
          <cell r="AQ36">
            <v>56355</v>
          </cell>
          <cell r="AR36">
            <v>6084</v>
          </cell>
          <cell r="AS36">
            <v>-69170</v>
          </cell>
          <cell r="AT36">
            <v>-55337</v>
          </cell>
          <cell r="AU36">
            <v>-12452</v>
          </cell>
          <cell r="AV36">
            <v>-1383</v>
          </cell>
          <cell r="AW36">
            <v>-138342</v>
          </cell>
          <cell r="AX36">
            <v>-1175500</v>
          </cell>
          <cell r="AY36">
            <v>-940400</v>
          </cell>
          <cell r="AZ36">
            <v>-211590</v>
          </cell>
          <cell r="BA36">
            <v>-23510</v>
          </cell>
          <cell r="BB36">
            <v>-2351000</v>
          </cell>
          <cell r="BC36">
            <v>44295128</v>
          </cell>
          <cell r="BD36">
            <v>-3411778</v>
          </cell>
          <cell r="BE36">
            <v>1124696</v>
          </cell>
          <cell r="BF36">
            <v>0</v>
          </cell>
          <cell r="BG36">
            <v>-2859196</v>
          </cell>
          <cell r="BH36">
            <v>-109748</v>
          </cell>
          <cell r="BI36">
            <v>-18375</v>
          </cell>
          <cell r="BJ36">
            <v>-29498</v>
          </cell>
          <cell r="BK36">
            <v>-1493667</v>
          </cell>
          <cell r="BL36">
            <v>-63676</v>
          </cell>
          <cell r="BM36">
            <v>-202172</v>
          </cell>
          <cell r="BN36">
            <v>-644</v>
          </cell>
          <cell r="BO36">
            <v>-3080</v>
          </cell>
          <cell r="BP36">
            <v>0</v>
          </cell>
          <cell r="BQ36">
            <v>-14662</v>
          </cell>
          <cell r="BR36">
            <v>0</v>
          </cell>
          <cell r="BS36">
            <v>0</v>
          </cell>
          <cell r="BT36">
            <v>42512954</v>
          </cell>
          <cell r="BU36">
            <v>-232388</v>
          </cell>
          <cell r="BV36">
            <v>614373</v>
          </cell>
          <cell r="BW36">
            <v>-476087</v>
          </cell>
          <cell r="BX36">
            <v>2894532</v>
          </cell>
          <cell r="BY36">
            <v>1080356</v>
          </cell>
          <cell r="BZ36">
            <v>40503049</v>
          </cell>
          <cell r="CA36">
            <v>1447268</v>
          </cell>
          <cell r="CB36">
            <v>1157812</v>
          </cell>
          <cell r="CC36">
            <v>260508</v>
          </cell>
          <cell r="CD36">
            <v>28944</v>
          </cell>
          <cell r="CE36">
            <v>540178</v>
          </cell>
          <cell r="CF36">
            <v>432142</v>
          </cell>
          <cell r="CG36">
            <v>97232</v>
          </cell>
          <cell r="CH36">
            <v>10804</v>
          </cell>
        </row>
        <row r="37">
          <cell r="A37">
            <v>30</v>
          </cell>
          <cell r="B37" t="str">
            <v>Breckland</v>
          </cell>
          <cell r="C37" t="str">
            <v>E2631</v>
          </cell>
          <cell r="D37">
            <v>163444</v>
          </cell>
          <cell r="H37">
            <v>977513</v>
          </cell>
          <cell r="I37">
            <v>0</v>
          </cell>
          <cell r="J37">
            <v>163444</v>
          </cell>
          <cell r="K37">
            <v>0</v>
          </cell>
          <cell r="L37">
            <v>413975</v>
          </cell>
          <cell r="M37">
            <v>0</v>
          </cell>
          <cell r="N37">
            <v>0</v>
          </cell>
          <cell r="O37">
            <v>0</v>
          </cell>
          <cell r="P37">
            <v>0</v>
          </cell>
          <cell r="Q37">
            <v>0</v>
          </cell>
          <cell r="R37">
            <v>819067</v>
          </cell>
          <cell r="S37">
            <v>204767</v>
          </cell>
          <cell r="T37">
            <v>0</v>
          </cell>
          <cell r="U37">
            <v>0</v>
          </cell>
          <cell r="V37">
            <v>0</v>
          </cell>
          <cell r="W37">
            <v>0</v>
          </cell>
          <cell r="X37">
            <v>0</v>
          </cell>
          <cell r="Y37">
            <v>0</v>
          </cell>
          <cell r="Z37">
            <v>0</v>
          </cell>
          <cell r="AA37">
            <v>1403</v>
          </cell>
          <cell r="AB37">
            <v>351</v>
          </cell>
          <cell r="AC37">
            <v>0</v>
          </cell>
          <cell r="AD37">
            <v>0</v>
          </cell>
          <cell r="AE37">
            <v>0</v>
          </cell>
          <cell r="AF37">
            <v>0</v>
          </cell>
          <cell r="AG37">
            <v>0</v>
          </cell>
          <cell r="AH37">
            <v>0</v>
          </cell>
          <cell r="AI37">
            <v>0</v>
          </cell>
          <cell r="AM37">
            <v>0</v>
          </cell>
          <cell r="AN37">
            <v>0</v>
          </cell>
          <cell r="AO37">
            <v>0</v>
          </cell>
          <cell r="AP37">
            <v>189022</v>
          </cell>
          <cell r="AQ37">
            <v>45701</v>
          </cell>
          <cell r="AR37">
            <v>0</v>
          </cell>
          <cell r="AS37">
            <v>-222285.54</v>
          </cell>
          <cell r="AT37">
            <v>-177828</v>
          </cell>
          <cell r="AU37">
            <v>-44457</v>
          </cell>
          <cell r="AV37">
            <v>0</v>
          </cell>
          <cell r="AW37">
            <v>-444570.54</v>
          </cell>
          <cell r="AX37">
            <v>-1212482</v>
          </cell>
          <cell r="AY37">
            <v>-969987</v>
          </cell>
          <cell r="AZ37">
            <v>-242497</v>
          </cell>
          <cell r="BA37">
            <v>0</v>
          </cell>
          <cell r="BB37">
            <v>-2424966</v>
          </cell>
          <cell r="BC37">
            <v>30500371</v>
          </cell>
          <cell r="BD37">
            <v>-3048698</v>
          </cell>
          <cell r="BE37">
            <v>779124</v>
          </cell>
          <cell r="BF37">
            <v>0</v>
          </cell>
          <cell r="BG37">
            <v>-2146206</v>
          </cell>
          <cell r="BH37">
            <v>-38281</v>
          </cell>
          <cell r="BI37">
            <v>-77400</v>
          </cell>
          <cell r="BJ37">
            <v>0</v>
          </cell>
          <cell r="BK37">
            <v>-734766</v>
          </cell>
          <cell r="BL37">
            <v>-46510</v>
          </cell>
          <cell r="BM37">
            <v>-227626</v>
          </cell>
          <cell r="BN37">
            <v>-2423</v>
          </cell>
          <cell r="BO37">
            <v>-8968</v>
          </cell>
          <cell r="BP37">
            <v>-1529</v>
          </cell>
          <cell r="BQ37">
            <v>-3082</v>
          </cell>
          <cell r="BR37">
            <v>0</v>
          </cell>
          <cell r="BS37">
            <v>0</v>
          </cell>
          <cell r="BT37">
            <v>30184441</v>
          </cell>
          <cell r="BU37">
            <v>-217850</v>
          </cell>
          <cell r="BV37">
            <v>1412640</v>
          </cell>
          <cell r="BW37">
            <v>-350911</v>
          </cell>
          <cell r="BX37">
            <v>-126016</v>
          </cell>
          <cell r="BY37">
            <v>79782</v>
          </cell>
          <cell r="BZ37">
            <v>30423796</v>
          </cell>
          <cell r="CA37">
            <v>-63007</v>
          </cell>
          <cell r="CB37">
            <v>-50407</v>
          </cell>
          <cell r="CC37">
            <v>-12602</v>
          </cell>
          <cell r="CD37">
            <v>0</v>
          </cell>
          <cell r="CE37">
            <v>39891</v>
          </cell>
          <cell r="CF37">
            <v>31913</v>
          </cell>
          <cell r="CG37">
            <v>7978</v>
          </cell>
          <cell r="CH37">
            <v>0</v>
          </cell>
        </row>
        <row r="38">
          <cell r="A38">
            <v>31</v>
          </cell>
          <cell r="B38" t="str">
            <v>Brent</v>
          </cell>
          <cell r="C38" t="str">
            <v>E5033</v>
          </cell>
          <cell r="D38">
            <v>416255</v>
          </cell>
          <cell r="H38">
            <v>3692182</v>
          </cell>
          <cell r="I38">
            <v>0</v>
          </cell>
          <cell r="J38">
            <v>416255</v>
          </cell>
          <cell r="K38">
            <v>0</v>
          </cell>
          <cell r="L38">
            <v>0</v>
          </cell>
          <cell r="M38">
            <v>0</v>
          </cell>
          <cell r="N38">
            <v>0</v>
          </cell>
          <cell r="O38">
            <v>0</v>
          </cell>
          <cell r="P38">
            <v>0</v>
          </cell>
          <cell r="Q38">
            <v>0</v>
          </cell>
          <cell r="R38">
            <v>1071955</v>
          </cell>
          <cell r="S38">
            <v>1322077</v>
          </cell>
          <cell r="T38">
            <v>0</v>
          </cell>
          <cell r="U38">
            <v>0</v>
          </cell>
          <cell r="V38">
            <v>0</v>
          </cell>
          <cell r="W38">
            <v>0</v>
          </cell>
          <cell r="X38">
            <v>0</v>
          </cell>
          <cell r="Y38">
            <v>0</v>
          </cell>
          <cell r="Z38">
            <v>0</v>
          </cell>
          <cell r="AA38">
            <v>229</v>
          </cell>
          <cell r="AB38">
            <v>282</v>
          </cell>
          <cell r="AC38">
            <v>0</v>
          </cell>
          <cell r="AD38">
            <v>0</v>
          </cell>
          <cell r="AE38">
            <v>0</v>
          </cell>
          <cell r="AF38">
            <v>0</v>
          </cell>
          <cell r="AG38">
            <v>0</v>
          </cell>
          <cell r="AH38">
            <v>0</v>
          </cell>
          <cell r="AI38">
            <v>0</v>
          </cell>
          <cell r="AM38">
            <v>0</v>
          </cell>
          <cell r="AN38">
            <v>0</v>
          </cell>
          <cell r="AO38">
            <v>0</v>
          </cell>
          <cell r="AP38">
            <v>565849</v>
          </cell>
          <cell r="AQ38">
            <v>697881</v>
          </cell>
          <cell r="AR38">
            <v>0</v>
          </cell>
          <cell r="AS38">
            <v>-549283</v>
          </cell>
          <cell r="AT38">
            <v>-329571</v>
          </cell>
          <cell r="AU38">
            <v>-219713</v>
          </cell>
          <cell r="AV38">
            <v>0</v>
          </cell>
          <cell r="AW38">
            <v>-1098567</v>
          </cell>
          <cell r="AX38">
            <v>-7074280</v>
          </cell>
          <cell r="AY38">
            <v>-4244567</v>
          </cell>
          <cell r="AZ38">
            <v>-2829711</v>
          </cell>
          <cell r="BA38">
            <v>0</v>
          </cell>
          <cell r="BB38">
            <v>-14148558</v>
          </cell>
          <cell r="BC38">
            <v>119219512</v>
          </cell>
          <cell r="BD38">
            <v>-4714358</v>
          </cell>
          <cell r="BE38">
            <v>2982252</v>
          </cell>
          <cell r="BF38">
            <v>0</v>
          </cell>
          <cell r="BG38">
            <v>-7780334</v>
          </cell>
          <cell r="BH38">
            <v>-39661</v>
          </cell>
          <cell r="BI38">
            <v>0</v>
          </cell>
          <cell r="BJ38">
            <v>-51119</v>
          </cell>
          <cell r="BK38">
            <v>-2856992</v>
          </cell>
          <cell r="BL38">
            <v>-397988</v>
          </cell>
          <cell r="BM38">
            <v>-22154</v>
          </cell>
          <cell r="BN38">
            <v>-2286</v>
          </cell>
          <cell r="BO38">
            <v>0</v>
          </cell>
          <cell r="BP38">
            <v>0</v>
          </cell>
          <cell r="BQ38">
            <v>-1497</v>
          </cell>
          <cell r="BR38">
            <v>0</v>
          </cell>
          <cell r="BS38">
            <v>0</v>
          </cell>
          <cell r="BT38">
            <v>123761524</v>
          </cell>
          <cell r="BU38">
            <v>-1807064</v>
          </cell>
          <cell r="BV38">
            <v>8398505</v>
          </cell>
          <cell r="BW38">
            <v>-6108751</v>
          </cell>
          <cell r="BX38">
            <v>-4532954</v>
          </cell>
          <cell r="BY38">
            <v>-5247282</v>
          </cell>
          <cell r="BZ38">
            <v>125564621</v>
          </cell>
          <cell r="CA38">
            <v>-2266477</v>
          </cell>
          <cell r="CB38">
            <v>-1359885</v>
          </cell>
          <cell r="CC38">
            <v>-906592</v>
          </cell>
          <cell r="CD38">
            <v>0</v>
          </cell>
          <cell r="CE38">
            <v>-2623641</v>
          </cell>
          <cell r="CF38">
            <v>-1574185</v>
          </cell>
          <cell r="CG38">
            <v>-1049456</v>
          </cell>
          <cell r="CH38">
            <v>0</v>
          </cell>
        </row>
        <row r="39">
          <cell r="A39">
            <v>32</v>
          </cell>
          <cell r="B39" t="str">
            <v>Brentwood</v>
          </cell>
          <cell r="C39" t="str">
            <v>E1533</v>
          </cell>
          <cell r="D39">
            <v>104595</v>
          </cell>
          <cell r="H39">
            <v>-1319227</v>
          </cell>
          <cell r="I39">
            <v>0</v>
          </cell>
          <cell r="J39">
            <v>104595</v>
          </cell>
          <cell r="K39">
            <v>0</v>
          </cell>
          <cell r="L39">
            <v>0</v>
          </cell>
          <cell r="M39">
            <v>0</v>
          </cell>
          <cell r="N39">
            <v>0</v>
          </cell>
          <cell r="O39">
            <v>0</v>
          </cell>
          <cell r="P39">
            <v>0</v>
          </cell>
          <cell r="Q39">
            <v>0</v>
          </cell>
          <cell r="R39">
            <v>367273</v>
          </cell>
          <cell r="S39">
            <v>82636</v>
          </cell>
          <cell r="T39">
            <v>9182</v>
          </cell>
          <cell r="U39">
            <v>0</v>
          </cell>
          <cell r="V39">
            <v>0</v>
          </cell>
          <cell r="W39">
            <v>0</v>
          </cell>
          <cell r="X39">
            <v>5773</v>
          </cell>
          <cell r="Y39">
            <v>1299</v>
          </cell>
          <cell r="Z39">
            <v>144</v>
          </cell>
          <cell r="AA39">
            <v>0</v>
          </cell>
          <cell r="AB39">
            <v>0</v>
          </cell>
          <cell r="AC39">
            <v>0</v>
          </cell>
          <cell r="AD39">
            <v>0</v>
          </cell>
          <cell r="AE39">
            <v>0</v>
          </cell>
          <cell r="AF39">
            <v>0</v>
          </cell>
          <cell r="AG39">
            <v>0</v>
          </cell>
          <cell r="AH39">
            <v>0</v>
          </cell>
          <cell r="AI39">
            <v>0</v>
          </cell>
          <cell r="AM39">
            <v>0</v>
          </cell>
          <cell r="AN39">
            <v>0</v>
          </cell>
          <cell r="AO39">
            <v>0</v>
          </cell>
          <cell r="AP39">
            <v>167535</v>
          </cell>
          <cell r="AQ39">
            <v>37695</v>
          </cell>
          <cell r="AR39">
            <v>4188</v>
          </cell>
          <cell r="AS39">
            <v>-607522</v>
          </cell>
          <cell r="AT39">
            <v>-486019</v>
          </cell>
          <cell r="AU39">
            <v>-109352</v>
          </cell>
          <cell r="AV39">
            <v>-12151</v>
          </cell>
          <cell r="AW39">
            <v>-1215044</v>
          </cell>
          <cell r="AX39">
            <v>-2431367</v>
          </cell>
          <cell r="AY39">
            <v>-1945094</v>
          </cell>
          <cell r="AZ39">
            <v>-437647</v>
          </cell>
          <cell r="BA39">
            <v>-48628</v>
          </cell>
          <cell r="BB39">
            <v>-4862736</v>
          </cell>
          <cell r="BC39">
            <v>30436957</v>
          </cell>
          <cell r="BD39">
            <v>-1262848</v>
          </cell>
          <cell r="BE39">
            <v>852926</v>
          </cell>
          <cell r="BF39">
            <v>0</v>
          </cell>
          <cell r="BG39">
            <v>-2283236</v>
          </cell>
          <cell r="BH39">
            <v>-51489</v>
          </cell>
          <cell r="BI39">
            <v>-1129</v>
          </cell>
          <cell r="BJ39">
            <v>0</v>
          </cell>
          <cell r="BK39">
            <v>-1352475</v>
          </cell>
          <cell r="BL39">
            <v>-58742</v>
          </cell>
          <cell r="BM39">
            <v>-54241</v>
          </cell>
          <cell r="BN39">
            <v>-5504</v>
          </cell>
          <cell r="BO39">
            <v>-3989</v>
          </cell>
          <cell r="BP39">
            <v>-9931</v>
          </cell>
          <cell r="BQ39">
            <v>-22956</v>
          </cell>
          <cell r="BR39">
            <v>0</v>
          </cell>
          <cell r="BS39">
            <v>0</v>
          </cell>
          <cell r="BT39">
            <v>31719937</v>
          </cell>
          <cell r="BU39">
            <v>-734618</v>
          </cell>
          <cell r="BV39">
            <v>2689187</v>
          </cell>
          <cell r="BW39">
            <v>-766609</v>
          </cell>
          <cell r="BX39">
            <v>-1106648</v>
          </cell>
          <cell r="BY39">
            <v>0</v>
          </cell>
          <cell r="BZ39">
            <v>27882667</v>
          </cell>
          <cell r="CA39">
            <v>-553325</v>
          </cell>
          <cell r="CB39">
            <v>-442659</v>
          </cell>
          <cell r="CC39">
            <v>-99599</v>
          </cell>
          <cell r="CD39">
            <v>-11065</v>
          </cell>
          <cell r="CE39">
            <v>0</v>
          </cell>
          <cell r="CF39">
            <v>0</v>
          </cell>
          <cell r="CG39">
            <v>0</v>
          </cell>
          <cell r="CH39">
            <v>0</v>
          </cell>
        </row>
        <row r="40">
          <cell r="A40">
            <v>33</v>
          </cell>
          <cell r="B40" t="str">
            <v>Brighton &amp; Hove</v>
          </cell>
          <cell r="C40" t="str">
            <v>E1401</v>
          </cell>
          <cell r="D40">
            <v>432307</v>
          </cell>
          <cell r="H40">
            <v>7476586</v>
          </cell>
          <cell r="I40">
            <v>0</v>
          </cell>
          <cell r="J40">
            <v>432307</v>
          </cell>
          <cell r="K40">
            <v>0</v>
          </cell>
          <cell r="L40">
            <v>0</v>
          </cell>
          <cell r="M40">
            <v>0</v>
          </cell>
          <cell r="N40">
            <v>0</v>
          </cell>
          <cell r="O40">
            <v>0</v>
          </cell>
          <cell r="P40">
            <v>0</v>
          </cell>
          <cell r="Q40">
            <v>0</v>
          </cell>
          <cell r="R40">
            <v>2378278</v>
          </cell>
          <cell r="S40">
            <v>0</v>
          </cell>
          <cell r="T40">
            <v>48536</v>
          </cell>
          <cell r="U40">
            <v>8320</v>
          </cell>
          <cell r="V40">
            <v>0</v>
          </cell>
          <cell r="W40">
            <v>170</v>
          </cell>
          <cell r="X40">
            <v>1791</v>
          </cell>
          <cell r="Y40">
            <v>0</v>
          </cell>
          <cell r="Z40">
            <v>37</v>
          </cell>
          <cell r="AA40">
            <v>322</v>
          </cell>
          <cell r="AB40">
            <v>0</v>
          </cell>
          <cell r="AC40">
            <v>7</v>
          </cell>
          <cell r="AD40">
            <v>0</v>
          </cell>
          <cell r="AE40">
            <v>0</v>
          </cell>
          <cell r="AF40">
            <v>0</v>
          </cell>
          <cell r="AG40">
            <v>0</v>
          </cell>
          <cell r="AH40">
            <v>0</v>
          </cell>
          <cell r="AI40">
            <v>0</v>
          </cell>
          <cell r="AM40">
            <v>0</v>
          </cell>
          <cell r="AN40">
            <v>0</v>
          </cell>
          <cell r="AO40">
            <v>0</v>
          </cell>
          <cell r="AP40">
            <v>854372</v>
          </cell>
          <cell r="AQ40">
            <v>0</v>
          </cell>
          <cell r="AR40">
            <v>17436</v>
          </cell>
          <cell r="AS40">
            <v>-1045690</v>
          </cell>
          <cell r="AT40">
            <v>-1024776</v>
          </cell>
          <cell r="AU40">
            <v>0</v>
          </cell>
          <cell r="AV40">
            <v>-20914</v>
          </cell>
          <cell r="AW40">
            <v>-2091380</v>
          </cell>
          <cell r="AX40">
            <v>-2569069</v>
          </cell>
          <cell r="AY40">
            <v>-2517688</v>
          </cell>
          <cell r="AZ40">
            <v>0</v>
          </cell>
          <cell r="BA40">
            <v>-51381</v>
          </cell>
          <cell r="BB40">
            <v>-5138138</v>
          </cell>
          <cell r="BC40">
            <v>107899884</v>
          </cell>
          <cell r="BD40">
            <v>-6790825</v>
          </cell>
          <cell r="BE40">
            <v>2906089</v>
          </cell>
          <cell r="BF40">
            <v>0</v>
          </cell>
          <cell r="BG40">
            <v>-8820862</v>
          </cell>
          <cell r="BH40">
            <v>-51976</v>
          </cell>
          <cell r="BI40">
            <v>0</v>
          </cell>
          <cell r="BJ40">
            <v>-93295</v>
          </cell>
          <cell r="BK40">
            <v>-2763952</v>
          </cell>
          <cell r="BL40">
            <v>-64472</v>
          </cell>
          <cell r="BM40">
            <v>-27626</v>
          </cell>
          <cell r="BN40">
            <v>-11433</v>
          </cell>
          <cell r="BO40">
            <v>0</v>
          </cell>
          <cell r="BP40">
            <v>0</v>
          </cell>
          <cell r="BQ40">
            <v>0</v>
          </cell>
          <cell r="BR40">
            <v>0</v>
          </cell>
          <cell r="BS40">
            <v>0</v>
          </cell>
          <cell r="BT40">
            <v>110297348</v>
          </cell>
          <cell r="BU40">
            <v>-413139</v>
          </cell>
          <cell r="BV40">
            <v>5271833</v>
          </cell>
          <cell r="BW40">
            <v>-4919474</v>
          </cell>
          <cell r="BX40">
            <v>-3543363</v>
          </cell>
          <cell r="BY40">
            <v>-3437000</v>
          </cell>
          <cell r="BZ40">
            <v>116075084</v>
          </cell>
          <cell r="CA40">
            <v>-1771682</v>
          </cell>
          <cell r="CB40">
            <v>-1736248</v>
          </cell>
          <cell r="CC40">
            <v>0</v>
          </cell>
          <cell r="CD40">
            <v>-35433</v>
          </cell>
          <cell r="CE40">
            <v>-1718500</v>
          </cell>
          <cell r="CF40">
            <v>-1684130</v>
          </cell>
          <cell r="CG40">
            <v>0</v>
          </cell>
          <cell r="CH40">
            <v>-34370</v>
          </cell>
        </row>
        <row r="41">
          <cell r="A41">
            <v>34</v>
          </cell>
          <cell r="B41" t="str">
            <v>Bristol</v>
          </cell>
          <cell r="C41" t="str">
            <v>E0102</v>
          </cell>
          <cell r="D41">
            <v>715969</v>
          </cell>
          <cell r="H41">
            <v>-6692172</v>
          </cell>
          <cell r="I41">
            <v>-239923</v>
          </cell>
          <cell r="J41">
            <v>715969</v>
          </cell>
          <cell r="K41">
            <v>4280807</v>
          </cell>
          <cell r="L41">
            <v>139958</v>
          </cell>
          <cell r="M41">
            <v>0</v>
          </cell>
          <cell r="N41">
            <v>0</v>
          </cell>
          <cell r="O41">
            <v>0</v>
          </cell>
          <cell r="P41">
            <v>0</v>
          </cell>
          <cell r="Q41">
            <v>0</v>
          </cell>
          <cell r="R41">
            <v>5511314</v>
          </cell>
          <cell r="S41">
            <v>287326</v>
          </cell>
          <cell r="T41">
            <v>57465</v>
          </cell>
          <cell r="U41">
            <v>29146</v>
          </cell>
          <cell r="V41">
            <v>1550</v>
          </cell>
          <cell r="W41">
            <v>310</v>
          </cell>
          <cell r="X41">
            <v>0</v>
          </cell>
          <cell r="Y41">
            <v>0</v>
          </cell>
          <cell r="Z41">
            <v>0</v>
          </cell>
          <cell r="AA41">
            <v>24837</v>
          </cell>
          <cell r="AB41">
            <v>1321</v>
          </cell>
          <cell r="AC41">
            <v>264</v>
          </cell>
          <cell r="AD41">
            <v>0</v>
          </cell>
          <cell r="AE41">
            <v>0</v>
          </cell>
          <cell r="AF41">
            <v>0</v>
          </cell>
          <cell r="AG41">
            <v>0</v>
          </cell>
          <cell r="AH41">
            <v>0</v>
          </cell>
          <cell r="AI41">
            <v>0</v>
          </cell>
          <cell r="AM41">
            <v>0</v>
          </cell>
          <cell r="AN41">
            <v>0</v>
          </cell>
          <cell r="AO41">
            <v>0</v>
          </cell>
          <cell r="AP41">
            <v>2956474</v>
          </cell>
          <cell r="AQ41">
            <v>153727</v>
          </cell>
          <cell r="AR41">
            <v>30745</v>
          </cell>
          <cell r="AS41">
            <v>-1074092</v>
          </cell>
          <cell r="AT41">
            <v>-1052611</v>
          </cell>
          <cell r="AU41">
            <v>0</v>
          </cell>
          <cell r="AV41">
            <v>-21482</v>
          </cell>
          <cell r="AW41">
            <v>-2148185</v>
          </cell>
          <cell r="AX41">
            <v>-11344081</v>
          </cell>
          <cell r="AY41">
            <v>-11117202</v>
          </cell>
          <cell r="AZ41">
            <v>0</v>
          </cell>
          <cell r="BA41">
            <v>-226882</v>
          </cell>
          <cell r="BB41">
            <v>-22688165</v>
          </cell>
          <cell r="BC41">
            <v>197428618</v>
          </cell>
          <cell r="BD41">
            <v>-9056013</v>
          </cell>
          <cell r="BE41">
            <v>6094483</v>
          </cell>
          <cell r="BF41">
            <v>0</v>
          </cell>
          <cell r="BG41">
            <v>-17897378</v>
          </cell>
          <cell r="BH41">
            <v>-125151</v>
          </cell>
          <cell r="BI41">
            <v>0</v>
          </cell>
          <cell r="BJ41">
            <v>-374188</v>
          </cell>
          <cell r="BK41">
            <v>-10203201</v>
          </cell>
          <cell r="BL41">
            <v>-276729</v>
          </cell>
          <cell r="BM41">
            <v>-262129</v>
          </cell>
          <cell r="BN41">
            <v>-2057</v>
          </cell>
          <cell r="BO41">
            <v>0</v>
          </cell>
          <cell r="BP41">
            <v>0</v>
          </cell>
          <cell r="BQ41">
            <v>-1106102</v>
          </cell>
          <cell r="BR41">
            <v>-1206903</v>
          </cell>
          <cell r="BS41">
            <v>0</v>
          </cell>
          <cell r="BT41">
            <v>219805763</v>
          </cell>
          <cell r="BU41">
            <v>-1545000</v>
          </cell>
          <cell r="BV41">
            <v>4263960</v>
          </cell>
          <cell r="BW41">
            <v>-2937074</v>
          </cell>
          <cell r="BX41">
            <v>-327986</v>
          </cell>
          <cell r="BY41">
            <v>13172779</v>
          </cell>
          <cell r="BZ41">
            <v>204676490</v>
          </cell>
          <cell r="CA41">
            <v>-163993</v>
          </cell>
          <cell r="CB41">
            <v>-160713</v>
          </cell>
          <cell r="CC41">
            <v>0</v>
          </cell>
          <cell r="CD41">
            <v>-3280</v>
          </cell>
          <cell r="CE41">
            <v>6586389</v>
          </cell>
          <cell r="CF41">
            <v>6454662</v>
          </cell>
          <cell r="CG41">
            <v>0</v>
          </cell>
          <cell r="CH41">
            <v>131728</v>
          </cell>
        </row>
        <row r="42">
          <cell r="A42">
            <v>35</v>
          </cell>
          <cell r="B42" t="str">
            <v>Broadland</v>
          </cell>
          <cell r="C42" t="str">
            <v>E2632</v>
          </cell>
          <cell r="D42">
            <v>139831</v>
          </cell>
          <cell r="H42">
            <v>-436237</v>
          </cell>
          <cell r="I42">
            <v>0</v>
          </cell>
          <cell r="J42">
            <v>139831</v>
          </cell>
          <cell r="K42">
            <v>0</v>
          </cell>
          <cell r="L42">
            <v>150362</v>
          </cell>
          <cell r="M42">
            <v>0</v>
          </cell>
          <cell r="N42">
            <v>0</v>
          </cell>
          <cell r="O42">
            <v>0</v>
          </cell>
          <cell r="P42">
            <v>0</v>
          </cell>
          <cell r="Q42">
            <v>0</v>
          </cell>
          <cell r="R42">
            <v>679374</v>
          </cell>
          <cell r="S42">
            <v>169843</v>
          </cell>
          <cell r="T42">
            <v>0</v>
          </cell>
          <cell r="U42">
            <v>1078</v>
          </cell>
          <cell r="V42">
            <v>270</v>
          </cell>
          <cell r="W42">
            <v>0</v>
          </cell>
          <cell r="X42">
            <v>0</v>
          </cell>
          <cell r="Y42">
            <v>0</v>
          </cell>
          <cell r="Z42">
            <v>0</v>
          </cell>
          <cell r="AA42">
            <v>0</v>
          </cell>
          <cell r="AB42">
            <v>0</v>
          </cell>
          <cell r="AC42">
            <v>0</v>
          </cell>
          <cell r="AD42">
            <v>0</v>
          </cell>
          <cell r="AE42">
            <v>0</v>
          </cell>
          <cell r="AF42">
            <v>0</v>
          </cell>
          <cell r="AG42">
            <v>0</v>
          </cell>
          <cell r="AH42">
            <v>0</v>
          </cell>
          <cell r="AI42">
            <v>0</v>
          </cell>
          <cell r="AM42">
            <v>0</v>
          </cell>
          <cell r="AN42">
            <v>0</v>
          </cell>
          <cell r="AO42">
            <v>0</v>
          </cell>
          <cell r="AP42">
            <v>179136</v>
          </cell>
          <cell r="AQ42">
            <v>44219</v>
          </cell>
          <cell r="AR42">
            <v>0</v>
          </cell>
          <cell r="AS42">
            <v>-78276</v>
          </cell>
          <cell r="AT42">
            <v>-62621</v>
          </cell>
          <cell r="AU42">
            <v>-15655</v>
          </cell>
          <cell r="AV42">
            <v>0</v>
          </cell>
          <cell r="AW42">
            <v>-156552</v>
          </cell>
          <cell r="AX42">
            <v>-1492877</v>
          </cell>
          <cell r="AY42">
            <v>-1194301</v>
          </cell>
          <cell r="AZ42">
            <v>-298575</v>
          </cell>
          <cell r="BA42">
            <v>0</v>
          </cell>
          <cell r="BB42">
            <v>-2985753</v>
          </cell>
          <cell r="BC42">
            <v>30226613</v>
          </cell>
          <cell r="BD42">
            <v>-2798168</v>
          </cell>
          <cell r="BE42">
            <v>784524</v>
          </cell>
          <cell r="BF42">
            <v>0</v>
          </cell>
          <cell r="BG42">
            <v>-1570741</v>
          </cell>
          <cell r="BH42">
            <v>-33528</v>
          </cell>
          <cell r="BI42">
            <v>-54574</v>
          </cell>
          <cell r="BJ42">
            <v>-7089</v>
          </cell>
          <cell r="BK42">
            <v>-725375</v>
          </cell>
          <cell r="BL42">
            <v>-21174</v>
          </cell>
          <cell r="BM42">
            <v>-59319</v>
          </cell>
          <cell r="BN42">
            <v>0</v>
          </cell>
          <cell r="BO42">
            <v>-54574</v>
          </cell>
          <cell r="BP42">
            <v>-9740</v>
          </cell>
          <cell r="BQ42">
            <v>-17989</v>
          </cell>
          <cell r="BR42">
            <v>0</v>
          </cell>
          <cell r="BS42">
            <v>0</v>
          </cell>
          <cell r="BT42">
            <v>30352116</v>
          </cell>
          <cell r="BU42">
            <v>-143798</v>
          </cell>
          <cell r="BV42">
            <v>338980</v>
          </cell>
          <cell r="BW42">
            <v>-699513</v>
          </cell>
          <cell r="BX42">
            <v>-1179522</v>
          </cell>
          <cell r="BY42">
            <v>-564109</v>
          </cell>
          <cell r="BZ42">
            <v>29437364</v>
          </cell>
          <cell r="CA42">
            <v>-589760</v>
          </cell>
          <cell r="CB42">
            <v>-471809</v>
          </cell>
          <cell r="CC42">
            <v>-117953</v>
          </cell>
          <cell r="CD42">
            <v>0</v>
          </cell>
          <cell r="CE42">
            <v>-282054</v>
          </cell>
          <cell r="CF42">
            <v>-225644</v>
          </cell>
          <cell r="CG42">
            <v>-56411</v>
          </cell>
          <cell r="CH42">
            <v>0</v>
          </cell>
        </row>
        <row r="43">
          <cell r="A43">
            <v>36</v>
          </cell>
          <cell r="B43" t="str">
            <v>Bromley</v>
          </cell>
          <cell r="C43" t="str">
            <v>E5034</v>
          </cell>
          <cell r="D43">
            <v>336429</v>
          </cell>
          <cell r="H43">
            <v>5959515</v>
          </cell>
          <cell r="I43">
            <v>0</v>
          </cell>
          <cell r="J43">
            <v>336429</v>
          </cell>
          <cell r="K43">
            <v>0</v>
          </cell>
          <cell r="L43">
            <v>0</v>
          </cell>
          <cell r="M43">
            <v>0</v>
          </cell>
          <cell r="N43">
            <v>0</v>
          </cell>
          <cell r="O43">
            <v>0</v>
          </cell>
          <cell r="P43">
            <v>0</v>
          </cell>
          <cell r="Q43">
            <v>0</v>
          </cell>
          <cell r="R43">
            <v>1290124</v>
          </cell>
          <cell r="S43">
            <v>1591153</v>
          </cell>
          <cell r="T43">
            <v>0</v>
          </cell>
          <cell r="U43">
            <v>0</v>
          </cell>
          <cell r="V43">
            <v>0</v>
          </cell>
          <cell r="W43">
            <v>0</v>
          </cell>
          <cell r="X43">
            <v>0</v>
          </cell>
          <cell r="Y43">
            <v>0</v>
          </cell>
          <cell r="Z43">
            <v>0</v>
          </cell>
          <cell r="AA43">
            <v>10624</v>
          </cell>
          <cell r="AB43">
            <v>13102</v>
          </cell>
          <cell r="AC43">
            <v>0</v>
          </cell>
          <cell r="AD43">
            <v>0</v>
          </cell>
          <cell r="AE43">
            <v>0</v>
          </cell>
          <cell r="AF43">
            <v>0</v>
          </cell>
          <cell r="AG43">
            <v>0</v>
          </cell>
          <cell r="AH43">
            <v>0</v>
          </cell>
          <cell r="AI43">
            <v>0</v>
          </cell>
          <cell r="AM43">
            <v>0</v>
          </cell>
          <cell r="AN43">
            <v>0</v>
          </cell>
          <cell r="AO43">
            <v>0</v>
          </cell>
          <cell r="AP43">
            <v>408626</v>
          </cell>
          <cell r="AQ43">
            <v>503972</v>
          </cell>
          <cell r="AR43">
            <v>0</v>
          </cell>
          <cell r="AS43">
            <v>-377128</v>
          </cell>
          <cell r="AT43">
            <v>-226278</v>
          </cell>
          <cell r="AU43">
            <v>-150852</v>
          </cell>
          <cell r="AV43">
            <v>0</v>
          </cell>
          <cell r="AW43">
            <v>-754258</v>
          </cell>
          <cell r="AX43">
            <v>-4823639</v>
          </cell>
          <cell r="AY43">
            <v>-2894184</v>
          </cell>
          <cell r="AZ43">
            <v>-1929456</v>
          </cell>
          <cell r="BA43">
            <v>0</v>
          </cell>
          <cell r="BB43">
            <v>-9647279</v>
          </cell>
          <cell r="BC43">
            <v>82992895</v>
          </cell>
          <cell r="BD43">
            <v>-4658165</v>
          </cell>
          <cell r="BE43">
            <v>2214562</v>
          </cell>
          <cell r="BF43">
            <v>0</v>
          </cell>
          <cell r="BG43">
            <v>-8995052</v>
          </cell>
          <cell r="BH43">
            <v>-186654</v>
          </cell>
          <cell r="BI43">
            <v>0</v>
          </cell>
          <cell r="BJ43">
            <v>-2416</v>
          </cell>
          <cell r="BK43">
            <v>-2807493</v>
          </cell>
          <cell r="BL43">
            <v>-211201</v>
          </cell>
          <cell r="BM43">
            <v>-303101</v>
          </cell>
          <cell r="BN43">
            <v>-46664</v>
          </cell>
          <cell r="BO43">
            <v>0</v>
          </cell>
          <cell r="BP43">
            <v>0</v>
          </cell>
          <cell r="BQ43">
            <v>0</v>
          </cell>
          <cell r="BR43">
            <v>0</v>
          </cell>
          <cell r="BS43">
            <v>0</v>
          </cell>
          <cell r="BT43">
            <v>86081051</v>
          </cell>
          <cell r="BU43">
            <v>-260048</v>
          </cell>
          <cell r="BV43">
            <v>2120477</v>
          </cell>
          <cell r="BW43">
            <v>-4259571</v>
          </cell>
          <cell r="BX43">
            <v>-597123.09999999963</v>
          </cell>
          <cell r="BY43">
            <v>576774</v>
          </cell>
          <cell r="BZ43">
            <v>90676111</v>
          </cell>
          <cell r="CA43">
            <v>-298561.09999999963</v>
          </cell>
          <cell r="CB43">
            <v>-179137</v>
          </cell>
          <cell r="CC43">
            <v>-119425</v>
          </cell>
          <cell r="CD43">
            <v>0</v>
          </cell>
          <cell r="CE43">
            <v>288387</v>
          </cell>
          <cell r="CF43">
            <v>173032</v>
          </cell>
          <cell r="CG43">
            <v>115355</v>
          </cell>
          <cell r="CH43">
            <v>0</v>
          </cell>
        </row>
        <row r="44">
          <cell r="A44">
            <v>37</v>
          </cell>
          <cell r="B44" t="str">
            <v>Bromsgrove</v>
          </cell>
          <cell r="C44" t="str">
            <v>E1831</v>
          </cell>
          <cell r="D44">
            <v>119076</v>
          </cell>
          <cell r="H44">
            <v>-2034695.91</v>
          </cell>
          <cell r="I44">
            <v>0</v>
          </cell>
          <cell r="J44">
            <v>119076</v>
          </cell>
          <cell r="K44">
            <v>0</v>
          </cell>
          <cell r="L44">
            <v>0</v>
          </cell>
          <cell r="M44">
            <v>0</v>
          </cell>
          <cell r="N44">
            <v>0</v>
          </cell>
          <cell r="O44">
            <v>0</v>
          </cell>
          <cell r="P44">
            <v>0</v>
          </cell>
          <cell r="Q44">
            <v>0</v>
          </cell>
          <cell r="R44">
            <v>765072</v>
          </cell>
          <cell r="S44">
            <v>172141</v>
          </cell>
          <cell r="T44">
            <v>19127</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M44">
            <v>0</v>
          </cell>
          <cell r="AN44">
            <v>0</v>
          </cell>
          <cell r="AO44">
            <v>0</v>
          </cell>
          <cell r="AP44">
            <v>134134</v>
          </cell>
          <cell r="AQ44">
            <v>30180</v>
          </cell>
          <cell r="AR44">
            <v>3353</v>
          </cell>
          <cell r="AS44">
            <v>-489008</v>
          </cell>
          <cell r="AT44">
            <v>-391203</v>
          </cell>
          <cell r="AU44">
            <v>-88021</v>
          </cell>
          <cell r="AV44">
            <v>-9779</v>
          </cell>
          <cell r="AW44">
            <v>-978011</v>
          </cell>
          <cell r="AX44">
            <v>-952878</v>
          </cell>
          <cell r="AY44">
            <v>-762301</v>
          </cell>
          <cell r="AZ44">
            <v>-171518</v>
          </cell>
          <cell r="BA44">
            <v>-19058</v>
          </cell>
          <cell r="BB44">
            <v>-1905755</v>
          </cell>
          <cell r="BC44">
            <v>26868684</v>
          </cell>
          <cell r="BD44">
            <v>-2285649</v>
          </cell>
          <cell r="BE44">
            <v>720338</v>
          </cell>
          <cell r="BF44">
            <v>0</v>
          </cell>
          <cell r="BG44">
            <v>-2161426</v>
          </cell>
          <cell r="BH44">
            <v>-15984</v>
          </cell>
          <cell r="BI44">
            <v>-1673</v>
          </cell>
          <cell r="BJ44">
            <v>-109710</v>
          </cell>
          <cell r="BK44">
            <v>-1092009</v>
          </cell>
          <cell r="BL44">
            <v>-33883</v>
          </cell>
          <cell r="BM44">
            <v>-56585</v>
          </cell>
          <cell r="BN44">
            <v>-258</v>
          </cell>
          <cell r="BO44">
            <v>-994</v>
          </cell>
          <cell r="BP44">
            <v>0</v>
          </cell>
          <cell r="BQ44">
            <v>0</v>
          </cell>
          <cell r="BR44">
            <v>0</v>
          </cell>
          <cell r="BS44">
            <v>0</v>
          </cell>
          <cell r="BT44">
            <v>27893633</v>
          </cell>
          <cell r="BU44">
            <v>-133364</v>
          </cell>
          <cell r="BV44">
            <v>2149381</v>
          </cell>
          <cell r="BW44">
            <v>-554352</v>
          </cell>
          <cell r="BX44">
            <v>-1348917</v>
          </cell>
          <cell r="BY44">
            <v>-506927</v>
          </cell>
          <cell r="BZ44">
            <v>22323665</v>
          </cell>
          <cell r="CA44">
            <v>-674460</v>
          </cell>
          <cell r="CB44">
            <v>-539566</v>
          </cell>
          <cell r="CC44">
            <v>-121402</v>
          </cell>
          <cell r="CD44">
            <v>-13489</v>
          </cell>
          <cell r="CE44">
            <v>-253464</v>
          </cell>
          <cell r="CF44">
            <v>-202771</v>
          </cell>
          <cell r="CG44">
            <v>-45623</v>
          </cell>
          <cell r="CH44">
            <v>-5069</v>
          </cell>
        </row>
        <row r="45">
          <cell r="A45">
            <v>38</v>
          </cell>
          <cell r="B45" t="str">
            <v>Broxbourne</v>
          </cell>
          <cell r="C45" t="str">
            <v>E1931</v>
          </cell>
          <cell r="D45">
            <v>111335</v>
          </cell>
          <cell r="H45">
            <v>-2038080</v>
          </cell>
          <cell r="I45">
            <v>0</v>
          </cell>
          <cell r="J45">
            <v>111335</v>
          </cell>
          <cell r="K45">
            <v>0</v>
          </cell>
          <cell r="L45">
            <v>0</v>
          </cell>
          <cell r="M45">
            <v>0</v>
          </cell>
          <cell r="N45">
            <v>0</v>
          </cell>
          <cell r="O45">
            <v>0</v>
          </cell>
          <cell r="P45">
            <v>0</v>
          </cell>
          <cell r="Q45">
            <v>0</v>
          </cell>
          <cell r="R45">
            <v>491048</v>
          </cell>
          <cell r="S45">
            <v>122762</v>
          </cell>
          <cell r="T45">
            <v>0</v>
          </cell>
          <cell r="U45">
            <v>0</v>
          </cell>
          <cell r="V45">
            <v>0</v>
          </cell>
          <cell r="W45">
            <v>0</v>
          </cell>
          <cell r="X45">
            <v>2371</v>
          </cell>
          <cell r="Y45">
            <v>593</v>
          </cell>
          <cell r="Z45">
            <v>0</v>
          </cell>
          <cell r="AA45">
            <v>877</v>
          </cell>
          <cell r="AB45">
            <v>219</v>
          </cell>
          <cell r="AC45">
            <v>0</v>
          </cell>
          <cell r="AD45">
            <v>0</v>
          </cell>
          <cell r="AE45">
            <v>0</v>
          </cell>
          <cell r="AF45">
            <v>0</v>
          </cell>
          <cell r="AG45">
            <v>0</v>
          </cell>
          <cell r="AH45">
            <v>0</v>
          </cell>
          <cell r="AI45">
            <v>0</v>
          </cell>
          <cell r="AM45">
            <v>0</v>
          </cell>
          <cell r="AN45">
            <v>0</v>
          </cell>
          <cell r="AO45">
            <v>0</v>
          </cell>
          <cell r="AP45">
            <v>236190</v>
          </cell>
          <cell r="AQ45">
            <v>59047</v>
          </cell>
          <cell r="AR45">
            <v>0</v>
          </cell>
          <cell r="AS45">
            <v>-124718.70000000001</v>
          </cell>
          <cell r="AT45">
            <v>-99773</v>
          </cell>
          <cell r="AU45">
            <v>-24944</v>
          </cell>
          <cell r="AV45">
            <v>0</v>
          </cell>
          <cell r="AW45">
            <v>-249435.7</v>
          </cell>
          <cell r="AX45">
            <v>-1254104</v>
          </cell>
          <cell r="AY45">
            <v>-1003283</v>
          </cell>
          <cell r="AZ45">
            <v>-250820</v>
          </cell>
          <cell r="BA45">
            <v>0</v>
          </cell>
          <cell r="BB45">
            <v>-2508207</v>
          </cell>
          <cell r="BC45">
            <v>40732039</v>
          </cell>
          <cell r="BD45">
            <v>-1498079</v>
          </cell>
          <cell r="BE45">
            <v>1142126</v>
          </cell>
          <cell r="BF45">
            <v>0</v>
          </cell>
          <cell r="BG45">
            <v>-2152909</v>
          </cell>
          <cell r="BH45">
            <v>-74411</v>
          </cell>
          <cell r="BI45">
            <v>0</v>
          </cell>
          <cell r="BJ45">
            <v>-125665</v>
          </cell>
          <cell r="BK45">
            <v>-417904</v>
          </cell>
          <cell r="BL45">
            <v>-57937</v>
          </cell>
          <cell r="BM45">
            <v>-7892</v>
          </cell>
          <cell r="BN45">
            <v>-16165</v>
          </cell>
          <cell r="BO45">
            <v>0</v>
          </cell>
          <cell r="BP45">
            <v>0</v>
          </cell>
          <cell r="BQ45">
            <v>0</v>
          </cell>
          <cell r="BR45">
            <v>0</v>
          </cell>
          <cell r="BS45">
            <v>0</v>
          </cell>
          <cell r="BT45">
            <v>40130750</v>
          </cell>
          <cell r="BU45">
            <v>0</v>
          </cell>
          <cell r="BV45">
            <v>3299773</v>
          </cell>
          <cell r="BW45">
            <v>-982218</v>
          </cell>
          <cell r="BX45">
            <v>-4163827.700000003</v>
          </cell>
          <cell r="BY45">
            <v>-3714898</v>
          </cell>
          <cell r="BZ45">
            <v>39308713</v>
          </cell>
          <cell r="CA45">
            <v>-2081913.700000003</v>
          </cell>
          <cell r="CB45">
            <v>-1665531</v>
          </cell>
          <cell r="CC45">
            <v>-416383</v>
          </cell>
          <cell r="CD45">
            <v>0</v>
          </cell>
          <cell r="CE45">
            <v>-1857449</v>
          </cell>
          <cell r="CF45">
            <v>-1485959</v>
          </cell>
          <cell r="CG45">
            <v>-371490</v>
          </cell>
          <cell r="CH45">
            <v>0</v>
          </cell>
        </row>
        <row r="46">
          <cell r="A46">
            <v>39</v>
          </cell>
          <cell r="B46" t="str">
            <v>Broxtowe</v>
          </cell>
          <cell r="C46" t="str">
            <v>E3033</v>
          </cell>
          <cell r="D46">
            <v>106254</v>
          </cell>
          <cell r="H46">
            <v>356910.08999999997</v>
          </cell>
          <cell r="I46">
            <v>8895.1900000000023</v>
          </cell>
          <cell r="J46">
            <v>106254</v>
          </cell>
          <cell r="K46">
            <v>0</v>
          </cell>
          <cell r="L46">
            <v>0</v>
          </cell>
          <cell r="M46">
            <v>0</v>
          </cell>
          <cell r="N46">
            <v>110000</v>
          </cell>
          <cell r="O46">
            <v>110000</v>
          </cell>
          <cell r="P46">
            <v>0</v>
          </cell>
          <cell r="Q46">
            <v>0</v>
          </cell>
          <cell r="R46">
            <v>473498</v>
          </cell>
          <cell r="S46">
            <v>106537</v>
          </cell>
          <cell r="T46">
            <v>11837</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M46">
            <v>0</v>
          </cell>
          <cell r="AN46">
            <v>0</v>
          </cell>
          <cell r="AO46">
            <v>0</v>
          </cell>
          <cell r="AP46">
            <v>160511</v>
          </cell>
          <cell r="AQ46">
            <v>35743</v>
          </cell>
          <cell r="AR46">
            <v>3971</v>
          </cell>
          <cell r="AS46">
            <v>-358000</v>
          </cell>
          <cell r="AT46">
            <v>-286400</v>
          </cell>
          <cell r="AU46">
            <v>-64440</v>
          </cell>
          <cell r="AV46">
            <v>-7160</v>
          </cell>
          <cell r="AW46">
            <v>-716000</v>
          </cell>
          <cell r="AX46">
            <v>-1511866</v>
          </cell>
          <cell r="AY46">
            <v>-1209494</v>
          </cell>
          <cell r="AZ46">
            <v>-272137</v>
          </cell>
          <cell r="BA46">
            <v>-30237</v>
          </cell>
          <cell r="BB46">
            <v>-3023734</v>
          </cell>
          <cell r="BC46">
            <v>23137167</v>
          </cell>
          <cell r="BD46">
            <v>-1748436</v>
          </cell>
          <cell r="BE46">
            <v>648625</v>
          </cell>
          <cell r="BF46">
            <v>0</v>
          </cell>
          <cell r="BG46">
            <v>-1156170</v>
          </cell>
          <cell r="BH46">
            <v>0</v>
          </cell>
          <cell r="BI46">
            <v>-1970</v>
          </cell>
          <cell r="BJ46">
            <v>-980</v>
          </cell>
          <cell r="BK46">
            <v>-828862</v>
          </cell>
          <cell r="BL46">
            <v>-70763</v>
          </cell>
          <cell r="BM46">
            <v>-12802</v>
          </cell>
          <cell r="BN46">
            <v>0</v>
          </cell>
          <cell r="BO46">
            <v>-1969</v>
          </cell>
          <cell r="BP46">
            <v>0</v>
          </cell>
          <cell r="BQ46">
            <v>-71230</v>
          </cell>
          <cell r="BR46">
            <v>-71230</v>
          </cell>
          <cell r="BS46">
            <v>0</v>
          </cell>
          <cell r="BT46">
            <v>24644155</v>
          </cell>
          <cell r="BU46">
            <v>-74622</v>
          </cell>
          <cell r="BV46">
            <v>1202659</v>
          </cell>
          <cell r="BW46">
            <v>-602981</v>
          </cell>
          <cell r="BX46">
            <v>-3337467</v>
          </cell>
          <cell r="BY46">
            <v>-1725658</v>
          </cell>
          <cell r="BZ46">
            <v>26438560</v>
          </cell>
          <cell r="CA46">
            <v>-1668735</v>
          </cell>
          <cell r="CB46">
            <v>-1334986</v>
          </cell>
          <cell r="CC46">
            <v>-300372</v>
          </cell>
          <cell r="CD46">
            <v>-33374</v>
          </cell>
          <cell r="CE46">
            <v>-862829</v>
          </cell>
          <cell r="CF46">
            <v>-690263</v>
          </cell>
          <cell r="CG46">
            <v>-155309</v>
          </cell>
          <cell r="CH46">
            <v>-17257</v>
          </cell>
        </row>
        <row r="47">
          <cell r="A47">
            <v>40</v>
          </cell>
          <cell r="B47" t="str">
            <v>Burnley</v>
          </cell>
          <cell r="C47" t="str">
            <v>E2333</v>
          </cell>
          <cell r="D47">
            <v>148995</v>
          </cell>
          <cell r="H47">
            <v>-2070334</v>
          </cell>
          <cell r="I47">
            <v>0</v>
          </cell>
          <cell r="J47">
            <v>148995</v>
          </cell>
          <cell r="K47">
            <v>0</v>
          </cell>
          <cell r="L47">
            <v>233252</v>
          </cell>
          <cell r="M47">
            <v>0</v>
          </cell>
          <cell r="N47">
            <v>0</v>
          </cell>
          <cell r="O47">
            <v>0</v>
          </cell>
          <cell r="P47">
            <v>0</v>
          </cell>
          <cell r="Q47">
            <v>0</v>
          </cell>
          <cell r="R47">
            <v>682089</v>
          </cell>
          <cell r="S47">
            <v>153470</v>
          </cell>
          <cell r="T47">
            <v>17052</v>
          </cell>
          <cell r="U47">
            <v>2857</v>
          </cell>
          <cell r="V47">
            <v>643</v>
          </cell>
          <cell r="W47">
            <v>71</v>
          </cell>
          <cell r="X47">
            <v>10150</v>
          </cell>
          <cell r="Y47">
            <v>2284</v>
          </cell>
          <cell r="Z47">
            <v>254</v>
          </cell>
          <cell r="AA47">
            <v>0</v>
          </cell>
          <cell r="AB47">
            <v>0</v>
          </cell>
          <cell r="AC47">
            <v>0</v>
          </cell>
          <cell r="AD47">
            <v>0</v>
          </cell>
          <cell r="AE47">
            <v>0</v>
          </cell>
          <cell r="AF47">
            <v>0</v>
          </cell>
          <cell r="AG47">
            <v>0</v>
          </cell>
          <cell r="AH47">
            <v>0</v>
          </cell>
          <cell r="AI47">
            <v>0</v>
          </cell>
          <cell r="AM47">
            <v>0</v>
          </cell>
          <cell r="AN47">
            <v>0</v>
          </cell>
          <cell r="AO47">
            <v>0</v>
          </cell>
          <cell r="AP47">
            <v>151698</v>
          </cell>
          <cell r="AQ47">
            <v>33344</v>
          </cell>
          <cell r="AR47">
            <v>3705</v>
          </cell>
          <cell r="AS47">
            <v>-650925.34000000008</v>
          </cell>
          <cell r="AT47">
            <v>-520740</v>
          </cell>
          <cell r="AU47">
            <v>-117166</v>
          </cell>
          <cell r="AV47">
            <v>-13019</v>
          </cell>
          <cell r="AW47">
            <v>-1301850.3399999999</v>
          </cell>
          <cell r="AX47">
            <v>-3359751</v>
          </cell>
          <cell r="AY47">
            <v>-2687800</v>
          </cell>
          <cell r="AZ47">
            <v>-604756</v>
          </cell>
          <cell r="BA47">
            <v>-67195</v>
          </cell>
          <cell r="BB47">
            <v>-6719502</v>
          </cell>
          <cell r="BC47">
            <v>29453520</v>
          </cell>
          <cell r="BD47">
            <v>-2852118</v>
          </cell>
          <cell r="BE47">
            <v>801395</v>
          </cell>
          <cell r="BF47">
            <v>0</v>
          </cell>
          <cell r="BG47">
            <v>-2252272</v>
          </cell>
          <cell r="BH47">
            <v>-27872</v>
          </cell>
          <cell r="BI47">
            <v>-2970</v>
          </cell>
          <cell r="BJ47">
            <v>0</v>
          </cell>
          <cell r="BK47">
            <v>-1288641</v>
          </cell>
          <cell r="BL47">
            <v>-91530</v>
          </cell>
          <cell r="BM47">
            <v>-102551</v>
          </cell>
          <cell r="BN47">
            <v>0</v>
          </cell>
          <cell r="BO47">
            <v>0</v>
          </cell>
          <cell r="BP47">
            <v>0</v>
          </cell>
          <cell r="BQ47">
            <v>-102773</v>
          </cell>
          <cell r="BR47">
            <v>0</v>
          </cell>
          <cell r="BS47">
            <v>0</v>
          </cell>
          <cell r="BT47">
            <v>29967611</v>
          </cell>
          <cell r="BU47">
            <v>-481603</v>
          </cell>
          <cell r="BV47">
            <v>1674209</v>
          </cell>
          <cell r="BW47">
            <v>-312768</v>
          </cell>
          <cell r="BX47">
            <v>143271</v>
          </cell>
          <cell r="BY47">
            <v>-1188846</v>
          </cell>
          <cell r="BZ47">
            <v>24663690</v>
          </cell>
          <cell r="CA47">
            <v>71635</v>
          </cell>
          <cell r="CB47">
            <v>57309</v>
          </cell>
          <cell r="CC47">
            <v>12895</v>
          </cell>
          <cell r="CD47">
            <v>1432</v>
          </cell>
          <cell r="CE47">
            <v>-594424</v>
          </cell>
          <cell r="CF47">
            <v>-475538</v>
          </cell>
          <cell r="CG47">
            <v>-106996</v>
          </cell>
          <cell r="CH47">
            <v>-11888</v>
          </cell>
        </row>
        <row r="48">
          <cell r="A48">
            <v>41</v>
          </cell>
          <cell r="B48" t="str">
            <v>Bury</v>
          </cell>
          <cell r="C48" t="str">
            <v>E4202</v>
          </cell>
          <cell r="D48">
            <v>238334</v>
          </cell>
          <cell r="H48">
            <v>-1770556</v>
          </cell>
          <cell r="I48">
            <v>0</v>
          </cell>
          <cell r="J48">
            <v>238334</v>
          </cell>
          <cell r="K48">
            <v>0</v>
          </cell>
          <cell r="L48">
            <v>0</v>
          </cell>
          <cell r="M48">
            <v>0</v>
          </cell>
          <cell r="N48">
            <v>0</v>
          </cell>
          <cell r="O48">
            <v>0</v>
          </cell>
          <cell r="P48">
            <v>0</v>
          </cell>
          <cell r="Q48">
            <v>0</v>
          </cell>
          <cell r="R48">
            <v>3098335</v>
          </cell>
          <cell r="S48">
            <v>0</v>
          </cell>
          <cell r="T48">
            <v>31296</v>
          </cell>
          <cell r="U48">
            <v>0</v>
          </cell>
          <cell r="V48">
            <v>0</v>
          </cell>
          <cell r="W48">
            <v>0</v>
          </cell>
          <cell r="X48">
            <v>106167</v>
          </cell>
          <cell r="Y48">
            <v>0</v>
          </cell>
          <cell r="Z48">
            <v>1072</v>
          </cell>
          <cell r="AA48">
            <v>0</v>
          </cell>
          <cell r="AB48">
            <v>0</v>
          </cell>
          <cell r="AC48">
            <v>0</v>
          </cell>
          <cell r="AD48">
            <v>0</v>
          </cell>
          <cell r="AE48">
            <v>0</v>
          </cell>
          <cell r="AF48">
            <v>0</v>
          </cell>
          <cell r="AG48">
            <v>0</v>
          </cell>
          <cell r="AH48">
            <v>0</v>
          </cell>
          <cell r="AI48">
            <v>0</v>
          </cell>
          <cell r="AM48">
            <v>0</v>
          </cell>
          <cell r="AN48">
            <v>0</v>
          </cell>
          <cell r="AO48">
            <v>0</v>
          </cell>
          <cell r="AP48">
            <v>694053</v>
          </cell>
          <cell r="AQ48">
            <v>0</v>
          </cell>
          <cell r="AR48">
            <v>7011</v>
          </cell>
          <cell r="AS48">
            <v>-1884570</v>
          </cell>
          <cell r="AT48">
            <v>-1846877.4</v>
          </cell>
          <cell r="AU48">
            <v>0</v>
          </cell>
          <cell r="AV48">
            <v>-37690.6</v>
          </cell>
          <cell r="AW48">
            <v>-3769138</v>
          </cell>
          <cell r="AX48">
            <v>-3709374</v>
          </cell>
          <cell r="AY48">
            <v>-3635186</v>
          </cell>
          <cell r="AZ48">
            <v>0</v>
          </cell>
          <cell r="BA48">
            <v>-74188</v>
          </cell>
          <cell r="BB48">
            <v>-7418748</v>
          </cell>
          <cell r="BC48">
            <v>48341563</v>
          </cell>
          <cell r="BD48">
            <v>-5107077</v>
          </cell>
          <cell r="BE48">
            <v>1344237</v>
          </cell>
          <cell r="BF48">
            <v>0</v>
          </cell>
          <cell r="BG48">
            <v>-2402558</v>
          </cell>
          <cell r="BH48">
            <v>-113744</v>
          </cell>
          <cell r="BI48">
            <v>-1566</v>
          </cell>
          <cell r="BJ48">
            <v>0</v>
          </cell>
          <cell r="BK48">
            <v>-1759192</v>
          </cell>
          <cell r="BL48">
            <v>-335806</v>
          </cell>
          <cell r="BM48">
            <v>-68054</v>
          </cell>
          <cell r="BN48">
            <v>-28436</v>
          </cell>
          <cell r="BO48">
            <v>-1566</v>
          </cell>
          <cell r="BP48">
            <v>0</v>
          </cell>
          <cell r="BQ48">
            <v>0</v>
          </cell>
          <cell r="BR48">
            <v>0</v>
          </cell>
          <cell r="BS48">
            <v>0</v>
          </cell>
          <cell r="BT48">
            <v>51992636</v>
          </cell>
          <cell r="BU48">
            <v>-3687850</v>
          </cell>
          <cell r="BV48">
            <v>7600201</v>
          </cell>
          <cell r="BW48">
            <v>-1397470</v>
          </cell>
          <cell r="BX48">
            <v>-2988823</v>
          </cell>
          <cell r="BY48">
            <v>-3840819</v>
          </cell>
          <cell r="BZ48">
            <v>46670809</v>
          </cell>
          <cell r="CA48">
            <v>-1494413</v>
          </cell>
          <cell r="CB48">
            <v>-1464523</v>
          </cell>
          <cell r="CC48">
            <v>0</v>
          </cell>
          <cell r="CD48">
            <v>-29887</v>
          </cell>
          <cell r="CE48">
            <v>-1920410</v>
          </cell>
          <cell r="CF48">
            <v>-1882001</v>
          </cell>
          <cell r="CG48">
            <v>0</v>
          </cell>
          <cell r="CH48">
            <v>-38408</v>
          </cell>
        </row>
        <row r="49">
          <cell r="A49">
            <v>42</v>
          </cell>
          <cell r="B49" t="str">
            <v>Calderdale</v>
          </cell>
          <cell r="C49" t="str">
            <v>E4702</v>
          </cell>
          <cell r="D49">
            <v>349888</v>
          </cell>
          <cell r="H49">
            <v>-1606035</v>
          </cell>
          <cell r="I49">
            <v>0</v>
          </cell>
          <cell r="J49">
            <v>349888</v>
          </cell>
          <cell r="K49">
            <v>0</v>
          </cell>
          <cell r="L49">
            <v>218234</v>
          </cell>
          <cell r="M49">
            <v>0</v>
          </cell>
          <cell r="N49">
            <v>0</v>
          </cell>
          <cell r="O49">
            <v>0</v>
          </cell>
          <cell r="P49">
            <v>0</v>
          </cell>
          <cell r="Q49">
            <v>0</v>
          </cell>
          <cell r="R49">
            <v>3102971</v>
          </cell>
          <cell r="S49">
            <v>0</v>
          </cell>
          <cell r="T49">
            <v>63326</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M49">
            <v>0</v>
          </cell>
          <cell r="AN49">
            <v>0</v>
          </cell>
          <cell r="AO49">
            <v>0</v>
          </cell>
          <cell r="AP49">
            <v>384983</v>
          </cell>
          <cell r="AQ49">
            <v>0</v>
          </cell>
          <cell r="AR49">
            <v>7790</v>
          </cell>
          <cell r="AS49">
            <v>-1381480</v>
          </cell>
          <cell r="AT49">
            <v>-1353849</v>
          </cell>
          <cell r="AU49">
            <v>0</v>
          </cell>
          <cell r="AV49">
            <v>-27629</v>
          </cell>
          <cell r="AW49">
            <v>-2762958</v>
          </cell>
          <cell r="AX49">
            <v>-3310238</v>
          </cell>
          <cell r="AY49">
            <v>-3244034</v>
          </cell>
          <cell r="AZ49">
            <v>0</v>
          </cell>
          <cell r="BA49">
            <v>-66205</v>
          </cell>
          <cell r="BB49">
            <v>-6620477</v>
          </cell>
          <cell r="BC49">
            <v>55248500</v>
          </cell>
          <cell r="BD49">
            <v>-7207499</v>
          </cell>
          <cell r="BE49">
            <v>1576761</v>
          </cell>
          <cell r="BF49">
            <v>0</v>
          </cell>
          <cell r="BG49">
            <v>-3934104</v>
          </cell>
          <cell r="BH49">
            <v>-183484</v>
          </cell>
          <cell r="BI49">
            <v>-9709</v>
          </cell>
          <cell r="BJ49">
            <v>0</v>
          </cell>
          <cell r="BK49">
            <v>-2942637</v>
          </cell>
          <cell r="BL49">
            <v>-196906</v>
          </cell>
          <cell r="BM49">
            <v>-217243</v>
          </cell>
          <cell r="BN49">
            <v>0</v>
          </cell>
          <cell r="BO49">
            <v>-4123</v>
          </cell>
          <cell r="BP49">
            <v>0</v>
          </cell>
          <cell r="BQ49">
            <v>-5400</v>
          </cell>
          <cell r="BR49">
            <v>0</v>
          </cell>
          <cell r="BS49">
            <v>0</v>
          </cell>
          <cell r="BT49">
            <v>59431231</v>
          </cell>
          <cell r="BU49">
            <v>-1772334</v>
          </cell>
          <cell r="BV49">
            <v>4996297</v>
          </cell>
          <cell r="BW49">
            <v>-1768326</v>
          </cell>
          <cell r="BX49">
            <v>-4988576</v>
          </cell>
          <cell r="BY49">
            <v>-6392204</v>
          </cell>
          <cell r="BZ49">
            <v>51858380</v>
          </cell>
          <cell r="CA49">
            <v>-2494289</v>
          </cell>
          <cell r="CB49">
            <v>-2444402</v>
          </cell>
          <cell r="CC49">
            <v>0</v>
          </cell>
          <cell r="CD49">
            <v>-49885</v>
          </cell>
          <cell r="CE49">
            <v>-3196102</v>
          </cell>
          <cell r="CF49">
            <v>-3132180</v>
          </cell>
          <cell r="CG49">
            <v>0</v>
          </cell>
          <cell r="CH49">
            <v>-63922</v>
          </cell>
        </row>
        <row r="50">
          <cell r="A50">
            <v>43</v>
          </cell>
          <cell r="B50" t="str">
            <v>Cambridge</v>
          </cell>
          <cell r="C50" t="str">
            <v>E0531</v>
          </cell>
          <cell r="D50">
            <v>226244</v>
          </cell>
          <cell r="H50">
            <v>618501</v>
          </cell>
          <cell r="I50">
            <v>0</v>
          </cell>
          <cell r="J50">
            <v>226244</v>
          </cell>
          <cell r="K50">
            <v>0</v>
          </cell>
          <cell r="L50">
            <v>0</v>
          </cell>
          <cell r="M50">
            <v>0</v>
          </cell>
          <cell r="N50">
            <v>0</v>
          </cell>
          <cell r="O50">
            <v>0</v>
          </cell>
          <cell r="P50">
            <v>0</v>
          </cell>
          <cell r="Q50">
            <v>0</v>
          </cell>
          <cell r="R50">
            <v>497295</v>
          </cell>
          <cell r="S50">
            <v>111891</v>
          </cell>
          <cell r="T50">
            <v>12432</v>
          </cell>
          <cell r="U50">
            <v>2030</v>
          </cell>
          <cell r="V50">
            <v>457</v>
          </cell>
          <cell r="W50">
            <v>51</v>
          </cell>
          <cell r="X50">
            <v>20300</v>
          </cell>
          <cell r="Y50">
            <v>4568</v>
          </cell>
          <cell r="Z50">
            <v>508</v>
          </cell>
          <cell r="AA50">
            <v>30451</v>
          </cell>
          <cell r="AB50">
            <v>6851</v>
          </cell>
          <cell r="AC50">
            <v>761</v>
          </cell>
          <cell r="AD50">
            <v>0</v>
          </cell>
          <cell r="AE50">
            <v>0</v>
          </cell>
          <cell r="AF50">
            <v>0</v>
          </cell>
          <cell r="AG50">
            <v>0</v>
          </cell>
          <cell r="AH50">
            <v>0</v>
          </cell>
          <cell r="AI50">
            <v>0</v>
          </cell>
          <cell r="AM50">
            <v>0</v>
          </cell>
          <cell r="AN50">
            <v>0</v>
          </cell>
          <cell r="AO50">
            <v>0</v>
          </cell>
          <cell r="AP50">
            <v>615651</v>
          </cell>
          <cell r="AQ50">
            <v>138521</v>
          </cell>
          <cell r="AR50">
            <v>15391</v>
          </cell>
          <cell r="AS50">
            <v>-335639</v>
          </cell>
          <cell r="AT50">
            <v>-268513</v>
          </cell>
          <cell r="AU50">
            <v>-60416</v>
          </cell>
          <cell r="AV50">
            <v>-6714</v>
          </cell>
          <cell r="AW50">
            <v>-671282</v>
          </cell>
          <cell r="AX50">
            <v>-4595439</v>
          </cell>
          <cell r="AY50">
            <v>-3676352</v>
          </cell>
          <cell r="AZ50">
            <v>-827181</v>
          </cell>
          <cell r="BA50">
            <v>-91908</v>
          </cell>
          <cell r="BB50">
            <v>-9190880</v>
          </cell>
          <cell r="BC50">
            <v>98996430</v>
          </cell>
          <cell r="BD50">
            <v>-1490547</v>
          </cell>
          <cell r="BE50">
            <v>3181221</v>
          </cell>
          <cell r="BF50">
            <v>0</v>
          </cell>
          <cell r="BG50">
            <v>-22625896</v>
          </cell>
          <cell r="BH50">
            <v>-15188</v>
          </cell>
          <cell r="BI50">
            <v>0</v>
          </cell>
          <cell r="BJ50">
            <v>-3622</v>
          </cell>
          <cell r="BK50">
            <v>-2108692</v>
          </cell>
          <cell r="BL50">
            <v>-146048</v>
          </cell>
          <cell r="BM50">
            <v>-1143</v>
          </cell>
          <cell r="BN50">
            <v>0</v>
          </cell>
          <cell r="BO50">
            <v>0</v>
          </cell>
          <cell r="BP50">
            <v>0</v>
          </cell>
          <cell r="BQ50">
            <v>0</v>
          </cell>
          <cell r="BR50">
            <v>0</v>
          </cell>
          <cell r="BS50">
            <v>0</v>
          </cell>
          <cell r="BT50">
            <v>99494437</v>
          </cell>
          <cell r="BU50">
            <v>-414048</v>
          </cell>
          <cell r="BV50">
            <v>1355649</v>
          </cell>
          <cell r="BW50">
            <v>-2446499</v>
          </cell>
          <cell r="BX50">
            <v>-1856415</v>
          </cell>
          <cell r="BY50">
            <v>-1888515</v>
          </cell>
          <cell r="BZ50">
            <v>102184129</v>
          </cell>
          <cell r="CA50">
            <v>-928207</v>
          </cell>
          <cell r="CB50">
            <v>-742566</v>
          </cell>
          <cell r="CC50">
            <v>-167077</v>
          </cell>
          <cell r="CD50">
            <v>-18565</v>
          </cell>
          <cell r="CE50">
            <v>-944258</v>
          </cell>
          <cell r="CF50">
            <v>-755406</v>
          </cell>
          <cell r="CG50">
            <v>-169966</v>
          </cell>
          <cell r="CH50">
            <v>-18885</v>
          </cell>
        </row>
        <row r="51">
          <cell r="A51">
            <v>44</v>
          </cell>
          <cell r="B51" t="str">
            <v>Camden</v>
          </cell>
          <cell r="C51" t="str">
            <v>E5011</v>
          </cell>
          <cell r="D51">
            <v>1258806</v>
          </cell>
          <cell r="H51">
            <v>42239009</v>
          </cell>
          <cell r="I51">
            <v>0</v>
          </cell>
          <cell r="J51">
            <v>1258806</v>
          </cell>
          <cell r="K51">
            <v>0</v>
          </cell>
          <cell r="L51">
            <v>0</v>
          </cell>
          <cell r="M51">
            <v>0</v>
          </cell>
          <cell r="N51">
            <v>0</v>
          </cell>
          <cell r="O51">
            <v>0</v>
          </cell>
          <cell r="P51">
            <v>0</v>
          </cell>
          <cell r="Q51">
            <v>0</v>
          </cell>
          <cell r="R51">
            <v>602800</v>
          </cell>
          <cell r="S51">
            <v>743453</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M51">
            <v>0</v>
          </cell>
          <cell r="AN51">
            <v>0</v>
          </cell>
          <cell r="AO51">
            <v>0</v>
          </cell>
          <cell r="AP51">
            <v>2816524</v>
          </cell>
          <cell r="AQ51">
            <v>3473712</v>
          </cell>
          <cell r="AR51">
            <v>0</v>
          </cell>
          <cell r="AS51">
            <v>-3962828</v>
          </cell>
          <cell r="AT51">
            <v>-2377698</v>
          </cell>
          <cell r="AU51">
            <v>-1585132</v>
          </cell>
          <cell r="AV51">
            <v>0</v>
          </cell>
          <cell r="AW51">
            <v>-7925658</v>
          </cell>
          <cell r="AX51">
            <v>-14422947</v>
          </cell>
          <cell r="AY51">
            <v>-8653768</v>
          </cell>
          <cell r="AZ51">
            <v>-5769179</v>
          </cell>
          <cell r="BA51">
            <v>0</v>
          </cell>
          <cell r="BB51">
            <v>-28845894</v>
          </cell>
          <cell r="BC51">
            <v>516958540</v>
          </cell>
          <cell r="BD51">
            <v>-3179572</v>
          </cell>
          <cell r="BE51">
            <v>14911145</v>
          </cell>
          <cell r="BF51">
            <v>0</v>
          </cell>
          <cell r="BG51">
            <v>-58339913</v>
          </cell>
          <cell r="BH51">
            <v>-14214</v>
          </cell>
          <cell r="BI51">
            <v>0</v>
          </cell>
          <cell r="BJ51">
            <v>-1270667</v>
          </cell>
          <cell r="BK51">
            <v>-22541781</v>
          </cell>
          <cell r="BL51">
            <v>-190918</v>
          </cell>
          <cell r="BM51">
            <v>-4000</v>
          </cell>
          <cell r="BN51">
            <v>0</v>
          </cell>
          <cell r="BO51">
            <v>0</v>
          </cell>
          <cell r="BP51">
            <v>0</v>
          </cell>
          <cell r="BQ51">
            <v>0</v>
          </cell>
          <cell r="BR51">
            <v>0</v>
          </cell>
          <cell r="BS51">
            <v>0</v>
          </cell>
          <cell r="BT51">
            <v>511053967</v>
          </cell>
          <cell r="BU51">
            <v>192673</v>
          </cell>
          <cell r="BV51">
            <v>10434670</v>
          </cell>
          <cell r="BW51">
            <v>-6692463</v>
          </cell>
          <cell r="BX51">
            <v>-7279599</v>
          </cell>
          <cell r="BY51">
            <v>41694</v>
          </cell>
          <cell r="BZ51">
            <v>625000000</v>
          </cell>
          <cell r="CA51">
            <v>-3639799</v>
          </cell>
          <cell r="CB51">
            <v>-2183880</v>
          </cell>
          <cell r="CC51">
            <v>-1455920</v>
          </cell>
          <cell r="CD51">
            <v>0</v>
          </cell>
          <cell r="CE51">
            <v>20847</v>
          </cell>
          <cell r="CF51">
            <v>12508</v>
          </cell>
          <cell r="CG51">
            <v>8339</v>
          </cell>
          <cell r="CH51">
            <v>0</v>
          </cell>
        </row>
        <row r="52">
          <cell r="A52">
            <v>45</v>
          </cell>
          <cell r="B52" t="str">
            <v>Cannock Chase</v>
          </cell>
          <cell r="C52" t="str">
            <v>E3431</v>
          </cell>
          <cell r="D52">
            <v>130851</v>
          </cell>
          <cell r="H52">
            <v>-2846788</v>
          </cell>
          <cell r="I52">
            <v>0</v>
          </cell>
          <cell r="J52">
            <v>130851</v>
          </cell>
          <cell r="K52">
            <v>0</v>
          </cell>
          <cell r="L52">
            <v>0</v>
          </cell>
          <cell r="M52">
            <v>0</v>
          </cell>
          <cell r="N52">
            <v>0</v>
          </cell>
          <cell r="O52">
            <v>0</v>
          </cell>
          <cell r="P52">
            <v>0</v>
          </cell>
          <cell r="Q52">
            <v>0</v>
          </cell>
          <cell r="R52">
            <v>731248</v>
          </cell>
          <cell r="S52">
            <v>164531</v>
          </cell>
          <cell r="T52">
            <v>18281</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M52">
            <v>0</v>
          </cell>
          <cell r="AN52">
            <v>0</v>
          </cell>
          <cell r="AO52">
            <v>0</v>
          </cell>
          <cell r="AP52">
            <v>180630</v>
          </cell>
          <cell r="AQ52">
            <v>40642</v>
          </cell>
          <cell r="AR52">
            <v>4516</v>
          </cell>
          <cell r="AS52">
            <v>-665769</v>
          </cell>
          <cell r="AT52">
            <v>-532617</v>
          </cell>
          <cell r="AU52">
            <v>-119839</v>
          </cell>
          <cell r="AV52">
            <v>-13316</v>
          </cell>
          <cell r="AW52">
            <v>-1331541</v>
          </cell>
          <cell r="AX52">
            <v>-3157688</v>
          </cell>
          <cell r="AY52">
            <v>-2526150</v>
          </cell>
          <cell r="AZ52">
            <v>-568384</v>
          </cell>
          <cell r="BA52">
            <v>-63154</v>
          </cell>
          <cell r="BB52">
            <v>-6315376</v>
          </cell>
          <cell r="BC52">
            <v>34320322</v>
          </cell>
          <cell r="BD52">
            <v>-2685014</v>
          </cell>
          <cell r="BE52">
            <v>934422</v>
          </cell>
          <cell r="BF52">
            <v>0</v>
          </cell>
          <cell r="BG52">
            <v>-1655880</v>
          </cell>
          <cell r="BH52">
            <v>-1491</v>
          </cell>
          <cell r="BI52">
            <v>0</v>
          </cell>
          <cell r="BJ52">
            <v>0</v>
          </cell>
          <cell r="BK52">
            <v>-745011</v>
          </cell>
          <cell r="BL52">
            <v>-69127</v>
          </cell>
          <cell r="BM52">
            <v>-10761</v>
          </cell>
          <cell r="BN52">
            <v>-40</v>
          </cell>
          <cell r="BO52">
            <v>0</v>
          </cell>
          <cell r="BP52">
            <v>0</v>
          </cell>
          <cell r="BQ52">
            <v>-36240</v>
          </cell>
          <cell r="BR52">
            <v>0</v>
          </cell>
          <cell r="BS52">
            <v>0</v>
          </cell>
          <cell r="BT52">
            <v>35552422</v>
          </cell>
          <cell r="BU52">
            <v>-301763</v>
          </cell>
          <cell r="BV52">
            <v>1821678</v>
          </cell>
          <cell r="BW52">
            <v>-337633</v>
          </cell>
          <cell r="BX52">
            <v>-1114539</v>
          </cell>
          <cell r="BY52">
            <v>-1494275</v>
          </cell>
          <cell r="BZ52">
            <v>30061928</v>
          </cell>
          <cell r="CA52">
            <v>-557268</v>
          </cell>
          <cell r="CB52">
            <v>-445816</v>
          </cell>
          <cell r="CC52">
            <v>-100309</v>
          </cell>
          <cell r="CD52">
            <v>-11146</v>
          </cell>
          <cell r="CE52">
            <v>-747137</v>
          </cell>
          <cell r="CF52">
            <v>-597710</v>
          </cell>
          <cell r="CG52">
            <v>-134485</v>
          </cell>
          <cell r="CH52">
            <v>-14943</v>
          </cell>
        </row>
        <row r="53">
          <cell r="A53">
            <v>46</v>
          </cell>
          <cell r="B53" t="str">
            <v>Canterbury</v>
          </cell>
          <cell r="C53" t="str">
            <v>E2232</v>
          </cell>
          <cell r="D53">
            <v>228946</v>
          </cell>
          <cell r="H53">
            <v>-2040430</v>
          </cell>
          <cell r="I53">
            <v>0</v>
          </cell>
          <cell r="J53">
            <v>228946</v>
          </cell>
          <cell r="K53">
            <v>0</v>
          </cell>
          <cell r="L53">
            <v>328566</v>
          </cell>
          <cell r="M53">
            <v>0</v>
          </cell>
          <cell r="N53">
            <v>0</v>
          </cell>
          <cell r="O53">
            <v>0</v>
          </cell>
          <cell r="P53">
            <v>0</v>
          </cell>
          <cell r="Q53">
            <v>0</v>
          </cell>
          <cell r="R53">
            <v>899616</v>
          </cell>
          <cell r="S53">
            <v>202414</v>
          </cell>
          <cell r="T53">
            <v>22490</v>
          </cell>
          <cell r="U53">
            <v>1273</v>
          </cell>
          <cell r="V53">
            <v>286</v>
          </cell>
          <cell r="W53">
            <v>32</v>
          </cell>
          <cell r="X53">
            <v>0</v>
          </cell>
          <cell r="Y53">
            <v>0</v>
          </cell>
          <cell r="Z53">
            <v>0</v>
          </cell>
          <cell r="AA53">
            <v>285</v>
          </cell>
          <cell r="AB53">
            <v>64</v>
          </cell>
          <cell r="AC53">
            <v>7</v>
          </cell>
          <cell r="AD53">
            <v>0</v>
          </cell>
          <cell r="AE53">
            <v>0</v>
          </cell>
          <cell r="AF53">
            <v>0</v>
          </cell>
          <cell r="AG53">
            <v>0</v>
          </cell>
          <cell r="AH53">
            <v>0</v>
          </cell>
          <cell r="AI53">
            <v>0</v>
          </cell>
          <cell r="AM53">
            <v>0</v>
          </cell>
          <cell r="AN53">
            <v>0</v>
          </cell>
          <cell r="AO53">
            <v>0</v>
          </cell>
          <cell r="AP53">
            <v>294527</v>
          </cell>
          <cell r="AQ53">
            <v>65158</v>
          </cell>
          <cell r="AR53">
            <v>7240</v>
          </cell>
          <cell r="AS53">
            <v>-283173</v>
          </cell>
          <cell r="AT53">
            <v>-226539</v>
          </cell>
          <cell r="AU53">
            <v>-50972</v>
          </cell>
          <cell r="AV53">
            <v>-5664</v>
          </cell>
          <cell r="AW53">
            <v>-566348</v>
          </cell>
          <cell r="AX53">
            <v>-2324624</v>
          </cell>
          <cell r="AY53">
            <v>-1859698</v>
          </cell>
          <cell r="AZ53">
            <v>-418432</v>
          </cell>
          <cell r="BA53">
            <v>-46493</v>
          </cell>
          <cell r="BB53">
            <v>-4649247</v>
          </cell>
          <cell r="BC53">
            <v>53159047</v>
          </cell>
          <cell r="BD53">
            <v>-3630065</v>
          </cell>
          <cell r="BE53">
            <v>1526806</v>
          </cell>
          <cell r="BF53">
            <v>0</v>
          </cell>
          <cell r="BG53">
            <v>-7339609</v>
          </cell>
          <cell r="BH53">
            <v>-100865</v>
          </cell>
          <cell r="BI53">
            <v>-27202</v>
          </cell>
          <cell r="BJ53">
            <v>-366</v>
          </cell>
          <cell r="BK53">
            <v>-1210188</v>
          </cell>
          <cell r="BL53">
            <v>-241403</v>
          </cell>
          <cell r="BM53">
            <v>-56594</v>
          </cell>
          <cell r="BN53">
            <v>-5044</v>
          </cell>
          <cell r="BO53">
            <v>-7544</v>
          </cell>
          <cell r="BP53">
            <v>0</v>
          </cell>
          <cell r="BQ53">
            <v>0</v>
          </cell>
          <cell r="BR53">
            <v>0</v>
          </cell>
          <cell r="BS53">
            <v>0</v>
          </cell>
          <cell r="BT53">
            <v>54154673</v>
          </cell>
          <cell r="BU53">
            <v>-492212</v>
          </cell>
          <cell r="BV53">
            <v>1483816</v>
          </cell>
          <cell r="BW53">
            <v>-1256124</v>
          </cell>
          <cell r="BX53">
            <v>4233421</v>
          </cell>
          <cell r="BY53">
            <v>2766930</v>
          </cell>
          <cell r="BZ53">
            <v>48196233</v>
          </cell>
          <cell r="CA53">
            <v>2359493</v>
          </cell>
          <cell r="CB53">
            <v>1402028</v>
          </cell>
          <cell r="CC53">
            <v>424709</v>
          </cell>
          <cell r="CD53">
            <v>47191</v>
          </cell>
          <cell r="CE53">
            <v>1383465</v>
          </cell>
          <cell r="CF53">
            <v>1106772</v>
          </cell>
          <cell r="CG53">
            <v>249024</v>
          </cell>
          <cell r="CH53">
            <v>27669</v>
          </cell>
        </row>
        <row r="54">
          <cell r="A54">
            <v>47</v>
          </cell>
          <cell r="B54" t="str">
            <v>Carlisle</v>
          </cell>
          <cell r="C54" t="str">
            <v>E0933</v>
          </cell>
          <cell r="D54">
            <v>176202</v>
          </cell>
          <cell r="H54">
            <v>-2871967</v>
          </cell>
          <cell r="I54">
            <v>-27926</v>
          </cell>
          <cell r="J54">
            <v>176202</v>
          </cell>
          <cell r="K54">
            <v>73700</v>
          </cell>
          <cell r="L54">
            <v>83705</v>
          </cell>
          <cell r="M54">
            <v>0</v>
          </cell>
          <cell r="N54">
            <v>0</v>
          </cell>
          <cell r="O54">
            <v>0</v>
          </cell>
          <cell r="P54">
            <v>0</v>
          </cell>
          <cell r="Q54">
            <v>0</v>
          </cell>
          <cell r="R54">
            <v>685084</v>
          </cell>
          <cell r="S54">
            <v>164697</v>
          </cell>
          <cell r="T54">
            <v>0</v>
          </cell>
          <cell r="U54">
            <v>21473</v>
          </cell>
          <cell r="V54">
            <v>3659</v>
          </cell>
          <cell r="W54">
            <v>0</v>
          </cell>
          <cell r="X54">
            <v>0</v>
          </cell>
          <cell r="Y54">
            <v>0</v>
          </cell>
          <cell r="Z54">
            <v>0</v>
          </cell>
          <cell r="AA54">
            <v>0</v>
          </cell>
          <cell r="AB54">
            <v>0</v>
          </cell>
          <cell r="AC54">
            <v>0</v>
          </cell>
          <cell r="AD54">
            <v>0</v>
          </cell>
          <cell r="AE54">
            <v>0</v>
          </cell>
          <cell r="AF54">
            <v>0</v>
          </cell>
          <cell r="AG54">
            <v>0</v>
          </cell>
          <cell r="AH54">
            <v>0</v>
          </cell>
          <cell r="AI54">
            <v>0</v>
          </cell>
          <cell r="AM54">
            <v>0</v>
          </cell>
          <cell r="AN54">
            <v>0</v>
          </cell>
          <cell r="AO54">
            <v>0</v>
          </cell>
          <cell r="AP54">
            <v>249965</v>
          </cell>
          <cell r="AQ54">
            <v>61900</v>
          </cell>
          <cell r="AR54">
            <v>0</v>
          </cell>
          <cell r="AS54">
            <v>-170455</v>
          </cell>
          <cell r="AT54">
            <v>-136365</v>
          </cell>
          <cell r="AU54">
            <v>-34092</v>
          </cell>
          <cell r="AV54">
            <v>0</v>
          </cell>
          <cell r="AW54">
            <v>-340912</v>
          </cell>
          <cell r="AX54">
            <v>-899001</v>
          </cell>
          <cell r="AY54">
            <v>-719201</v>
          </cell>
          <cell r="AZ54">
            <v>-179800</v>
          </cell>
          <cell r="BA54">
            <v>0</v>
          </cell>
          <cell r="BB54">
            <v>-1798002</v>
          </cell>
          <cell r="BC54">
            <v>44103290</v>
          </cell>
          <cell r="BD54">
            <v>-2690676</v>
          </cell>
          <cell r="BE54">
            <v>1195504</v>
          </cell>
          <cell r="BF54">
            <v>0</v>
          </cell>
          <cell r="BG54">
            <v>-3368551</v>
          </cell>
          <cell r="BH54">
            <v>-81498</v>
          </cell>
          <cell r="BI54">
            <v>-25969</v>
          </cell>
          <cell r="BJ54">
            <v>-67880</v>
          </cell>
          <cell r="BK54">
            <v>-1473500</v>
          </cell>
          <cell r="BL54">
            <v>-57375</v>
          </cell>
          <cell r="BM54">
            <v>-52627</v>
          </cell>
          <cell r="BN54">
            <v>-2905</v>
          </cell>
          <cell r="BO54">
            <v>0</v>
          </cell>
          <cell r="BP54">
            <v>-2609</v>
          </cell>
          <cell r="BQ54">
            <v>-56944</v>
          </cell>
          <cell r="BR54">
            <v>0</v>
          </cell>
          <cell r="BS54">
            <v>0</v>
          </cell>
          <cell r="BT54">
            <v>44175326</v>
          </cell>
          <cell r="BU54">
            <v>-102543</v>
          </cell>
          <cell r="BV54">
            <v>1126393</v>
          </cell>
          <cell r="BW54">
            <v>-889827</v>
          </cell>
          <cell r="BX54">
            <v>-622928</v>
          </cell>
          <cell r="BY54">
            <v>-247462</v>
          </cell>
          <cell r="BZ54">
            <v>41207819</v>
          </cell>
          <cell r="CA54">
            <v>-311464</v>
          </cell>
          <cell r="CB54">
            <v>-249171</v>
          </cell>
          <cell r="CC54">
            <v>-62293</v>
          </cell>
          <cell r="CD54">
            <v>0</v>
          </cell>
          <cell r="CE54">
            <v>-123731</v>
          </cell>
          <cell r="CF54">
            <v>-98985</v>
          </cell>
          <cell r="CG54">
            <v>-24746</v>
          </cell>
          <cell r="CH54">
            <v>0</v>
          </cell>
        </row>
        <row r="55">
          <cell r="A55">
            <v>48</v>
          </cell>
          <cell r="B55" t="str">
            <v>Castle Point</v>
          </cell>
          <cell r="C55" t="str">
            <v>E1534</v>
          </cell>
          <cell r="D55">
            <v>78958</v>
          </cell>
          <cell r="H55">
            <v>-359708</v>
          </cell>
          <cell r="I55">
            <v>0</v>
          </cell>
          <cell r="J55">
            <v>78958</v>
          </cell>
          <cell r="K55">
            <v>0</v>
          </cell>
          <cell r="L55">
            <v>0</v>
          </cell>
          <cell r="M55">
            <v>0</v>
          </cell>
          <cell r="N55">
            <v>0</v>
          </cell>
          <cell r="O55">
            <v>0</v>
          </cell>
          <cell r="P55">
            <v>0</v>
          </cell>
          <cell r="Q55">
            <v>0</v>
          </cell>
          <cell r="R55">
            <v>479915</v>
          </cell>
          <cell r="S55">
            <v>107981</v>
          </cell>
          <cell r="T55">
            <v>11998</v>
          </cell>
          <cell r="U55">
            <v>1126</v>
          </cell>
          <cell r="V55">
            <v>254</v>
          </cell>
          <cell r="W55">
            <v>28</v>
          </cell>
          <cell r="X55">
            <v>0</v>
          </cell>
          <cell r="Y55">
            <v>0</v>
          </cell>
          <cell r="Z55">
            <v>0</v>
          </cell>
          <cell r="AA55">
            <v>2007</v>
          </cell>
          <cell r="AB55">
            <v>451</v>
          </cell>
          <cell r="AC55">
            <v>50</v>
          </cell>
          <cell r="AD55">
            <v>0</v>
          </cell>
          <cell r="AE55">
            <v>0</v>
          </cell>
          <cell r="AF55">
            <v>0</v>
          </cell>
          <cell r="AG55">
            <v>0</v>
          </cell>
          <cell r="AH55">
            <v>0</v>
          </cell>
          <cell r="AI55">
            <v>0</v>
          </cell>
          <cell r="AM55">
            <v>0</v>
          </cell>
          <cell r="AN55">
            <v>0</v>
          </cell>
          <cell r="AO55">
            <v>0</v>
          </cell>
          <cell r="AP55">
            <v>83662</v>
          </cell>
          <cell r="AQ55">
            <v>18824</v>
          </cell>
          <cell r="AR55">
            <v>2092</v>
          </cell>
          <cell r="AS55">
            <v>-71762</v>
          </cell>
          <cell r="AT55">
            <v>-57412</v>
          </cell>
          <cell r="AU55">
            <v>-12918</v>
          </cell>
          <cell r="AV55">
            <v>-1436</v>
          </cell>
          <cell r="AW55">
            <v>-143528</v>
          </cell>
          <cell r="AX55">
            <v>-1215000</v>
          </cell>
          <cell r="AY55">
            <v>-972000</v>
          </cell>
          <cell r="AZ55">
            <v>-218700</v>
          </cell>
          <cell r="BA55">
            <v>-24300</v>
          </cell>
          <cell r="BB55">
            <v>-2430000</v>
          </cell>
          <cell r="BC55">
            <v>15151795</v>
          </cell>
          <cell r="BD55">
            <v>-1890116</v>
          </cell>
          <cell r="BE55">
            <v>389694</v>
          </cell>
          <cell r="BF55">
            <v>0</v>
          </cell>
          <cell r="BG55">
            <v>-1611324</v>
          </cell>
          <cell r="BH55">
            <v>-9423</v>
          </cell>
          <cell r="BI55">
            <v>0</v>
          </cell>
          <cell r="BJ55">
            <v>0</v>
          </cell>
          <cell r="BK55">
            <v>-333527</v>
          </cell>
          <cell r="BL55">
            <v>-65565</v>
          </cell>
          <cell r="BM55">
            <v>-41582</v>
          </cell>
          <cell r="BN55">
            <v>-2356</v>
          </cell>
          <cell r="BO55">
            <v>0</v>
          </cell>
          <cell r="BP55">
            <v>0</v>
          </cell>
          <cell r="BQ55">
            <v>0</v>
          </cell>
          <cell r="BR55">
            <v>0</v>
          </cell>
          <cell r="BS55">
            <v>0</v>
          </cell>
          <cell r="BT55">
            <v>14804856</v>
          </cell>
          <cell r="BU55">
            <v>-87931</v>
          </cell>
          <cell r="BV55">
            <v>240677</v>
          </cell>
          <cell r="BW55">
            <v>-298808</v>
          </cell>
          <cell r="BX55">
            <v>21798</v>
          </cell>
          <cell r="BY55">
            <v>7251</v>
          </cell>
          <cell r="BZ55">
            <v>13923764</v>
          </cell>
          <cell r="CA55">
            <v>10899</v>
          </cell>
          <cell r="CB55">
            <v>8719</v>
          </cell>
          <cell r="CC55">
            <v>1962</v>
          </cell>
          <cell r="CD55">
            <v>218</v>
          </cell>
          <cell r="CE55">
            <v>3625</v>
          </cell>
          <cell r="CF55">
            <v>2900</v>
          </cell>
          <cell r="CG55">
            <v>653</v>
          </cell>
          <cell r="CH55">
            <v>73</v>
          </cell>
        </row>
        <row r="56">
          <cell r="A56">
            <v>49</v>
          </cell>
          <cell r="B56" t="str">
            <v>Central Bedfordshire UA</v>
          </cell>
          <cell r="C56" t="str">
            <v>E0203</v>
          </cell>
          <cell r="D56">
            <v>305867</v>
          </cell>
          <cell r="H56">
            <v>-2260917</v>
          </cell>
          <cell r="I56">
            <v>0</v>
          </cell>
          <cell r="J56">
            <v>305867</v>
          </cell>
          <cell r="K56">
            <v>0</v>
          </cell>
          <cell r="L56">
            <v>294539</v>
          </cell>
          <cell r="M56">
            <v>0</v>
          </cell>
          <cell r="N56">
            <v>0</v>
          </cell>
          <cell r="O56">
            <v>0</v>
          </cell>
          <cell r="P56">
            <v>0</v>
          </cell>
          <cell r="Q56">
            <v>0</v>
          </cell>
          <cell r="R56">
            <v>1735794</v>
          </cell>
          <cell r="S56">
            <v>0</v>
          </cell>
          <cell r="T56">
            <v>35424</v>
          </cell>
          <cell r="U56">
            <v>0</v>
          </cell>
          <cell r="V56">
            <v>0</v>
          </cell>
          <cell r="W56">
            <v>0</v>
          </cell>
          <cell r="X56">
            <v>17432</v>
          </cell>
          <cell r="Y56">
            <v>0</v>
          </cell>
          <cell r="Z56">
            <v>356</v>
          </cell>
          <cell r="AA56">
            <v>1833</v>
          </cell>
          <cell r="AB56">
            <v>0</v>
          </cell>
          <cell r="AC56">
            <v>37</v>
          </cell>
          <cell r="AD56">
            <v>0</v>
          </cell>
          <cell r="AE56">
            <v>0</v>
          </cell>
          <cell r="AF56">
            <v>0</v>
          </cell>
          <cell r="AG56">
            <v>0</v>
          </cell>
          <cell r="AH56">
            <v>0</v>
          </cell>
          <cell r="AI56">
            <v>0</v>
          </cell>
          <cell r="AM56">
            <v>0</v>
          </cell>
          <cell r="AN56">
            <v>0</v>
          </cell>
          <cell r="AO56">
            <v>0</v>
          </cell>
          <cell r="AP56">
            <v>600776</v>
          </cell>
          <cell r="AQ56">
            <v>0</v>
          </cell>
          <cell r="AR56">
            <v>12170</v>
          </cell>
          <cell r="AS56">
            <v>-220267</v>
          </cell>
          <cell r="AT56">
            <v>-215862</v>
          </cell>
          <cell r="AU56">
            <v>0</v>
          </cell>
          <cell r="AV56">
            <v>-4404</v>
          </cell>
          <cell r="AW56">
            <v>-440533</v>
          </cell>
          <cell r="AX56">
            <v>-2172622</v>
          </cell>
          <cell r="AY56">
            <v>-2129169</v>
          </cell>
          <cell r="AZ56">
            <v>0</v>
          </cell>
          <cell r="BA56">
            <v>-43451</v>
          </cell>
          <cell r="BB56">
            <v>-4345242</v>
          </cell>
          <cell r="BC56">
            <v>83285549</v>
          </cell>
          <cell r="BD56">
            <v>-4920022</v>
          </cell>
          <cell r="BE56">
            <v>2288157</v>
          </cell>
          <cell r="BF56">
            <v>0</v>
          </cell>
          <cell r="BG56">
            <v>-6602461</v>
          </cell>
          <cell r="BH56">
            <v>-61211</v>
          </cell>
          <cell r="BI56">
            <v>-33099</v>
          </cell>
          <cell r="BJ56">
            <v>-69720</v>
          </cell>
          <cell r="BK56">
            <v>-2505327</v>
          </cell>
          <cell r="BL56">
            <v>-266889</v>
          </cell>
          <cell r="BM56">
            <v>-515818</v>
          </cell>
          <cell r="BN56">
            <v>-3327</v>
          </cell>
          <cell r="BO56">
            <v>-18574</v>
          </cell>
          <cell r="BP56">
            <v>0</v>
          </cell>
          <cell r="BQ56">
            <v>0</v>
          </cell>
          <cell r="BR56">
            <v>0</v>
          </cell>
          <cell r="BS56">
            <v>0</v>
          </cell>
          <cell r="BT56">
            <v>85200060</v>
          </cell>
          <cell r="BU56">
            <v>-691575</v>
          </cell>
          <cell r="BV56">
            <v>3544924</v>
          </cell>
          <cell r="BW56">
            <v>-587695</v>
          </cell>
          <cell r="BX56">
            <v>-3884857</v>
          </cell>
          <cell r="BY56">
            <v>-1193000</v>
          </cell>
          <cell r="BZ56">
            <v>81020415</v>
          </cell>
          <cell r="CA56">
            <v>-1942428</v>
          </cell>
          <cell r="CB56">
            <v>-1903580</v>
          </cell>
          <cell r="CC56">
            <v>0</v>
          </cell>
          <cell r="CD56">
            <v>-38849</v>
          </cell>
          <cell r="CE56">
            <v>-596500</v>
          </cell>
          <cell r="CF56">
            <v>-584570</v>
          </cell>
          <cell r="CG56">
            <v>0</v>
          </cell>
          <cell r="CH56">
            <v>-11930</v>
          </cell>
        </row>
        <row r="57">
          <cell r="A57">
            <v>50</v>
          </cell>
          <cell r="B57" t="str">
            <v>Charnwood</v>
          </cell>
          <cell r="C57" t="str">
            <v>E2432</v>
          </cell>
          <cell r="D57">
            <v>193360</v>
          </cell>
          <cell r="H57">
            <v>1035179</v>
          </cell>
          <cell r="I57">
            <v>8996</v>
          </cell>
          <cell r="J57">
            <v>193360</v>
          </cell>
          <cell r="K57">
            <v>80</v>
          </cell>
          <cell r="L57">
            <v>151810</v>
          </cell>
          <cell r="M57">
            <v>0</v>
          </cell>
          <cell r="N57">
            <v>0</v>
          </cell>
          <cell r="O57">
            <v>0</v>
          </cell>
          <cell r="P57">
            <v>0</v>
          </cell>
          <cell r="Q57">
            <v>0</v>
          </cell>
          <cell r="R57">
            <v>1018427</v>
          </cell>
          <cell r="S57">
            <v>229146</v>
          </cell>
          <cell r="T57">
            <v>25461</v>
          </cell>
          <cell r="U57">
            <v>1643</v>
          </cell>
          <cell r="V57">
            <v>370</v>
          </cell>
          <cell r="W57">
            <v>41</v>
          </cell>
          <cell r="X57">
            <v>605</v>
          </cell>
          <cell r="Y57">
            <v>136</v>
          </cell>
          <cell r="Z57">
            <v>15</v>
          </cell>
          <cell r="AA57">
            <v>140</v>
          </cell>
          <cell r="AB57">
            <v>32</v>
          </cell>
          <cell r="AC57">
            <v>4</v>
          </cell>
          <cell r="AD57">
            <v>0</v>
          </cell>
          <cell r="AE57">
            <v>0</v>
          </cell>
          <cell r="AF57">
            <v>0</v>
          </cell>
          <cell r="AG57">
            <v>0</v>
          </cell>
          <cell r="AH57">
            <v>0</v>
          </cell>
          <cell r="AI57">
            <v>0</v>
          </cell>
          <cell r="AM57">
            <v>0</v>
          </cell>
          <cell r="AN57">
            <v>0</v>
          </cell>
          <cell r="AO57">
            <v>0</v>
          </cell>
          <cell r="AP57">
            <v>272844</v>
          </cell>
          <cell r="AQ57">
            <v>60877</v>
          </cell>
          <cell r="AR57">
            <v>6764</v>
          </cell>
          <cell r="AS57">
            <v>-149019</v>
          </cell>
          <cell r="AT57">
            <v>-119217</v>
          </cell>
          <cell r="AU57">
            <v>-26824</v>
          </cell>
          <cell r="AV57">
            <v>-2981</v>
          </cell>
          <cell r="AW57">
            <v>-298041</v>
          </cell>
          <cell r="AX57">
            <v>-2125000</v>
          </cell>
          <cell r="AY57">
            <v>-1700000</v>
          </cell>
          <cell r="AZ57">
            <v>-382500</v>
          </cell>
          <cell r="BA57">
            <v>-42500</v>
          </cell>
          <cell r="BB57">
            <v>-4250000</v>
          </cell>
          <cell r="BC57">
            <v>45182510</v>
          </cell>
          <cell r="BD57">
            <v>-3385908</v>
          </cell>
          <cell r="BE57">
            <v>1249683</v>
          </cell>
          <cell r="BF57">
            <v>0</v>
          </cell>
          <cell r="BG57">
            <v>-6127868</v>
          </cell>
          <cell r="BH57">
            <v>-19820</v>
          </cell>
          <cell r="BI57">
            <v>-1665</v>
          </cell>
          <cell r="BJ57">
            <v>-461</v>
          </cell>
          <cell r="BK57">
            <v>-925020</v>
          </cell>
          <cell r="BL57">
            <v>-68607</v>
          </cell>
          <cell r="BM57">
            <v>-177626</v>
          </cell>
          <cell r="BN57">
            <v>-425</v>
          </cell>
          <cell r="BO57">
            <v>0</v>
          </cell>
          <cell r="BP57">
            <v>0</v>
          </cell>
          <cell r="BQ57">
            <v>-64553</v>
          </cell>
          <cell r="BR57">
            <v>0</v>
          </cell>
          <cell r="BS57">
            <v>0</v>
          </cell>
          <cell r="BT57">
            <v>45860783</v>
          </cell>
          <cell r="BU57">
            <v>-290538</v>
          </cell>
          <cell r="BV57">
            <v>860016</v>
          </cell>
          <cell r="BW57">
            <v>-607343</v>
          </cell>
          <cell r="BX57">
            <v>-1950961</v>
          </cell>
          <cell r="BY57">
            <v>-1200823</v>
          </cell>
          <cell r="BZ57">
            <v>45029387</v>
          </cell>
          <cell r="CA57">
            <v>-975479</v>
          </cell>
          <cell r="CB57">
            <v>-780385</v>
          </cell>
          <cell r="CC57">
            <v>-175587</v>
          </cell>
          <cell r="CD57">
            <v>-19510</v>
          </cell>
          <cell r="CE57">
            <v>-600412</v>
          </cell>
          <cell r="CF57">
            <v>-480329</v>
          </cell>
          <cell r="CG57">
            <v>-108074</v>
          </cell>
          <cell r="CH57">
            <v>-12008</v>
          </cell>
        </row>
        <row r="58">
          <cell r="A58">
            <v>51</v>
          </cell>
          <cell r="B58" t="str">
            <v>Chelmsford</v>
          </cell>
          <cell r="C58" t="str">
            <v>E1535</v>
          </cell>
          <cell r="D58">
            <v>217330</v>
          </cell>
          <cell r="H58">
            <v>-4126045</v>
          </cell>
          <cell r="I58">
            <v>0</v>
          </cell>
          <cell r="J58">
            <v>217330</v>
          </cell>
          <cell r="K58">
            <v>0</v>
          </cell>
          <cell r="L58">
            <v>0</v>
          </cell>
          <cell r="M58">
            <v>0</v>
          </cell>
          <cell r="N58">
            <v>0</v>
          </cell>
          <cell r="O58">
            <v>0</v>
          </cell>
          <cell r="P58">
            <v>0</v>
          </cell>
          <cell r="Q58">
            <v>0</v>
          </cell>
          <cell r="R58">
            <v>826697</v>
          </cell>
          <cell r="S58">
            <v>186007</v>
          </cell>
          <cell r="T58">
            <v>20667</v>
          </cell>
          <cell r="U58">
            <v>0</v>
          </cell>
          <cell r="V58">
            <v>0</v>
          </cell>
          <cell r="W58">
            <v>0</v>
          </cell>
          <cell r="X58">
            <v>605</v>
          </cell>
          <cell r="Y58">
            <v>136</v>
          </cell>
          <cell r="Z58">
            <v>15</v>
          </cell>
          <cell r="AA58">
            <v>381</v>
          </cell>
          <cell r="AB58">
            <v>86</v>
          </cell>
          <cell r="AC58">
            <v>10</v>
          </cell>
          <cell r="AD58">
            <v>0</v>
          </cell>
          <cell r="AE58">
            <v>0</v>
          </cell>
          <cell r="AF58">
            <v>0</v>
          </cell>
          <cell r="AG58">
            <v>0</v>
          </cell>
          <cell r="AH58">
            <v>0</v>
          </cell>
          <cell r="AI58">
            <v>0</v>
          </cell>
          <cell r="AM58">
            <v>0</v>
          </cell>
          <cell r="AN58">
            <v>0</v>
          </cell>
          <cell r="AO58">
            <v>0</v>
          </cell>
          <cell r="AP58">
            <v>460343</v>
          </cell>
          <cell r="AQ58">
            <v>103577</v>
          </cell>
          <cell r="AR58">
            <v>11509</v>
          </cell>
          <cell r="AS58">
            <v>-436938.65</v>
          </cell>
          <cell r="AT58">
            <v>-349549</v>
          </cell>
          <cell r="AU58">
            <v>-78649</v>
          </cell>
          <cell r="AV58">
            <v>-8738</v>
          </cell>
          <cell r="AW58">
            <v>-873874.65</v>
          </cell>
          <cell r="AX58">
            <v>-5394203</v>
          </cell>
          <cell r="AY58">
            <v>-4315363</v>
          </cell>
          <cell r="AZ58">
            <v>-970958</v>
          </cell>
          <cell r="BA58">
            <v>-107884</v>
          </cell>
          <cell r="BB58">
            <v>-10788408</v>
          </cell>
          <cell r="BC58">
            <v>81654359</v>
          </cell>
          <cell r="BD58">
            <v>-2889975</v>
          </cell>
          <cell r="BE58">
            <v>2171334</v>
          </cell>
          <cell r="BF58">
            <v>0</v>
          </cell>
          <cell r="BG58">
            <v>-4784853</v>
          </cell>
          <cell r="BH58">
            <v>-33796</v>
          </cell>
          <cell r="BI58">
            <v>-8122</v>
          </cell>
          <cell r="BJ58">
            <v>-63610</v>
          </cell>
          <cell r="BK58">
            <v>-3047676</v>
          </cell>
          <cell r="BL58">
            <v>-8347</v>
          </cell>
          <cell r="BM58">
            <v>-102570</v>
          </cell>
          <cell r="BN58">
            <v>0</v>
          </cell>
          <cell r="BO58">
            <v>-1602</v>
          </cell>
          <cell r="BP58">
            <v>-8308</v>
          </cell>
          <cell r="BQ58">
            <v>0</v>
          </cell>
          <cell r="BR58">
            <v>0</v>
          </cell>
          <cell r="BS58">
            <v>0</v>
          </cell>
          <cell r="BT58">
            <v>79261260</v>
          </cell>
          <cell r="BU58">
            <v>0</v>
          </cell>
          <cell r="BV58">
            <v>2929075</v>
          </cell>
          <cell r="BW58">
            <v>-1985982</v>
          </cell>
          <cell r="BX58">
            <v>3810436</v>
          </cell>
          <cell r="BY58">
            <v>2993810</v>
          </cell>
          <cell r="BZ58">
            <v>76614174</v>
          </cell>
          <cell r="CA58">
            <v>1905218</v>
          </cell>
          <cell r="CB58">
            <v>1524174</v>
          </cell>
          <cell r="CC58">
            <v>342939</v>
          </cell>
          <cell r="CD58">
            <v>38105</v>
          </cell>
          <cell r="CE58">
            <v>1496905</v>
          </cell>
          <cell r="CF58">
            <v>1197524</v>
          </cell>
          <cell r="CG58">
            <v>269443</v>
          </cell>
          <cell r="CH58">
            <v>29938</v>
          </cell>
        </row>
        <row r="59">
          <cell r="A59">
            <v>52</v>
          </cell>
          <cell r="B59" t="str">
            <v>Cheltenham</v>
          </cell>
          <cell r="C59" t="str">
            <v>E1631</v>
          </cell>
          <cell r="D59">
            <v>174255</v>
          </cell>
          <cell r="H59">
            <v>-2158783</v>
          </cell>
          <cell r="I59">
            <v>0</v>
          </cell>
          <cell r="J59">
            <v>174255</v>
          </cell>
          <cell r="K59">
            <v>0</v>
          </cell>
          <cell r="L59">
            <v>0</v>
          </cell>
          <cell r="M59">
            <v>0</v>
          </cell>
          <cell r="N59">
            <v>0</v>
          </cell>
          <cell r="O59">
            <v>0</v>
          </cell>
          <cell r="P59">
            <v>0</v>
          </cell>
          <cell r="Q59">
            <v>0</v>
          </cell>
          <cell r="R59">
            <v>620605</v>
          </cell>
          <cell r="S59">
            <v>155151</v>
          </cell>
          <cell r="T59">
            <v>0</v>
          </cell>
          <cell r="U59">
            <v>0</v>
          </cell>
          <cell r="V59">
            <v>0</v>
          </cell>
          <cell r="W59">
            <v>0</v>
          </cell>
          <cell r="X59">
            <v>0</v>
          </cell>
          <cell r="Y59">
            <v>0</v>
          </cell>
          <cell r="Z59">
            <v>0</v>
          </cell>
          <cell r="AA59">
            <v>406</v>
          </cell>
          <cell r="AB59">
            <v>102</v>
          </cell>
          <cell r="AC59">
            <v>0</v>
          </cell>
          <cell r="AD59">
            <v>0</v>
          </cell>
          <cell r="AE59">
            <v>0</v>
          </cell>
          <cell r="AF59">
            <v>0</v>
          </cell>
          <cell r="AG59">
            <v>0</v>
          </cell>
          <cell r="AH59">
            <v>0</v>
          </cell>
          <cell r="AI59">
            <v>0</v>
          </cell>
          <cell r="AM59">
            <v>0</v>
          </cell>
          <cell r="AN59">
            <v>0</v>
          </cell>
          <cell r="AO59">
            <v>0</v>
          </cell>
          <cell r="AP59">
            <v>322515</v>
          </cell>
          <cell r="AQ59">
            <v>80629</v>
          </cell>
          <cell r="AR59">
            <v>0</v>
          </cell>
          <cell r="AS59">
            <v>-212982</v>
          </cell>
          <cell r="AT59">
            <v>-170386</v>
          </cell>
          <cell r="AU59">
            <v>-42596</v>
          </cell>
          <cell r="AV59">
            <v>0</v>
          </cell>
          <cell r="AW59">
            <v>-425964</v>
          </cell>
          <cell r="AX59">
            <v>-1255322</v>
          </cell>
          <cell r="AY59">
            <v>-1004258</v>
          </cell>
          <cell r="AZ59">
            <v>-251065</v>
          </cell>
          <cell r="BA59">
            <v>0</v>
          </cell>
          <cell r="BB59">
            <v>-2510645</v>
          </cell>
          <cell r="BC59">
            <v>54900106</v>
          </cell>
          <cell r="BD59">
            <v>-2421078</v>
          </cell>
          <cell r="BE59">
            <v>1515209</v>
          </cell>
          <cell r="BF59">
            <v>0</v>
          </cell>
          <cell r="BG59">
            <v>-4125295</v>
          </cell>
          <cell r="BH59">
            <v>-53199</v>
          </cell>
          <cell r="BI59">
            <v>0</v>
          </cell>
          <cell r="BJ59">
            <v>-26447</v>
          </cell>
          <cell r="BK59">
            <v>-1764183</v>
          </cell>
          <cell r="BL59">
            <v>-26985</v>
          </cell>
          <cell r="BM59">
            <v>-13164</v>
          </cell>
          <cell r="BN59">
            <v>0</v>
          </cell>
          <cell r="BO59">
            <v>0</v>
          </cell>
          <cell r="BP59">
            <v>0</v>
          </cell>
          <cell r="BQ59">
            <v>0</v>
          </cell>
          <cell r="BR59">
            <v>0</v>
          </cell>
          <cell r="BS59">
            <v>0</v>
          </cell>
          <cell r="BT59">
            <v>54756699</v>
          </cell>
          <cell r="BU59">
            <v>-303912</v>
          </cell>
          <cell r="BV59">
            <v>1139011</v>
          </cell>
          <cell r="BW59">
            <v>-4937533</v>
          </cell>
          <cell r="BX59">
            <v>-1699770</v>
          </cell>
          <cell r="BY59">
            <v>-1111062</v>
          </cell>
          <cell r="BZ59">
            <v>53675636</v>
          </cell>
          <cell r="CA59">
            <v>-849885</v>
          </cell>
          <cell r="CB59">
            <v>-679908</v>
          </cell>
          <cell r="CC59">
            <v>-169977</v>
          </cell>
          <cell r="CD59">
            <v>0</v>
          </cell>
          <cell r="CE59">
            <v>-555531</v>
          </cell>
          <cell r="CF59">
            <v>-444425</v>
          </cell>
          <cell r="CG59">
            <v>-111106</v>
          </cell>
          <cell r="CH59">
            <v>0</v>
          </cell>
        </row>
        <row r="60">
          <cell r="A60">
            <v>53</v>
          </cell>
          <cell r="B60" t="str">
            <v>Cherwell</v>
          </cell>
          <cell r="C60" t="str">
            <v>E3131</v>
          </cell>
          <cell r="D60">
            <v>227866</v>
          </cell>
          <cell r="H60">
            <v>6941903</v>
          </cell>
          <cell r="I60">
            <v>0</v>
          </cell>
          <cell r="J60">
            <v>227866</v>
          </cell>
          <cell r="K60">
            <v>0</v>
          </cell>
          <cell r="L60">
            <v>202114</v>
          </cell>
          <cell r="M60">
            <v>245727</v>
          </cell>
          <cell r="N60">
            <v>0</v>
          </cell>
          <cell r="O60">
            <v>0</v>
          </cell>
          <cell r="P60">
            <v>0</v>
          </cell>
          <cell r="Q60">
            <v>0</v>
          </cell>
          <cell r="R60">
            <v>649184</v>
          </cell>
          <cell r="S60">
            <v>162296</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M60">
            <v>0</v>
          </cell>
          <cell r="AN60">
            <v>0</v>
          </cell>
          <cell r="AO60">
            <v>0</v>
          </cell>
          <cell r="AP60">
            <v>514936</v>
          </cell>
          <cell r="AQ60">
            <v>131666</v>
          </cell>
          <cell r="AR60">
            <v>0</v>
          </cell>
          <cell r="AS60">
            <v>-116152</v>
          </cell>
          <cell r="AT60">
            <v>-92924</v>
          </cell>
          <cell r="AU60">
            <v>-23231</v>
          </cell>
          <cell r="AV60">
            <v>0</v>
          </cell>
          <cell r="AW60">
            <v>-232307</v>
          </cell>
          <cell r="AX60">
            <v>-2389239</v>
          </cell>
          <cell r="AY60">
            <v>-1911390</v>
          </cell>
          <cell r="AZ60">
            <v>-477848</v>
          </cell>
          <cell r="BA60">
            <v>0</v>
          </cell>
          <cell r="BB60">
            <v>-4778477</v>
          </cell>
          <cell r="BC60">
            <v>74855878</v>
          </cell>
          <cell r="BD60">
            <v>-2322067</v>
          </cell>
          <cell r="BE60">
            <v>2007549</v>
          </cell>
          <cell r="BF60">
            <v>0</v>
          </cell>
          <cell r="BG60">
            <v>-3246462</v>
          </cell>
          <cell r="BH60">
            <v>-62244</v>
          </cell>
          <cell r="BI60">
            <v>-34829</v>
          </cell>
          <cell r="BJ60">
            <v>-2912</v>
          </cell>
          <cell r="BK60">
            <v>-2463450</v>
          </cell>
          <cell r="BL60">
            <v>-35680</v>
          </cell>
          <cell r="BM60">
            <v>-64292</v>
          </cell>
          <cell r="BN60">
            <v>0</v>
          </cell>
          <cell r="BO60">
            <v>-17354</v>
          </cell>
          <cell r="BP60">
            <v>-12351</v>
          </cell>
          <cell r="BQ60">
            <v>0</v>
          </cell>
          <cell r="BR60">
            <v>0</v>
          </cell>
          <cell r="BS60">
            <v>0</v>
          </cell>
          <cell r="BT60">
            <v>74621790</v>
          </cell>
          <cell r="BU60">
            <v>0</v>
          </cell>
          <cell r="BV60">
            <v>973499</v>
          </cell>
          <cell r="BW60">
            <v>-2000326</v>
          </cell>
          <cell r="BX60">
            <v>-4383274</v>
          </cell>
          <cell r="BY60">
            <v>-1571193</v>
          </cell>
          <cell r="BZ60">
            <v>85194826</v>
          </cell>
          <cell r="CA60">
            <v>-2191637</v>
          </cell>
          <cell r="CB60">
            <v>-1753310</v>
          </cell>
          <cell r="CC60">
            <v>-438327</v>
          </cell>
          <cell r="CD60">
            <v>0</v>
          </cell>
          <cell r="CE60">
            <v>-785597</v>
          </cell>
          <cell r="CF60">
            <v>-628477</v>
          </cell>
          <cell r="CG60">
            <v>-157119</v>
          </cell>
          <cell r="CH60">
            <v>0</v>
          </cell>
        </row>
        <row r="61">
          <cell r="A61">
            <v>54</v>
          </cell>
          <cell r="B61" t="str">
            <v>Cheshire East UA</v>
          </cell>
          <cell r="C61" t="str">
            <v>E0603</v>
          </cell>
          <cell r="D61">
            <v>563725</v>
          </cell>
          <cell r="H61">
            <v>-3673053</v>
          </cell>
          <cell r="I61">
            <v>-221003</v>
          </cell>
          <cell r="J61">
            <v>563725</v>
          </cell>
          <cell r="K61">
            <v>368442</v>
          </cell>
          <cell r="L61">
            <v>68439</v>
          </cell>
          <cell r="M61">
            <v>0</v>
          </cell>
          <cell r="N61">
            <v>44846</v>
          </cell>
          <cell r="O61">
            <v>44846</v>
          </cell>
          <cell r="P61">
            <v>0</v>
          </cell>
          <cell r="Q61">
            <v>0</v>
          </cell>
          <cell r="R61">
            <v>2820831</v>
          </cell>
          <cell r="S61">
            <v>0</v>
          </cell>
          <cell r="T61">
            <v>57491</v>
          </cell>
          <cell r="U61">
            <v>41972</v>
          </cell>
          <cell r="V61">
            <v>0</v>
          </cell>
          <cell r="W61">
            <v>857</v>
          </cell>
          <cell r="X61">
            <v>0</v>
          </cell>
          <cell r="Y61">
            <v>0</v>
          </cell>
          <cell r="Z61">
            <v>0</v>
          </cell>
          <cell r="AA61">
            <v>42729</v>
          </cell>
          <cell r="AB61">
            <v>0</v>
          </cell>
          <cell r="AC61">
            <v>872</v>
          </cell>
          <cell r="AD61">
            <v>0</v>
          </cell>
          <cell r="AE61">
            <v>0</v>
          </cell>
          <cell r="AF61">
            <v>0</v>
          </cell>
          <cell r="AG61">
            <v>0</v>
          </cell>
          <cell r="AH61">
            <v>0</v>
          </cell>
          <cell r="AI61">
            <v>0</v>
          </cell>
          <cell r="AM61">
            <v>0</v>
          </cell>
          <cell r="AN61">
            <v>0</v>
          </cell>
          <cell r="AO61">
            <v>0</v>
          </cell>
          <cell r="AP61">
            <v>976064</v>
          </cell>
          <cell r="AQ61">
            <v>0</v>
          </cell>
          <cell r="AR61">
            <v>19772</v>
          </cell>
          <cell r="AS61">
            <v>-899542</v>
          </cell>
          <cell r="AT61">
            <v>-881554</v>
          </cell>
          <cell r="AU61">
            <v>0</v>
          </cell>
          <cell r="AV61">
            <v>-17991</v>
          </cell>
          <cell r="AW61">
            <v>-1799087</v>
          </cell>
          <cell r="AX61">
            <v>-7086182</v>
          </cell>
          <cell r="AY61">
            <v>-6944460</v>
          </cell>
          <cell r="AZ61">
            <v>0</v>
          </cell>
          <cell r="BA61">
            <v>-141724</v>
          </cell>
          <cell r="BB61">
            <v>-14172366</v>
          </cell>
          <cell r="BC61">
            <v>144370539</v>
          </cell>
          <cell r="BD61">
            <v>-9095594</v>
          </cell>
          <cell r="BE61">
            <v>3784457</v>
          </cell>
          <cell r="BF61">
            <v>0</v>
          </cell>
          <cell r="BG61">
            <v>-7670892</v>
          </cell>
          <cell r="BH61">
            <v>-121915</v>
          </cell>
          <cell r="BI61">
            <v>-17432</v>
          </cell>
          <cell r="BJ61">
            <v>-21601</v>
          </cell>
          <cell r="BK61">
            <v>-4249985</v>
          </cell>
          <cell r="BL61">
            <v>-227613</v>
          </cell>
          <cell r="BM61">
            <v>-77386</v>
          </cell>
          <cell r="BN61">
            <v>-5488</v>
          </cell>
          <cell r="BO61">
            <v>-16115</v>
          </cell>
          <cell r="BP61">
            <v>-14117</v>
          </cell>
          <cell r="BQ61">
            <v>-5288</v>
          </cell>
          <cell r="BR61">
            <v>-5288</v>
          </cell>
          <cell r="BS61">
            <v>0</v>
          </cell>
          <cell r="BT61">
            <v>146475571</v>
          </cell>
          <cell r="BU61">
            <v>-1836970</v>
          </cell>
          <cell r="BV61">
            <v>6632131</v>
          </cell>
          <cell r="BW61">
            <v>-579611</v>
          </cell>
          <cell r="BX61">
            <v>-3141174</v>
          </cell>
          <cell r="BY61">
            <v>-4476180</v>
          </cell>
          <cell r="BZ61">
            <v>131624993</v>
          </cell>
          <cell r="CA61">
            <v>-1570586</v>
          </cell>
          <cell r="CB61">
            <v>-1539175</v>
          </cell>
          <cell r="CC61">
            <v>0</v>
          </cell>
          <cell r="CD61">
            <v>-31413</v>
          </cell>
          <cell r="CE61">
            <v>-2238090</v>
          </cell>
          <cell r="CF61">
            <v>-2193328</v>
          </cell>
          <cell r="CG61">
            <v>0</v>
          </cell>
          <cell r="CH61">
            <v>-44762</v>
          </cell>
        </row>
        <row r="62">
          <cell r="A62">
            <v>55</v>
          </cell>
          <cell r="B62" t="str">
            <v>Cheshire West &amp; Chester UA</v>
          </cell>
          <cell r="C62" t="str">
            <v>E0604</v>
          </cell>
          <cell r="D62">
            <v>480131</v>
          </cell>
          <cell r="H62">
            <v>-11814530</v>
          </cell>
          <cell r="I62">
            <v>-3793</v>
          </cell>
          <cell r="J62">
            <v>480131</v>
          </cell>
          <cell r="K62">
            <v>15118</v>
          </cell>
          <cell r="L62">
            <v>0</v>
          </cell>
          <cell r="M62">
            <v>0</v>
          </cell>
          <cell r="N62">
            <v>55000</v>
          </cell>
          <cell r="O62">
            <v>55000</v>
          </cell>
          <cell r="P62">
            <v>0</v>
          </cell>
          <cell r="Q62">
            <v>0</v>
          </cell>
          <cell r="R62">
            <v>2586275</v>
          </cell>
          <cell r="S62">
            <v>0</v>
          </cell>
          <cell r="T62">
            <v>52781</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M62">
            <v>0</v>
          </cell>
          <cell r="AN62">
            <v>0</v>
          </cell>
          <cell r="AO62">
            <v>0</v>
          </cell>
          <cell r="AP62">
            <v>1012424</v>
          </cell>
          <cell r="AQ62">
            <v>0</v>
          </cell>
          <cell r="AR62">
            <v>20640</v>
          </cell>
          <cell r="AS62">
            <v>-1476882</v>
          </cell>
          <cell r="AT62">
            <v>-1447344</v>
          </cell>
          <cell r="AU62">
            <v>0</v>
          </cell>
          <cell r="AV62">
            <v>-29537</v>
          </cell>
          <cell r="AW62">
            <v>-2953763</v>
          </cell>
          <cell r="AX62">
            <v>-6573234</v>
          </cell>
          <cell r="AY62">
            <v>-6441768</v>
          </cell>
          <cell r="AZ62">
            <v>0</v>
          </cell>
          <cell r="BA62">
            <v>-131465</v>
          </cell>
          <cell r="BB62">
            <v>-13146467</v>
          </cell>
          <cell r="BC62">
            <v>164368138</v>
          </cell>
          <cell r="BD62">
            <v>-6744865</v>
          </cell>
          <cell r="BE62">
            <v>4576631</v>
          </cell>
          <cell r="BF62">
            <v>0</v>
          </cell>
          <cell r="BG62">
            <v>-8628427</v>
          </cell>
          <cell r="BH62">
            <v>-56578</v>
          </cell>
          <cell r="BI62">
            <v>-59263</v>
          </cell>
          <cell r="BJ62">
            <v>-53843</v>
          </cell>
          <cell r="BK62">
            <v>-6673605</v>
          </cell>
          <cell r="BL62">
            <v>-831620</v>
          </cell>
          <cell r="BM62">
            <v>-1227968</v>
          </cell>
          <cell r="BN62">
            <v>-13669</v>
          </cell>
          <cell r="BO62">
            <v>-59263</v>
          </cell>
          <cell r="BP62">
            <v>-24294</v>
          </cell>
          <cell r="BQ62">
            <v>-89591</v>
          </cell>
          <cell r="BR62">
            <v>-28921</v>
          </cell>
          <cell r="BS62">
            <v>0</v>
          </cell>
          <cell r="BT62">
            <v>167309366</v>
          </cell>
          <cell r="BU62">
            <v>-795694</v>
          </cell>
          <cell r="BV62">
            <v>4407865</v>
          </cell>
          <cell r="BW62">
            <v>-4470983</v>
          </cell>
          <cell r="BX62">
            <v>7794523</v>
          </cell>
          <cell r="BY62">
            <v>0</v>
          </cell>
          <cell r="BZ62">
            <v>137404924</v>
          </cell>
          <cell r="CA62">
            <v>3897261</v>
          </cell>
          <cell r="CB62">
            <v>3819317</v>
          </cell>
          <cell r="CC62">
            <v>0</v>
          </cell>
          <cell r="CD62">
            <v>77945</v>
          </cell>
          <cell r="CE62">
            <v>0</v>
          </cell>
          <cell r="CF62">
            <v>0</v>
          </cell>
          <cell r="CG62">
            <v>0</v>
          </cell>
          <cell r="CH62">
            <v>0</v>
          </cell>
        </row>
        <row r="63">
          <cell r="A63">
            <v>56</v>
          </cell>
          <cell r="B63" t="str">
            <v>Chesterfield</v>
          </cell>
          <cell r="C63" t="str">
            <v>E1033</v>
          </cell>
          <cell r="D63">
            <v>163817</v>
          </cell>
          <cell r="H63">
            <v>153135</v>
          </cell>
          <cell r="I63">
            <v>-22006</v>
          </cell>
          <cell r="J63">
            <v>163817</v>
          </cell>
          <cell r="K63">
            <v>700059</v>
          </cell>
          <cell r="L63">
            <v>55900</v>
          </cell>
          <cell r="M63">
            <v>0</v>
          </cell>
          <cell r="N63">
            <v>0</v>
          </cell>
          <cell r="O63">
            <v>0</v>
          </cell>
          <cell r="P63">
            <v>0</v>
          </cell>
          <cell r="Q63">
            <v>0</v>
          </cell>
          <cell r="R63">
            <v>747434</v>
          </cell>
          <cell r="S63">
            <v>168173</v>
          </cell>
          <cell r="T63">
            <v>18686</v>
          </cell>
          <cell r="U63">
            <v>4318</v>
          </cell>
          <cell r="V63">
            <v>972</v>
          </cell>
          <cell r="W63">
            <v>108</v>
          </cell>
          <cell r="X63">
            <v>0</v>
          </cell>
          <cell r="Y63">
            <v>0</v>
          </cell>
          <cell r="Z63">
            <v>0</v>
          </cell>
          <cell r="AA63">
            <v>0</v>
          </cell>
          <cell r="AB63">
            <v>0</v>
          </cell>
          <cell r="AC63">
            <v>0</v>
          </cell>
          <cell r="AD63">
            <v>0</v>
          </cell>
          <cell r="AE63">
            <v>0</v>
          </cell>
          <cell r="AF63">
            <v>0</v>
          </cell>
          <cell r="AG63">
            <v>0</v>
          </cell>
          <cell r="AH63">
            <v>0</v>
          </cell>
          <cell r="AI63">
            <v>0</v>
          </cell>
          <cell r="AM63">
            <v>0</v>
          </cell>
          <cell r="AN63">
            <v>0</v>
          </cell>
          <cell r="AO63">
            <v>0</v>
          </cell>
          <cell r="AP63">
            <v>233227</v>
          </cell>
          <cell r="AQ63">
            <v>49921</v>
          </cell>
          <cell r="AR63">
            <v>5547</v>
          </cell>
          <cell r="AS63">
            <v>-348049</v>
          </cell>
          <cell r="AT63">
            <v>-278441</v>
          </cell>
          <cell r="AU63">
            <v>-62650</v>
          </cell>
          <cell r="AV63">
            <v>-6961</v>
          </cell>
          <cell r="AW63">
            <v>-696101</v>
          </cell>
          <cell r="AX63">
            <v>-2257319</v>
          </cell>
          <cell r="AY63">
            <v>-1805856</v>
          </cell>
          <cell r="AZ63">
            <v>-406318</v>
          </cell>
          <cell r="BA63">
            <v>-45148</v>
          </cell>
          <cell r="BB63">
            <v>-4514641</v>
          </cell>
          <cell r="BC63">
            <v>36600740</v>
          </cell>
          <cell r="BD63">
            <v>-2988435</v>
          </cell>
          <cell r="BE63">
            <v>963454</v>
          </cell>
          <cell r="BF63">
            <v>0</v>
          </cell>
          <cell r="BG63">
            <v>-1761641</v>
          </cell>
          <cell r="BH63">
            <v>-31202</v>
          </cell>
          <cell r="BI63">
            <v>-3231</v>
          </cell>
          <cell r="BJ63">
            <v>0</v>
          </cell>
          <cell r="BK63">
            <v>-1522720</v>
          </cell>
          <cell r="BL63">
            <v>-40809</v>
          </cell>
          <cell r="BM63">
            <v>-37911</v>
          </cell>
          <cell r="BN63">
            <v>-1267</v>
          </cell>
          <cell r="BO63">
            <v>0</v>
          </cell>
          <cell r="BP63">
            <v>0</v>
          </cell>
          <cell r="BQ63">
            <v>0</v>
          </cell>
          <cell r="BR63">
            <v>0</v>
          </cell>
          <cell r="BS63">
            <v>0</v>
          </cell>
          <cell r="BT63">
            <v>37630410</v>
          </cell>
          <cell r="BU63">
            <v>-452651</v>
          </cell>
          <cell r="BV63">
            <v>966325</v>
          </cell>
          <cell r="BW63">
            <v>-841910</v>
          </cell>
          <cell r="BX63">
            <v>-992034</v>
          </cell>
          <cell r="BY63">
            <v>-266065</v>
          </cell>
          <cell r="BZ63">
            <v>36925752</v>
          </cell>
          <cell r="CA63">
            <v>-496017</v>
          </cell>
          <cell r="CB63">
            <v>-396814</v>
          </cell>
          <cell r="CC63">
            <v>-89283</v>
          </cell>
          <cell r="CD63">
            <v>-9920</v>
          </cell>
          <cell r="CE63">
            <v>-133032</v>
          </cell>
          <cell r="CF63">
            <v>-106426</v>
          </cell>
          <cell r="CG63">
            <v>-23946</v>
          </cell>
          <cell r="CH63">
            <v>-2661</v>
          </cell>
        </row>
        <row r="64">
          <cell r="A64">
            <v>57</v>
          </cell>
          <cell r="B64" t="str">
            <v>Chichester</v>
          </cell>
          <cell r="C64" t="str">
            <v>E3833</v>
          </cell>
          <cell r="D64">
            <v>197628</v>
          </cell>
          <cell r="H64">
            <v>1519770</v>
          </cell>
          <cell r="I64">
            <v>0</v>
          </cell>
          <cell r="J64">
            <v>197628</v>
          </cell>
          <cell r="K64">
            <v>0</v>
          </cell>
          <cell r="L64">
            <v>92994</v>
          </cell>
          <cell r="M64">
            <v>16879</v>
          </cell>
          <cell r="N64">
            <v>0</v>
          </cell>
          <cell r="O64">
            <v>0</v>
          </cell>
          <cell r="P64">
            <v>0</v>
          </cell>
          <cell r="Q64">
            <v>0</v>
          </cell>
          <cell r="R64">
            <v>889542</v>
          </cell>
          <cell r="S64">
            <v>222385</v>
          </cell>
          <cell r="T64">
            <v>0</v>
          </cell>
          <cell r="U64">
            <v>11130</v>
          </cell>
          <cell r="V64">
            <v>2782</v>
          </cell>
          <cell r="W64">
            <v>0</v>
          </cell>
          <cell r="X64">
            <v>0</v>
          </cell>
          <cell r="Y64">
            <v>0</v>
          </cell>
          <cell r="Z64">
            <v>0</v>
          </cell>
          <cell r="AA64">
            <v>0</v>
          </cell>
          <cell r="AB64">
            <v>0</v>
          </cell>
          <cell r="AC64">
            <v>0</v>
          </cell>
          <cell r="AD64">
            <v>0</v>
          </cell>
          <cell r="AE64">
            <v>0</v>
          </cell>
          <cell r="AF64">
            <v>0</v>
          </cell>
          <cell r="AG64">
            <v>0</v>
          </cell>
          <cell r="AH64">
            <v>0</v>
          </cell>
          <cell r="AI64">
            <v>0</v>
          </cell>
          <cell r="AM64">
            <v>0</v>
          </cell>
          <cell r="AN64">
            <v>0</v>
          </cell>
          <cell r="AO64">
            <v>0</v>
          </cell>
          <cell r="AP64">
            <v>279337</v>
          </cell>
          <cell r="AQ64">
            <v>69739</v>
          </cell>
          <cell r="AR64">
            <v>0</v>
          </cell>
          <cell r="AS64">
            <v>-448427.27</v>
          </cell>
          <cell r="AT64">
            <v>-358742</v>
          </cell>
          <cell r="AU64">
            <v>-89685</v>
          </cell>
          <cell r="AV64">
            <v>0</v>
          </cell>
          <cell r="AW64">
            <v>-896854.27</v>
          </cell>
          <cell r="AX64">
            <v>-1682582</v>
          </cell>
          <cell r="AY64">
            <v>-1346064</v>
          </cell>
          <cell r="AZ64">
            <v>-336516</v>
          </cell>
          <cell r="BA64">
            <v>0</v>
          </cell>
          <cell r="BB64">
            <v>-3365162</v>
          </cell>
          <cell r="BC64">
            <v>44313749</v>
          </cell>
          <cell r="BD64">
            <v>-3408307</v>
          </cell>
          <cell r="BE64">
            <v>1198290</v>
          </cell>
          <cell r="BF64">
            <v>0</v>
          </cell>
          <cell r="BG64">
            <v>-3966591</v>
          </cell>
          <cell r="BH64">
            <v>-38354</v>
          </cell>
          <cell r="BI64">
            <v>-41283</v>
          </cell>
          <cell r="BJ64">
            <v>-1924</v>
          </cell>
          <cell r="BK64">
            <v>-1328984</v>
          </cell>
          <cell r="BL64">
            <v>0</v>
          </cell>
          <cell r="BM64">
            <v>-6353</v>
          </cell>
          <cell r="BN64">
            <v>0</v>
          </cell>
          <cell r="BO64">
            <v>-40599</v>
          </cell>
          <cell r="BP64">
            <v>-12543</v>
          </cell>
          <cell r="BQ64">
            <v>0</v>
          </cell>
          <cell r="BR64">
            <v>0</v>
          </cell>
          <cell r="BS64">
            <v>0</v>
          </cell>
          <cell r="BT64">
            <v>44889277</v>
          </cell>
          <cell r="BU64">
            <v>-82696</v>
          </cell>
          <cell r="BV64">
            <v>1781490</v>
          </cell>
          <cell r="BW64">
            <v>-986733</v>
          </cell>
          <cell r="BX64">
            <v>-3796398</v>
          </cell>
          <cell r="BY64">
            <v>-3493459</v>
          </cell>
          <cell r="BZ64">
            <v>46257221</v>
          </cell>
          <cell r="CA64">
            <v>-1898199</v>
          </cell>
          <cell r="CB64">
            <v>-1518559</v>
          </cell>
          <cell r="CC64">
            <v>-379640</v>
          </cell>
          <cell r="CD64">
            <v>0</v>
          </cell>
          <cell r="CE64">
            <v>-1746729</v>
          </cell>
          <cell r="CF64">
            <v>-1397384</v>
          </cell>
          <cell r="CG64">
            <v>-349346</v>
          </cell>
          <cell r="CH64">
            <v>0</v>
          </cell>
        </row>
        <row r="65">
          <cell r="A65">
            <v>58</v>
          </cell>
          <cell r="B65" t="str">
            <v>Chiltern</v>
          </cell>
          <cell r="C65" t="str">
            <v>E0432</v>
          </cell>
          <cell r="D65">
            <v>112028</v>
          </cell>
          <cell r="H65">
            <v>833084</v>
          </cell>
          <cell r="I65">
            <v>0</v>
          </cell>
          <cell r="J65">
            <v>112028</v>
          </cell>
          <cell r="K65">
            <v>0</v>
          </cell>
          <cell r="L65">
            <v>0</v>
          </cell>
          <cell r="M65">
            <v>0</v>
          </cell>
          <cell r="N65">
            <v>0</v>
          </cell>
          <cell r="O65">
            <v>0</v>
          </cell>
          <cell r="P65">
            <v>0</v>
          </cell>
          <cell r="Q65">
            <v>0</v>
          </cell>
          <cell r="R65">
            <v>465222</v>
          </cell>
          <cell r="S65">
            <v>104675</v>
          </cell>
          <cell r="T65">
            <v>11631</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M65">
            <v>0</v>
          </cell>
          <cell r="AN65">
            <v>0</v>
          </cell>
          <cell r="AO65">
            <v>0</v>
          </cell>
          <cell r="AP65">
            <v>131650</v>
          </cell>
          <cell r="AQ65">
            <v>29621</v>
          </cell>
          <cell r="AR65">
            <v>3291</v>
          </cell>
          <cell r="AS65">
            <v>-158407</v>
          </cell>
          <cell r="AT65">
            <v>-126722</v>
          </cell>
          <cell r="AU65">
            <v>-28513</v>
          </cell>
          <cell r="AV65">
            <v>-3167</v>
          </cell>
          <cell r="AW65">
            <v>-316809</v>
          </cell>
          <cell r="AX65">
            <v>-1165347</v>
          </cell>
          <cell r="AY65">
            <v>-932278</v>
          </cell>
          <cell r="AZ65">
            <v>-209761</v>
          </cell>
          <cell r="BA65">
            <v>-23308</v>
          </cell>
          <cell r="BB65">
            <v>-2330694</v>
          </cell>
          <cell r="BC65">
            <v>21637824</v>
          </cell>
          <cell r="BD65">
            <v>-1649209</v>
          </cell>
          <cell r="BE65">
            <v>545329</v>
          </cell>
          <cell r="BF65">
            <v>0</v>
          </cell>
          <cell r="BG65">
            <v>-2375915</v>
          </cell>
          <cell r="BH65">
            <v>-36743</v>
          </cell>
          <cell r="BI65">
            <v>-15882</v>
          </cell>
          <cell r="BJ65">
            <v>-9068</v>
          </cell>
          <cell r="BK65">
            <v>-730558</v>
          </cell>
          <cell r="BL65">
            <v>-123428</v>
          </cell>
          <cell r="BM65">
            <v>-33639</v>
          </cell>
          <cell r="BN65">
            <v>-1407</v>
          </cell>
          <cell r="BO65">
            <v>-3374</v>
          </cell>
          <cell r="BP65">
            <v>0</v>
          </cell>
          <cell r="BQ65">
            <v>0</v>
          </cell>
          <cell r="BR65">
            <v>0</v>
          </cell>
          <cell r="BS65">
            <v>0</v>
          </cell>
          <cell r="BT65">
            <v>20439432</v>
          </cell>
          <cell r="BU65">
            <v>-89147</v>
          </cell>
          <cell r="BV65">
            <v>588308</v>
          </cell>
          <cell r="BW65">
            <v>-690079</v>
          </cell>
          <cell r="BX65">
            <v>240613</v>
          </cell>
          <cell r="BY65">
            <v>1610288</v>
          </cell>
          <cell r="BZ65">
            <v>21910399</v>
          </cell>
          <cell r="CA65">
            <v>120306</v>
          </cell>
          <cell r="CB65">
            <v>96246</v>
          </cell>
          <cell r="CC65">
            <v>21655</v>
          </cell>
          <cell r="CD65">
            <v>2406</v>
          </cell>
          <cell r="CE65">
            <v>805144</v>
          </cell>
          <cell r="CF65">
            <v>644115</v>
          </cell>
          <cell r="CG65">
            <v>144926</v>
          </cell>
          <cell r="CH65">
            <v>16103</v>
          </cell>
        </row>
        <row r="66">
          <cell r="A66">
            <v>59</v>
          </cell>
          <cell r="B66" t="str">
            <v>Chorley</v>
          </cell>
          <cell r="C66" t="str">
            <v>E2334</v>
          </cell>
          <cell r="D66">
            <v>132804</v>
          </cell>
          <cell r="H66">
            <v>-2328610</v>
          </cell>
          <cell r="I66">
            <v>0</v>
          </cell>
          <cell r="J66">
            <v>132804</v>
          </cell>
          <cell r="K66">
            <v>0</v>
          </cell>
          <cell r="L66">
            <v>0</v>
          </cell>
          <cell r="M66">
            <v>0</v>
          </cell>
          <cell r="N66">
            <v>0</v>
          </cell>
          <cell r="O66">
            <v>0</v>
          </cell>
          <cell r="P66">
            <v>0</v>
          </cell>
          <cell r="Q66">
            <v>0</v>
          </cell>
          <cell r="R66">
            <v>620172</v>
          </cell>
          <cell r="S66">
            <v>139538</v>
          </cell>
          <cell r="T66">
            <v>15504</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M66">
            <v>0</v>
          </cell>
          <cell r="AN66">
            <v>0</v>
          </cell>
          <cell r="AO66">
            <v>0</v>
          </cell>
          <cell r="AP66">
            <v>149147</v>
          </cell>
          <cell r="AQ66">
            <v>33558</v>
          </cell>
          <cell r="AR66">
            <v>3729</v>
          </cell>
          <cell r="AS66">
            <v>-336091</v>
          </cell>
          <cell r="AT66">
            <v>-268873</v>
          </cell>
          <cell r="AU66">
            <v>-60496</v>
          </cell>
          <cell r="AV66">
            <v>-6722</v>
          </cell>
          <cell r="AW66">
            <v>-672182</v>
          </cell>
          <cell r="AX66">
            <v>-825000</v>
          </cell>
          <cell r="AY66">
            <v>-660000</v>
          </cell>
          <cell r="AZ66">
            <v>-148500</v>
          </cell>
          <cell r="BA66">
            <v>-16500</v>
          </cell>
          <cell r="BB66">
            <v>-1650000</v>
          </cell>
          <cell r="BC66">
            <v>29608485</v>
          </cell>
          <cell r="BD66">
            <v>-2629232</v>
          </cell>
          <cell r="BE66">
            <v>756692</v>
          </cell>
          <cell r="BF66">
            <v>0</v>
          </cell>
          <cell r="BG66">
            <v>-1994679</v>
          </cell>
          <cell r="BH66">
            <v>-31623</v>
          </cell>
          <cell r="BI66">
            <v>-5560</v>
          </cell>
          <cell r="BJ66">
            <v>-12294</v>
          </cell>
          <cell r="BK66">
            <v>-704779</v>
          </cell>
          <cell r="BL66">
            <v>-12030</v>
          </cell>
          <cell r="BM66">
            <v>0</v>
          </cell>
          <cell r="BN66">
            <v>0</v>
          </cell>
          <cell r="BO66">
            <v>0</v>
          </cell>
          <cell r="BP66">
            <v>0</v>
          </cell>
          <cell r="BQ66">
            <v>0</v>
          </cell>
          <cell r="BR66">
            <v>0</v>
          </cell>
          <cell r="BS66">
            <v>0</v>
          </cell>
          <cell r="BT66">
            <v>29076539</v>
          </cell>
          <cell r="BU66">
            <v>-312332</v>
          </cell>
          <cell r="BV66">
            <v>988073</v>
          </cell>
          <cell r="BW66">
            <v>-707942</v>
          </cell>
          <cell r="BX66">
            <v>-1435607</v>
          </cell>
          <cell r="BY66">
            <v>-1213671</v>
          </cell>
          <cell r="BZ66">
            <v>24822269</v>
          </cell>
          <cell r="CA66">
            <v>-717805</v>
          </cell>
          <cell r="CB66">
            <v>-574242</v>
          </cell>
          <cell r="CC66">
            <v>-129204</v>
          </cell>
          <cell r="CD66">
            <v>-14356</v>
          </cell>
          <cell r="CE66">
            <v>-606836</v>
          </cell>
          <cell r="CF66">
            <v>-485468</v>
          </cell>
          <cell r="CG66">
            <v>-109230</v>
          </cell>
          <cell r="CH66">
            <v>-12137</v>
          </cell>
        </row>
        <row r="67">
          <cell r="A67">
            <v>60</v>
          </cell>
          <cell r="B67" t="str">
            <v>Christchurch</v>
          </cell>
          <cell r="C67" t="str">
            <v>E1232</v>
          </cell>
          <cell r="D67">
            <v>74395</v>
          </cell>
          <cell r="H67">
            <v>196574</v>
          </cell>
          <cell r="I67">
            <v>0</v>
          </cell>
          <cell r="J67">
            <v>74395</v>
          </cell>
          <cell r="K67">
            <v>0</v>
          </cell>
          <cell r="L67">
            <v>285495</v>
          </cell>
          <cell r="M67">
            <v>0</v>
          </cell>
          <cell r="N67">
            <v>0</v>
          </cell>
          <cell r="O67">
            <v>0</v>
          </cell>
          <cell r="P67">
            <v>0</v>
          </cell>
          <cell r="Q67">
            <v>0</v>
          </cell>
          <cell r="R67">
            <v>336616</v>
          </cell>
          <cell r="S67">
            <v>75738</v>
          </cell>
          <cell r="T67">
            <v>8415</v>
          </cell>
          <cell r="U67">
            <v>804</v>
          </cell>
          <cell r="V67">
            <v>181</v>
          </cell>
          <cell r="W67">
            <v>20</v>
          </cell>
          <cell r="X67">
            <v>0</v>
          </cell>
          <cell r="Y67">
            <v>0</v>
          </cell>
          <cell r="Z67">
            <v>0</v>
          </cell>
          <cell r="AA67">
            <v>0</v>
          </cell>
          <cell r="AB67">
            <v>0</v>
          </cell>
          <cell r="AC67">
            <v>0</v>
          </cell>
          <cell r="AD67">
            <v>0</v>
          </cell>
          <cell r="AE67">
            <v>0</v>
          </cell>
          <cell r="AF67">
            <v>0</v>
          </cell>
          <cell r="AG67">
            <v>0</v>
          </cell>
          <cell r="AH67">
            <v>0</v>
          </cell>
          <cell r="AI67">
            <v>0</v>
          </cell>
          <cell r="AM67">
            <v>0</v>
          </cell>
          <cell r="AN67">
            <v>0</v>
          </cell>
          <cell r="AO67">
            <v>0</v>
          </cell>
          <cell r="AP67">
            <v>119762</v>
          </cell>
          <cell r="AQ67">
            <v>25981</v>
          </cell>
          <cell r="AR67">
            <v>2887</v>
          </cell>
          <cell r="AS67">
            <v>-145276.49</v>
          </cell>
          <cell r="AT67">
            <v>-116220</v>
          </cell>
          <cell r="AU67">
            <v>-26151</v>
          </cell>
          <cell r="AV67">
            <v>-2905</v>
          </cell>
          <cell r="AW67">
            <v>-290552.49</v>
          </cell>
          <cell r="AX67">
            <v>-770661</v>
          </cell>
          <cell r="AY67">
            <v>-616528</v>
          </cell>
          <cell r="AZ67">
            <v>-138718</v>
          </cell>
          <cell r="BA67">
            <v>-15412</v>
          </cell>
          <cell r="BB67">
            <v>-1541319</v>
          </cell>
          <cell r="BC67">
            <v>18969773</v>
          </cell>
          <cell r="BD67">
            <v>-1250885</v>
          </cell>
          <cell r="BE67">
            <v>499650</v>
          </cell>
          <cell r="BF67">
            <v>0</v>
          </cell>
          <cell r="BG67">
            <v>-756561</v>
          </cell>
          <cell r="BH67">
            <v>-31669</v>
          </cell>
          <cell r="BI67">
            <v>-1743</v>
          </cell>
          <cell r="BJ67">
            <v>-8325</v>
          </cell>
          <cell r="BK67">
            <v>-663141</v>
          </cell>
          <cell r="BL67">
            <v>-5478</v>
          </cell>
          <cell r="BM67">
            <v>-4296</v>
          </cell>
          <cell r="BN67">
            <v>-1590</v>
          </cell>
          <cell r="BO67">
            <v>0</v>
          </cell>
          <cell r="BP67">
            <v>0</v>
          </cell>
          <cell r="BQ67">
            <v>0</v>
          </cell>
          <cell r="BR67">
            <v>0</v>
          </cell>
          <cell r="BS67">
            <v>0</v>
          </cell>
          <cell r="BT67">
            <v>19246091</v>
          </cell>
          <cell r="BU67">
            <v>-82655</v>
          </cell>
          <cell r="BV67">
            <v>510530</v>
          </cell>
          <cell r="BW67">
            <v>-229401</v>
          </cell>
          <cell r="BX67">
            <v>-209500</v>
          </cell>
          <cell r="BY67">
            <v>-238377</v>
          </cell>
          <cell r="BZ67">
            <v>19218055</v>
          </cell>
          <cell r="CA67">
            <v>-104750</v>
          </cell>
          <cell r="CB67">
            <v>-83801</v>
          </cell>
          <cell r="CC67">
            <v>-18854</v>
          </cell>
          <cell r="CD67">
            <v>-2095</v>
          </cell>
          <cell r="CE67">
            <v>-119188</v>
          </cell>
          <cell r="CF67">
            <v>-95351</v>
          </cell>
          <cell r="CG67">
            <v>-21454</v>
          </cell>
          <cell r="CH67">
            <v>-2384</v>
          </cell>
        </row>
        <row r="68">
          <cell r="A68">
            <v>61</v>
          </cell>
          <cell r="B68" t="str">
            <v>City of London</v>
          </cell>
          <cell r="C68" t="str">
            <v>E5010</v>
          </cell>
          <cell r="D68">
            <v>1959373</v>
          </cell>
          <cell r="H68">
            <v>25492287</v>
          </cell>
          <cell r="I68">
            <v>0</v>
          </cell>
          <cell r="J68">
            <v>1959373</v>
          </cell>
          <cell r="K68">
            <v>0</v>
          </cell>
          <cell r="L68">
            <v>0</v>
          </cell>
          <cell r="M68">
            <v>0</v>
          </cell>
          <cell r="N68">
            <v>0</v>
          </cell>
          <cell r="O68">
            <v>0</v>
          </cell>
          <cell r="P68">
            <v>0</v>
          </cell>
          <cell r="Q68">
            <v>0</v>
          </cell>
          <cell r="R68">
            <v>84560</v>
          </cell>
          <cell r="S68">
            <v>104290</v>
          </cell>
          <cell r="T68">
            <v>0</v>
          </cell>
          <cell r="U68">
            <v>0</v>
          </cell>
          <cell r="V68">
            <v>0</v>
          </cell>
          <cell r="W68">
            <v>0</v>
          </cell>
          <cell r="X68">
            <v>0</v>
          </cell>
          <cell r="Y68">
            <v>0</v>
          </cell>
          <cell r="Z68">
            <v>0</v>
          </cell>
          <cell r="AA68">
            <v>12617</v>
          </cell>
          <cell r="AB68">
            <v>15561</v>
          </cell>
          <cell r="AC68">
            <v>0</v>
          </cell>
          <cell r="AD68">
            <v>0</v>
          </cell>
          <cell r="AE68">
            <v>0</v>
          </cell>
          <cell r="AF68">
            <v>0</v>
          </cell>
          <cell r="AG68">
            <v>0</v>
          </cell>
          <cell r="AH68">
            <v>0</v>
          </cell>
          <cell r="AI68">
            <v>0</v>
          </cell>
          <cell r="AM68">
            <v>0</v>
          </cell>
          <cell r="AN68">
            <v>0</v>
          </cell>
          <cell r="AO68">
            <v>0</v>
          </cell>
          <cell r="AP68">
            <v>4947572</v>
          </cell>
          <cell r="AQ68">
            <v>5893267</v>
          </cell>
          <cell r="AR68">
            <v>0</v>
          </cell>
          <cell r="AS68">
            <v>-5049419</v>
          </cell>
          <cell r="AT68">
            <v>-3029651</v>
          </cell>
          <cell r="AU68">
            <v>-2019767</v>
          </cell>
          <cell r="AV68">
            <v>0</v>
          </cell>
          <cell r="AW68">
            <v>-10098837</v>
          </cell>
          <cell r="AX68">
            <v>-133622543</v>
          </cell>
          <cell r="AY68">
            <v>-80173526</v>
          </cell>
          <cell r="AZ68">
            <v>-53449016</v>
          </cell>
          <cell r="BA68">
            <v>0</v>
          </cell>
          <cell r="BB68">
            <v>-267245085</v>
          </cell>
          <cell r="BC68">
            <v>772639491</v>
          </cell>
          <cell r="BD68">
            <v>-438825</v>
          </cell>
          <cell r="BE68">
            <v>24788002</v>
          </cell>
          <cell r="BF68">
            <v>0</v>
          </cell>
          <cell r="BG68">
            <v>-12645514</v>
          </cell>
          <cell r="BH68">
            <v>0</v>
          </cell>
          <cell r="BI68">
            <v>0</v>
          </cell>
          <cell r="BJ68">
            <v>-979943</v>
          </cell>
          <cell r="BK68">
            <v>-39251019</v>
          </cell>
          <cell r="BL68">
            <v>-148881</v>
          </cell>
          <cell r="BM68">
            <v>-77873</v>
          </cell>
          <cell r="BN68">
            <v>0</v>
          </cell>
          <cell r="BO68">
            <v>0</v>
          </cell>
          <cell r="BP68">
            <v>0</v>
          </cell>
          <cell r="BQ68">
            <v>0</v>
          </cell>
          <cell r="BR68">
            <v>0</v>
          </cell>
          <cell r="BS68">
            <v>0</v>
          </cell>
          <cell r="BT68">
            <v>902837837</v>
          </cell>
          <cell r="BU68">
            <v>-993667</v>
          </cell>
          <cell r="BV68">
            <v>17955125</v>
          </cell>
          <cell r="BW68">
            <v>-69304803</v>
          </cell>
          <cell r="BX68">
            <v>-574053</v>
          </cell>
          <cell r="BY68">
            <v>52951930</v>
          </cell>
          <cell r="BZ68">
            <v>1060333023</v>
          </cell>
          <cell r="CA68">
            <v>-287026</v>
          </cell>
          <cell r="CB68">
            <v>-172216</v>
          </cell>
          <cell r="CC68">
            <v>-114811</v>
          </cell>
          <cell r="CD68">
            <v>0</v>
          </cell>
          <cell r="CE68">
            <v>26475965</v>
          </cell>
          <cell r="CF68">
            <v>15885579</v>
          </cell>
          <cell r="CG68">
            <v>10590386</v>
          </cell>
          <cell r="CH68">
            <v>0</v>
          </cell>
        </row>
        <row r="69">
          <cell r="A69">
            <v>62</v>
          </cell>
          <cell r="B69" t="str">
            <v>Colchester</v>
          </cell>
          <cell r="C69" t="str">
            <v>E1536</v>
          </cell>
          <cell r="D69">
            <v>239982</v>
          </cell>
          <cell r="H69">
            <v>-777695</v>
          </cell>
          <cell r="I69">
            <v>0</v>
          </cell>
          <cell r="J69">
            <v>239982</v>
          </cell>
          <cell r="K69">
            <v>0</v>
          </cell>
          <cell r="L69">
            <v>0</v>
          </cell>
          <cell r="M69">
            <v>0</v>
          </cell>
          <cell r="N69">
            <v>0</v>
          </cell>
          <cell r="O69">
            <v>0</v>
          </cell>
          <cell r="P69">
            <v>0</v>
          </cell>
          <cell r="Q69">
            <v>0</v>
          </cell>
          <cell r="R69">
            <v>1044179</v>
          </cell>
          <cell r="S69">
            <v>234940</v>
          </cell>
          <cell r="T69">
            <v>26104</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M69">
            <v>0</v>
          </cell>
          <cell r="AN69">
            <v>0</v>
          </cell>
          <cell r="AO69">
            <v>0</v>
          </cell>
          <cell r="AP69">
            <v>364326</v>
          </cell>
          <cell r="AQ69">
            <v>81973</v>
          </cell>
          <cell r="AR69">
            <v>9108</v>
          </cell>
          <cell r="AS69">
            <v>-652480</v>
          </cell>
          <cell r="AT69">
            <v>-521984</v>
          </cell>
          <cell r="AU69">
            <v>-117445</v>
          </cell>
          <cell r="AV69">
            <v>-13050</v>
          </cell>
          <cell r="AW69">
            <v>-1304959</v>
          </cell>
          <cell r="AX69">
            <v>-2247321</v>
          </cell>
          <cell r="AY69">
            <v>-1797857</v>
          </cell>
          <cell r="AZ69">
            <v>-404518</v>
          </cell>
          <cell r="BA69">
            <v>-44945</v>
          </cell>
          <cell r="BB69">
            <v>-4494641</v>
          </cell>
          <cell r="BC69">
            <v>65647643</v>
          </cell>
          <cell r="BD69">
            <v>-3322390</v>
          </cell>
          <cell r="BE69">
            <v>1751374</v>
          </cell>
          <cell r="BF69">
            <v>0</v>
          </cell>
          <cell r="BG69">
            <v>-5160595</v>
          </cell>
          <cell r="BH69">
            <v>-58069</v>
          </cell>
          <cell r="BI69">
            <v>-12625</v>
          </cell>
          <cell r="BJ69">
            <v>-15716</v>
          </cell>
          <cell r="BK69">
            <v>-2136583</v>
          </cell>
          <cell r="BL69">
            <v>-171589</v>
          </cell>
          <cell r="BM69">
            <v>0</v>
          </cell>
          <cell r="BN69">
            <v>-14010</v>
          </cell>
          <cell r="BO69">
            <v>0</v>
          </cell>
          <cell r="BP69">
            <v>0</v>
          </cell>
          <cell r="BQ69">
            <v>0</v>
          </cell>
          <cell r="BR69">
            <v>0</v>
          </cell>
          <cell r="BS69">
            <v>0</v>
          </cell>
          <cell r="BT69">
            <v>64363077</v>
          </cell>
          <cell r="BU69">
            <v>-314795</v>
          </cell>
          <cell r="BV69">
            <v>2807195</v>
          </cell>
          <cell r="BW69">
            <v>-1952951</v>
          </cell>
          <cell r="BX69">
            <v>607793</v>
          </cell>
          <cell r="BY69">
            <v>-2395546</v>
          </cell>
          <cell r="BZ69">
            <v>60634272</v>
          </cell>
          <cell r="CA69">
            <v>303897</v>
          </cell>
          <cell r="CB69">
            <v>243117</v>
          </cell>
          <cell r="CC69">
            <v>54702</v>
          </cell>
          <cell r="CD69">
            <v>6077</v>
          </cell>
          <cell r="CE69">
            <v>-1197774</v>
          </cell>
          <cell r="CF69">
            <v>-958218</v>
          </cell>
          <cell r="CG69">
            <v>-215599</v>
          </cell>
          <cell r="CH69">
            <v>-23955</v>
          </cell>
        </row>
        <row r="70">
          <cell r="A70">
            <v>63</v>
          </cell>
          <cell r="B70" t="str">
            <v>Copeland</v>
          </cell>
          <cell r="C70" t="str">
            <v>E0934</v>
          </cell>
          <cell r="D70">
            <v>101141</v>
          </cell>
          <cell r="H70">
            <v>-6881743</v>
          </cell>
          <cell r="I70">
            <v>0</v>
          </cell>
          <cell r="J70">
            <v>101141</v>
          </cell>
          <cell r="K70">
            <v>0</v>
          </cell>
          <cell r="L70">
            <v>185613</v>
          </cell>
          <cell r="M70">
            <v>0</v>
          </cell>
          <cell r="N70">
            <v>0</v>
          </cell>
          <cell r="O70">
            <v>0</v>
          </cell>
          <cell r="P70">
            <v>0</v>
          </cell>
          <cell r="Q70">
            <v>0</v>
          </cell>
          <cell r="R70">
            <v>349168</v>
          </cell>
          <cell r="S70">
            <v>87292</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M70">
            <v>0</v>
          </cell>
          <cell r="AN70">
            <v>0</v>
          </cell>
          <cell r="AO70">
            <v>0</v>
          </cell>
          <cell r="AP70">
            <v>199472</v>
          </cell>
          <cell r="AQ70">
            <v>49171</v>
          </cell>
          <cell r="AR70">
            <v>0</v>
          </cell>
          <cell r="AS70">
            <v>-87500</v>
          </cell>
          <cell r="AT70">
            <v>-70000</v>
          </cell>
          <cell r="AU70">
            <v>-17500</v>
          </cell>
          <cell r="AV70">
            <v>0</v>
          </cell>
          <cell r="AW70">
            <v>-175000</v>
          </cell>
          <cell r="AX70">
            <v>-555475</v>
          </cell>
          <cell r="AY70">
            <v>-444379</v>
          </cell>
          <cell r="AZ70">
            <v>-111095</v>
          </cell>
          <cell r="BA70">
            <v>0</v>
          </cell>
          <cell r="BB70">
            <v>-1110949</v>
          </cell>
          <cell r="BC70">
            <v>42114075</v>
          </cell>
          <cell r="BD70">
            <v>-1491070</v>
          </cell>
          <cell r="BE70">
            <v>1078818</v>
          </cell>
          <cell r="BF70">
            <v>0</v>
          </cell>
          <cell r="BG70">
            <v>-1266456</v>
          </cell>
          <cell r="BH70">
            <v>-65423</v>
          </cell>
          <cell r="BI70">
            <v>-21282</v>
          </cell>
          <cell r="BJ70">
            <v>0</v>
          </cell>
          <cell r="BK70">
            <v>-361706</v>
          </cell>
          <cell r="BL70">
            <v>0</v>
          </cell>
          <cell r="BM70">
            <v>0</v>
          </cell>
          <cell r="BN70">
            <v>0</v>
          </cell>
          <cell r="BO70">
            <v>0</v>
          </cell>
          <cell r="BP70">
            <v>0</v>
          </cell>
          <cell r="BQ70">
            <v>0</v>
          </cell>
          <cell r="BR70">
            <v>0</v>
          </cell>
          <cell r="BS70">
            <v>0</v>
          </cell>
          <cell r="BT70">
            <v>42795255</v>
          </cell>
          <cell r="BU70">
            <v>-18390</v>
          </cell>
          <cell r="BV70">
            <v>790422</v>
          </cell>
          <cell r="BW70">
            <v>-2143420</v>
          </cell>
          <cell r="BX70">
            <v>2997105</v>
          </cell>
          <cell r="BY70">
            <v>631433</v>
          </cell>
          <cell r="BZ70">
            <v>32733855</v>
          </cell>
          <cell r="CA70">
            <v>1498552</v>
          </cell>
          <cell r="CB70">
            <v>1198842</v>
          </cell>
          <cell r="CC70">
            <v>299711</v>
          </cell>
          <cell r="CD70">
            <v>0</v>
          </cell>
          <cell r="CE70">
            <v>315717</v>
          </cell>
          <cell r="CF70">
            <v>252573</v>
          </cell>
          <cell r="CG70">
            <v>63143</v>
          </cell>
          <cell r="CH70">
            <v>0</v>
          </cell>
        </row>
        <row r="71">
          <cell r="A71">
            <v>64</v>
          </cell>
          <cell r="B71" t="str">
            <v>Corby</v>
          </cell>
          <cell r="C71" t="str">
            <v>E2831</v>
          </cell>
          <cell r="D71">
            <v>87948</v>
          </cell>
          <cell r="H71">
            <v>-232805</v>
          </cell>
          <cell r="I71">
            <v>0</v>
          </cell>
          <cell r="J71">
            <v>87948</v>
          </cell>
          <cell r="K71">
            <v>0</v>
          </cell>
          <cell r="L71">
            <v>0</v>
          </cell>
          <cell r="M71">
            <v>0</v>
          </cell>
          <cell r="N71">
            <v>0</v>
          </cell>
          <cell r="O71">
            <v>0</v>
          </cell>
          <cell r="P71">
            <v>0</v>
          </cell>
          <cell r="Q71">
            <v>0</v>
          </cell>
          <cell r="R71">
            <v>338170</v>
          </cell>
          <cell r="S71">
            <v>84543</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M71">
            <v>0</v>
          </cell>
          <cell r="AN71">
            <v>0</v>
          </cell>
          <cell r="AO71">
            <v>0</v>
          </cell>
          <cell r="AP71">
            <v>205153</v>
          </cell>
          <cell r="AQ71">
            <v>51288</v>
          </cell>
          <cell r="AR71">
            <v>0</v>
          </cell>
          <cell r="AS71">
            <v>-428910.69999999995</v>
          </cell>
          <cell r="AT71">
            <v>-343128</v>
          </cell>
          <cell r="AU71">
            <v>-85782</v>
          </cell>
          <cell r="AV71">
            <v>0</v>
          </cell>
          <cell r="AW71">
            <v>-857820.7</v>
          </cell>
          <cell r="AX71">
            <v>-1981336</v>
          </cell>
          <cell r="AY71">
            <v>-1585072</v>
          </cell>
          <cell r="AZ71">
            <v>-396267</v>
          </cell>
          <cell r="BA71">
            <v>0</v>
          </cell>
          <cell r="BB71">
            <v>-3962675</v>
          </cell>
          <cell r="BC71">
            <v>33403923</v>
          </cell>
          <cell r="BD71">
            <v>-1232766</v>
          </cell>
          <cell r="BE71">
            <v>993119</v>
          </cell>
          <cell r="BF71">
            <v>0</v>
          </cell>
          <cell r="BG71">
            <v>-1939273</v>
          </cell>
          <cell r="BH71">
            <v>0</v>
          </cell>
          <cell r="BI71">
            <v>-546</v>
          </cell>
          <cell r="BJ71">
            <v>-326401</v>
          </cell>
          <cell r="BK71">
            <v>-1213146</v>
          </cell>
          <cell r="BL71">
            <v>-27079</v>
          </cell>
          <cell r="BM71">
            <v>-499837</v>
          </cell>
          <cell r="BN71">
            <v>0</v>
          </cell>
          <cell r="BO71">
            <v>0</v>
          </cell>
          <cell r="BP71">
            <v>0</v>
          </cell>
          <cell r="BQ71">
            <v>0</v>
          </cell>
          <cell r="BR71">
            <v>0</v>
          </cell>
          <cell r="BS71">
            <v>0</v>
          </cell>
          <cell r="BT71">
            <v>34868583</v>
          </cell>
          <cell r="BU71">
            <v>-214713</v>
          </cell>
          <cell r="BV71">
            <v>2570345</v>
          </cell>
          <cell r="BW71">
            <v>-689290</v>
          </cell>
          <cell r="BX71">
            <v>-1288392</v>
          </cell>
          <cell r="BY71">
            <v>-230068</v>
          </cell>
          <cell r="BZ71">
            <v>34143256</v>
          </cell>
          <cell r="CA71">
            <v>-644196</v>
          </cell>
          <cell r="CB71">
            <v>-515357</v>
          </cell>
          <cell r="CC71">
            <v>-128839</v>
          </cell>
          <cell r="CD71">
            <v>0</v>
          </cell>
          <cell r="CE71">
            <v>-115034</v>
          </cell>
          <cell r="CF71">
            <v>-92027</v>
          </cell>
          <cell r="CG71">
            <v>-23007</v>
          </cell>
          <cell r="CH71">
            <v>0</v>
          </cell>
        </row>
        <row r="72">
          <cell r="A72">
            <v>65</v>
          </cell>
          <cell r="B72" t="str">
            <v>Cornwall UA</v>
          </cell>
          <cell r="C72" t="str">
            <v>E0801</v>
          </cell>
          <cell r="D72">
            <v>1124892</v>
          </cell>
          <cell r="H72">
            <v>-493226</v>
          </cell>
          <cell r="I72">
            <v>8497</v>
          </cell>
          <cell r="J72">
            <v>1124892</v>
          </cell>
          <cell r="K72">
            <v>148239</v>
          </cell>
          <cell r="L72">
            <v>1449994</v>
          </cell>
          <cell r="M72">
            <v>0</v>
          </cell>
          <cell r="N72">
            <v>0</v>
          </cell>
          <cell r="O72">
            <v>0</v>
          </cell>
          <cell r="P72">
            <v>0</v>
          </cell>
          <cell r="Q72">
            <v>0</v>
          </cell>
          <cell r="R72">
            <v>15653198</v>
          </cell>
          <cell r="S72">
            <v>0</v>
          </cell>
          <cell r="T72">
            <v>0</v>
          </cell>
          <cell r="U72">
            <v>63463</v>
          </cell>
          <cell r="V72">
            <v>0</v>
          </cell>
          <cell r="W72">
            <v>0</v>
          </cell>
          <cell r="X72">
            <v>2508</v>
          </cell>
          <cell r="Y72">
            <v>0</v>
          </cell>
          <cell r="Z72">
            <v>0</v>
          </cell>
          <cell r="AA72">
            <v>8978</v>
          </cell>
          <cell r="AB72">
            <v>0</v>
          </cell>
          <cell r="AC72">
            <v>0</v>
          </cell>
          <cell r="AD72">
            <v>0</v>
          </cell>
          <cell r="AE72">
            <v>0</v>
          </cell>
          <cell r="AF72">
            <v>0</v>
          </cell>
          <cell r="AG72">
            <v>0</v>
          </cell>
          <cell r="AH72">
            <v>0</v>
          </cell>
          <cell r="AI72">
            <v>0</v>
          </cell>
          <cell r="AM72">
            <v>0</v>
          </cell>
          <cell r="AN72">
            <v>0</v>
          </cell>
          <cell r="AO72">
            <v>0</v>
          </cell>
          <cell r="AP72">
            <v>2130221</v>
          </cell>
          <cell r="AQ72">
            <v>0</v>
          </cell>
          <cell r="AR72">
            <v>0</v>
          </cell>
          <cell r="AS72">
            <v>-1232382</v>
          </cell>
          <cell r="AT72">
            <v>-1232382</v>
          </cell>
          <cell r="AU72">
            <v>0</v>
          </cell>
          <cell r="AV72">
            <v>0</v>
          </cell>
          <cell r="AW72">
            <v>-2464764</v>
          </cell>
          <cell r="AX72">
            <v>-10088500</v>
          </cell>
          <cell r="AY72">
            <v>-10088500</v>
          </cell>
          <cell r="AZ72">
            <v>0</v>
          </cell>
          <cell r="BA72">
            <v>0</v>
          </cell>
          <cell r="BB72">
            <v>-20177000</v>
          </cell>
          <cell r="BC72">
            <v>154418435</v>
          </cell>
          <cell r="BD72">
            <v>-25898292</v>
          </cell>
          <cell r="BE72">
            <v>4077846</v>
          </cell>
          <cell r="BF72">
            <v>0</v>
          </cell>
          <cell r="BG72">
            <v>-16349241</v>
          </cell>
          <cell r="BH72">
            <v>-208698</v>
          </cell>
          <cell r="BI72">
            <v>-212762</v>
          </cell>
          <cell r="BJ72">
            <v>-38175</v>
          </cell>
          <cell r="BK72">
            <v>-3447212</v>
          </cell>
          <cell r="BL72">
            <v>-705336</v>
          </cell>
          <cell r="BM72">
            <v>-327383</v>
          </cell>
          <cell r="BN72">
            <v>-7339</v>
          </cell>
          <cell r="BO72">
            <v>-108610</v>
          </cell>
          <cell r="BP72">
            <v>-16450</v>
          </cell>
          <cell r="BQ72">
            <v>-278957</v>
          </cell>
          <cell r="BR72">
            <v>-283677</v>
          </cell>
          <cell r="BS72">
            <v>0</v>
          </cell>
          <cell r="BT72">
            <v>158090880</v>
          </cell>
          <cell r="BU72">
            <v>-1178946</v>
          </cell>
          <cell r="BV72">
            <v>6619843</v>
          </cell>
          <cell r="BW72">
            <v>-4411763</v>
          </cell>
          <cell r="BX72">
            <v>2449021</v>
          </cell>
          <cell r="BY72">
            <v>2000512</v>
          </cell>
          <cell r="BZ72">
            <v>140213620</v>
          </cell>
          <cell r="CA72">
            <v>1224510</v>
          </cell>
          <cell r="CB72">
            <v>1224511</v>
          </cell>
          <cell r="CC72">
            <v>0</v>
          </cell>
          <cell r="CD72">
            <v>0</v>
          </cell>
          <cell r="CE72">
            <v>1000256</v>
          </cell>
          <cell r="CF72">
            <v>1000256</v>
          </cell>
          <cell r="CG72">
            <v>0</v>
          </cell>
          <cell r="CH72">
            <v>0</v>
          </cell>
        </row>
        <row r="73">
          <cell r="A73">
            <v>66</v>
          </cell>
          <cell r="B73" t="str">
            <v>Cotswold</v>
          </cell>
          <cell r="C73" t="str">
            <v>E1632</v>
          </cell>
          <cell r="D73">
            <v>179930</v>
          </cell>
          <cell r="H73">
            <v>2090912</v>
          </cell>
          <cell r="I73">
            <v>0</v>
          </cell>
          <cell r="J73">
            <v>179930</v>
          </cell>
          <cell r="K73">
            <v>0</v>
          </cell>
          <cell r="L73">
            <v>135070</v>
          </cell>
          <cell r="M73">
            <v>0</v>
          </cell>
          <cell r="N73">
            <v>0</v>
          </cell>
          <cell r="O73">
            <v>0</v>
          </cell>
          <cell r="P73">
            <v>0</v>
          </cell>
          <cell r="Q73">
            <v>0</v>
          </cell>
          <cell r="R73">
            <v>322054</v>
          </cell>
          <cell r="S73">
            <v>80513</v>
          </cell>
          <cell r="T73">
            <v>0</v>
          </cell>
          <cell r="U73">
            <v>3452</v>
          </cell>
          <cell r="V73">
            <v>863</v>
          </cell>
          <cell r="W73">
            <v>0</v>
          </cell>
          <cell r="X73">
            <v>0</v>
          </cell>
          <cell r="Y73">
            <v>0</v>
          </cell>
          <cell r="Z73">
            <v>0</v>
          </cell>
          <cell r="AA73">
            <v>3525</v>
          </cell>
          <cell r="AB73">
            <v>881</v>
          </cell>
          <cell r="AC73">
            <v>0</v>
          </cell>
          <cell r="AD73">
            <v>0</v>
          </cell>
          <cell r="AE73">
            <v>0</v>
          </cell>
          <cell r="AF73">
            <v>0</v>
          </cell>
          <cell r="AG73">
            <v>0</v>
          </cell>
          <cell r="AH73">
            <v>0</v>
          </cell>
          <cell r="AI73">
            <v>0</v>
          </cell>
          <cell r="AM73">
            <v>0</v>
          </cell>
          <cell r="AN73">
            <v>0</v>
          </cell>
          <cell r="AO73">
            <v>0</v>
          </cell>
          <cell r="AP73">
            <v>213473</v>
          </cell>
          <cell r="AQ73">
            <v>52861</v>
          </cell>
          <cell r="AR73">
            <v>0</v>
          </cell>
          <cell r="AS73">
            <v>-146062</v>
          </cell>
          <cell r="AT73">
            <v>-116851</v>
          </cell>
          <cell r="AU73">
            <v>-29212</v>
          </cell>
          <cell r="AV73">
            <v>0</v>
          </cell>
          <cell r="AW73">
            <v>-292125</v>
          </cell>
          <cell r="AX73">
            <v>-946240</v>
          </cell>
          <cell r="AY73">
            <v>-756992</v>
          </cell>
          <cell r="AZ73">
            <v>-189248</v>
          </cell>
          <cell r="BA73">
            <v>0</v>
          </cell>
          <cell r="BB73">
            <v>-1892480</v>
          </cell>
          <cell r="BC73">
            <v>30990257</v>
          </cell>
          <cell r="BD73">
            <v>-2988595</v>
          </cell>
          <cell r="BE73">
            <v>763542</v>
          </cell>
          <cell r="BF73">
            <v>0</v>
          </cell>
          <cell r="BG73">
            <v>-2143297</v>
          </cell>
          <cell r="BH73">
            <v>-46173</v>
          </cell>
          <cell r="BI73">
            <v>-31726</v>
          </cell>
          <cell r="BJ73">
            <v>-7687</v>
          </cell>
          <cell r="BK73">
            <v>-955453</v>
          </cell>
          <cell r="BL73">
            <v>-81060</v>
          </cell>
          <cell r="BM73">
            <v>-11967</v>
          </cell>
          <cell r="BN73">
            <v>-79</v>
          </cell>
          <cell r="BO73">
            <v>-8752</v>
          </cell>
          <cell r="BP73">
            <v>0</v>
          </cell>
          <cell r="BQ73">
            <v>0</v>
          </cell>
          <cell r="BR73">
            <v>0</v>
          </cell>
          <cell r="BS73">
            <v>0</v>
          </cell>
          <cell r="BT73">
            <v>31062427</v>
          </cell>
          <cell r="BU73">
            <v>-94015</v>
          </cell>
          <cell r="BV73">
            <v>1142343</v>
          </cell>
          <cell r="BW73">
            <v>-252437</v>
          </cell>
          <cell r="BX73">
            <v>833452</v>
          </cell>
          <cell r="BY73">
            <v>517600</v>
          </cell>
          <cell r="BZ73">
            <v>35190337</v>
          </cell>
          <cell r="CA73">
            <v>416725</v>
          </cell>
          <cell r="CB73">
            <v>333381</v>
          </cell>
          <cell r="CC73">
            <v>83346</v>
          </cell>
          <cell r="CD73">
            <v>0</v>
          </cell>
          <cell r="CE73">
            <v>258800</v>
          </cell>
          <cell r="CF73">
            <v>207040</v>
          </cell>
          <cell r="CG73">
            <v>51760</v>
          </cell>
          <cell r="CH73">
            <v>0</v>
          </cell>
        </row>
        <row r="74">
          <cell r="A74">
            <v>67</v>
          </cell>
          <cell r="B74" t="str">
            <v>Coventry</v>
          </cell>
          <cell r="C74" t="str">
            <v>E4602</v>
          </cell>
          <cell r="D74">
            <v>373014</v>
          </cell>
          <cell r="H74">
            <v>-3818850</v>
          </cell>
          <cell r="I74">
            <v>0</v>
          </cell>
          <cell r="J74">
            <v>373014</v>
          </cell>
          <cell r="K74">
            <v>0</v>
          </cell>
          <cell r="L74">
            <v>0</v>
          </cell>
          <cell r="M74">
            <v>0</v>
          </cell>
          <cell r="N74">
            <v>0</v>
          </cell>
          <cell r="O74">
            <v>0</v>
          </cell>
          <cell r="P74">
            <v>0</v>
          </cell>
          <cell r="Q74">
            <v>0</v>
          </cell>
          <cell r="R74">
            <v>3669535</v>
          </cell>
          <cell r="S74">
            <v>0</v>
          </cell>
          <cell r="T74">
            <v>37066</v>
          </cell>
          <cell r="U74">
            <v>1639</v>
          </cell>
          <cell r="V74">
            <v>0</v>
          </cell>
          <cell r="W74">
            <v>17</v>
          </cell>
          <cell r="X74">
            <v>345939</v>
          </cell>
          <cell r="Y74">
            <v>0</v>
          </cell>
          <cell r="Z74">
            <v>3494</v>
          </cell>
          <cell r="AA74">
            <v>22033</v>
          </cell>
          <cell r="AB74">
            <v>0</v>
          </cell>
          <cell r="AC74">
            <v>223</v>
          </cell>
          <cell r="AD74">
            <v>0</v>
          </cell>
          <cell r="AE74">
            <v>0</v>
          </cell>
          <cell r="AF74">
            <v>0</v>
          </cell>
          <cell r="AG74">
            <v>0</v>
          </cell>
          <cell r="AH74">
            <v>0</v>
          </cell>
          <cell r="AI74">
            <v>0</v>
          </cell>
          <cell r="AM74">
            <v>0</v>
          </cell>
          <cell r="AN74">
            <v>0</v>
          </cell>
          <cell r="AO74">
            <v>0</v>
          </cell>
          <cell r="AP74">
            <v>1717331</v>
          </cell>
          <cell r="AQ74">
            <v>0</v>
          </cell>
          <cell r="AR74">
            <v>17347</v>
          </cell>
          <cell r="AS74">
            <v>-1355803</v>
          </cell>
          <cell r="AT74">
            <v>-1328687</v>
          </cell>
          <cell r="AU74">
            <v>0</v>
          </cell>
          <cell r="AV74">
            <v>-27116</v>
          </cell>
          <cell r="AW74">
            <v>-2711606</v>
          </cell>
          <cell r="AX74">
            <v>-3644405</v>
          </cell>
          <cell r="AY74">
            <v>-3571516</v>
          </cell>
          <cell r="AZ74">
            <v>0</v>
          </cell>
          <cell r="BA74">
            <v>-72887</v>
          </cell>
          <cell r="BB74">
            <v>-7288808</v>
          </cell>
          <cell r="BC74">
            <v>123265176</v>
          </cell>
          <cell r="BD74">
            <v>-5720048</v>
          </cell>
          <cell r="BE74">
            <v>3489213</v>
          </cell>
          <cell r="BF74">
            <v>0</v>
          </cell>
          <cell r="BG74">
            <v>-13660876</v>
          </cell>
          <cell r="BH74">
            <v>-59560</v>
          </cell>
          <cell r="BI74">
            <v>0</v>
          </cell>
          <cell r="BJ74">
            <v>-70540</v>
          </cell>
          <cell r="BK74">
            <v>-3044396</v>
          </cell>
          <cell r="BL74">
            <v>-355280</v>
          </cell>
          <cell r="BM74">
            <v>-18596</v>
          </cell>
          <cell r="BN74">
            <v>0</v>
          </cell>
          <cell r="BO74">
            <v>0</v>
          </cell>
          <cell r="BP74">
            <v>0</v>
          </cell>
          <cell r="BQ74">
            <v>0</v>
          </cell>
          <cell r="BR74">
            <v>0</v>
          </cell>
          <cell r="BS74">
            <v>0</v>
          </cell>
          <cell r="BT74">
            <v>123104630</v>
          </cell>
          <cell r="BU74">
            <v>-998264</v>
          </cell>
          <cell r="BV74">
            <v>5547447</v>
          </cell>
          <cell r="BW74">
            <v>-2470555</v>
          </cell>
          <cell r="BX74">
            <v>2658308</v>
          </cell>
          <cell r="BY74">
            <v>2510428</v>
          </cell>
          <cell r="BZ74">
            <v>115479993</v>
          </cell>
          <cell r="CA74">
            <v>1329155</v>
          </cell>
          <cell r="CB74">
            <v>1302570</v>
          </cell>
          <cell r="CC74">
            <v>0</v>
          </cell>
          <cell r="CD74">
            <v>26583</v>
          </cell>
          <cell r="CE74">
            <v>1255214</v>
          </cell>
          <cell r="CF74">
            <v>1230110</v>
          </cell>
          <cell r="CG74">
            <v>0</v>
          </cell>
          <cell r="CH74">
            <v>25104</v>
          </cell>
        </row>
        <row r="75">
          <cell r="A75">
            <v>68</v>
          </cell>
          <cell r="B75" t="str">
            <v>Craven</v>
          </cell>
          <cell r="C75" t="str">
            <v>E2731</v>
          </cell>
          <cell r="D75">
            <v>118120</v>
          </cell>
          <cell r="H75">
            <v>321764</v>
          </cell>
          <cell r="I75">
            <v>0</v>
          </cell>
          <cell r="J75">
            <v>118120</v>
          </cell>
          <cell r="K75">
            <v>0</v>
          </cell>
          <cell r="L75">
            <v>0</v>
          </cell>
          <cell r="M75">
            <v>0</v>
          </cell>
          <cell r="N75">
            <v>0</v>
          </cell>
          <cell r="O75">
            <v>0</v>
          </cell>
          <cell r="P75">
            <v>0</v>
          </cell>
          <cell r="Q75">
            <v>0</v>
          </cell>
          <cell r="R75">
            <v>616987</v>
          </cell>
          <cell r="S75">
            <v>138822</v>
          </cell>
          <cell r="T75">
            <v>15425</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M75">
            <v>0</v>
          </cell>
          <cell r="AN75">
            <v>0</v>
          </cell>
          <cell r="AO75">
            <v>0</v>
          </cell>
          <cell r="AP75">
            <v>109797</v>
          </cell>
          <cell r="AQ75">
            <v>24704</v>
          </cell>
          <cell r="AR75">
            <v>2745</v>
          </cell>
          <cell r="AS75">
            <v>-69374</v>
          </cell>
          <cell r="AT75">
            <v>-55500</v>
          </cell>
          <cell r="AU75">
            <v>-12488</v>
          </cell>
          <cell r="AV75">
            <v>-1388</v>
          </cell>
          <cell r="AW75">
            <v>-138750</v>
          </cell>
          <cell r="AX75">
            <v>-872150</v>
          </cell>
          <cell r="AY75">
            <v>-697720</v>
          </cell>
          <cell r="AZ75">
            <v>-156986</v>
          </cell>
          <cell r="BA75">
            <v>-17444</v>
          </cell>
          <cell r="BB75">
            <v>-1744300</v>
          </cell>
          <cell r="BC75">
            <v>18444092</v>
          </cell>
          <cell r="BD75">
            <v>-2457018</v>
          </cell>
          <cell r="BE75">
            <v>460542</v>
          </cell>
          <cell r="BF75">
            <v>0</v>
          </cell>
          <cell r="BG75">
            <v>-1101468</v>
          </cell>
          <cell r="BH75">
            <v>-24413</v>
          </cell>
          <cell r="BI75">
            <v>-30460</v>
          </cell>
          <cell r="BJ75">
            <v>-2578</v>
          </cell>
          <cell r="BK75">
            <v>-687082</v>
          </cell>
          <cell r="BL75">
            <v>-22131</v>
          </cell>
          <cell r="BM75">
            <v>-11759</v>
          </cell>
          <cell r="BN75">
            <v>0</v>
          </cell>
          <cell r="BO75">
            <v>-24253</v>
          </cell>
          <cell r="BP75">
            <v>0</v>
          </cell>
          <cell r="BQ75">
            <v>0</v>
          </cell>
          <cell r="BR75">
            <v>0</v>
          </cell>
          <cell r="BS75">
            <v>0</v>
          </cell>
          <cell r="BT75">
            <v>18446226</v>
          </cell>
          <cell r="BU75">
            <v>-120375</v>
          </cell>
          <cell r="BV75">
            <v>374729</v>
          </cell>
          <cell r="BW75">
            <v>-157382</v>
          </cell>
          <cell r="BX75">
            <v>-1259250</v>
          </cell>
          <cell r="BY75">
            <v>-1209206</v>
          </cell>
          <cell r="BZ75">
            <v>18273284</v>
          </cell>
          <cell r="CA75">
            <v>-629627</v>
          </cell>
          <cell r="CB75">
            <v>-503699</v>
          </cell>
          <cell r="CC75">
            <v>-113332</v>
          </cell>
          <cell r="CD75">
            <v>-12592</v>
          </cell>
          <cell r="CE75">
            <v>-604603</v>
          </cell>
          <cell r="CF75">
            <v>-483682</v>
          </cell>
          <cell r="CG75">
            <v>-108829</v>
          </cell>
          <cell r="CH75">
            <v>-12092</v>
          </cell>
        </row>
        <row r="76">
          <cell r="A76">
            <v>69</v>
          </cell>
          <cell r="B76" t="str">
            <v>Crawley</v>
          </cell>
          <cell r="C76" t="str">
            <v>E3834</v>
          </cell>
          <cell r="D76">
            <v>201502</v>
          </cell>
          <cell r="H76">
            <v>-3975713</v>
          </cell>
          <cell r="I76">
            <v>0</v>
          </cell>
          <cell r="J76">
            <v>201502</v>
          </cell>
          <cell r="K76">
            <v>0</v>
          </cell>
          <cell r="L76">
            <v>4660</v>
          </cell>
          <cell r="M76">
            <v>0</v>
          </cell>
          <cell r="N76">
            <v>0</v>
          </cell>
          <cell r="O76">
            <v>0</v>
          </cell>
          <cell r="P76">
            <v>0</v>
          </cell>
          <cell r="Q76">
            <v>0</v>
          </cell>
          <cell r="R76">
            <v>302303</v>
          </cell>
          <cell r="S76">
            <v>75576</v>
          </cell>
          <cell r="T76">
            <v>0</v>
          </cell>
          <cell r="U76">
            <v>1214</v>
          </cell>
          <cell r="V76">
            <v>304</v>
          </cell>
          <cell r="W76">
            <v>0</v>
          </cell>
          <cell r="X76">
            <v>0</v>
          </cell>
          <cell r="Y76">
            <v>0</v>
          </cell>
          <cell r="Z76">
            <v>0</v>
          </cell>
          <cell r="AA76">
            <v>26</v>
          </cell>
          <cell r="AB76">
            <v>6</v>
          </cell>
          <cell r="AC76">
            <v>0</v>
          </cell>
          <cell r="AD76">
            <v>0</v>
          </cell>
          <cell r="AE76">
            <v>0</v>
          </cell>
          <cell r="AF76">
            <v>0</v>
          </cell>
          <cell r="AG76">
            <v>0</v>
          </cell>
          <cell r="AH76">
            <v>0</v>
          </cell>
          <cell r="AI76">
            <v>0</v>
          </cell>
          <cell r="AM76">
            <v>0</v>
          </cell>
          <cell r="AN76">
            <v>0</v>
          </cell>
          <cell r="AO76">
            <v>0</v>
          </cell>
          <cell r="AP76">
            <v>699687</v>
          </cell>
          <cell r="AQ76">
            <v>174904</v>
          </cell>
          <cell r="AR76">
            <v>0</v>
          </cell>
          <cell r="AS76">
            <v>-779591</v>
          </cell>
          <cell r="AT76">
            <v>-623672</v>
          </cell>
          <cell r="AU76">
            <v>-155917</v>
          </cell>
          <cell r="AV76">
            <v>0</v>
          </cell>
          <cell r="AW76">
            <v>-1559180</v>
          </cell>
          <cell r="AX76">
            <v>-2689798</v>
          </cell>
          <cell r="AY76">
            <v>-2151837</v>
          </cell>
          <cell r="AZ76">
            <v>-537959</v>
          </cell>
          <cell r="BA76">
            <v>0</v>
          </cell>
          <cell r="BB76">
            <v>-5379594</v>
          </cell>
          <cell r="BC76">
            <v>120569501</v>
          </cell>
          <cell r="BD76">
            <v>-829698</v>
          </cell>
          <cell r="BE76">
            <v>3221290</v>
          </cell>
          <cell r="BF76">
            <v>0</v>
          </cell>
          <cell r="BG76">
            <v>-2947007</v>
          </cell>
          <cell r="BH76">
            <v>-29259</v>
          </cell>
          <cell r="BI76">
            <v>0</v>
          </cell>
          <cell r="BJ76">
            <v>-15327</v>
          </cell>
          <cell r="BK76">
            <v>-3108420</v>
          </cell>
          <cell r="BL76">
            <v>-303755</v>
          </cell>
          <cell r="BM76">
            <v>-121231</v>
          </cell>
          <cell r="BN76">
            <v>-1696</v>
          </cell>
          <cell r="BO76">
            <v>0</v>
          </cell>
          <cell r="BP76">
            <v>0</v>
          </cell>
          <cell r="BQ76">
            <v>0</v>
          </cell>
          <cell r="BR76">
            <v>0</v>
          </cell>
          <cell r="BS76">
            <v>0</v>
          </cell>
          <cell r="BT76">
            <v>118646104</v>
          </cell>
          <cell r="BU76">
            <v>-359937</v>
          </cell>
          <cell r="BV76">
            <v>2912506</v>
          </cell>
          <cell r="BW76">
            <v>-3503684</v>
          </cell>
          <cell r="BX76">
            <v>-2590272</v>
          </cell>
          <cell r="BY76">
            <v>-5906904</v>
          </cell>
          <cell r="BZ76">
            <v>116436242</v>
          </cell>
          <cell r="CA76">
            <v>-1295136</v>
          </cell>
          <cell r="CB76">
            <v>-1036109</v>
          </cell>
          <cell r="CC76">
            <v>-259027</v>
          </cell>
          <cell r="CD76">
            <v>0</v>
          </cell>
          <cell r="CE76">
            <v>-2953452</v>
          </cell>
          <cell r="CF76">
            <v>-2362762</v>
          </cell>
          <cell r="CG76">
            <v>-590690</v>
          </cell>
          <cell r="CH76">
            <v>0</v>
          </cell>
        </row>
        <row r="77">
          <cell r="A77">
            <v>70</v>
          </cell>
          <cell r="B77" t="str">
            <v>Croydon</v>
          </cell>
          <cell r="C77" t="str">
            <v>E5035</v>
          </cell>
          <cell r="D77">
            <v>429856</v>
          </cell>
          <cell r="H77">
            <v>4441356</v>
          </cell>
          <cell r="I77">
            <v>0</v>
          </cell>
          <cell r="J77">
            <v>429856</v>
          </cell>
          <cell r="K77">
            <v>0</v>
          </cell>
          <cell r="L77">
            <v>0</v>
          </cell>
          <cell r="M77">
            <v>0</v>
          </cell>
          <cell r="N77">
            <v>0</v>
          </cell>
          <cell r="O77">
            <v>0</v>
          </cell>
          <cell r="P77">
            <v>0</v>
          </cell>
          <cell r="Q77">
            <v>0</v>
          </cell>
          <cell r="R77">
            <v>1010834</v>
          </cell>
          <cell r="S77">
            <v>1246694</v>
          </cell>
          <cell r="T77">
            <v>0</v>
          </cell>
          <cell r="U77">
            <v>0</v>
          </cell>
          <cell r="V77">
            <v>0</v>
          </cell>
          <cell r="W77">
            <v>0</v>
          </cell>
          <cell r="X77">
            <v>0</v>
          </cell>
          <cell r="Y77">
            <v>0</v>
          </cell>
          <cell r="Z77">
            <v>0</v>
          </cell>
          <cell r="AA77">
            <v>390</v>
          </cell>
          <cell r="AB77">
            <v>480</v>
          </cell>
          <cell r="AC77">
            <v>0</v>
          </cell>
          <cell r="AD77">
            <v>0</v>
          </cell>
          <cell r="AE77">
            <v>0</v>
          </cell>
          <cell r="AF77">
            <v>0</v>
          </cell>
          <cell r="AG77">
            <v>0</v>
          </cell>
          <cell r="AH77">
            <v>0</v>
          </cell>
          <cell r="AI77">
            <v>0</v>
          </cell>
          <cell r="AM77">
            <v>0</v>
          </cell>
          <cell r="AN77">
            <v>0</v>
          </cell>
          <cell r="AO77">
            <v>0</v>
          </cell>
          <cell r="AP77">
            <v>530342</v>
          </cell>
          <cell r="AQ77">
            <v>654089</v>
          </cell>
          <cell r="AR77">
            <v>0</v>
          </cell>
          <cell r="AS77">
            <v>-5607771</v>
          </cell>
          <cell r="AT77">
            <v>-3364664</v>
          </cell>
          <cell r="AU77">
            <v>-2243109</v>
          </cell>
          <cell r="AV77">
            <v>0</v>
          </cell>
          <cell r="AW77">
            <v>-11215544</v>
          </cell>
          <cell r="AX77">
            <v>-5750000</v>
          </cell>
          <cell r="AY77">
            <v>-3450000</v>
          </cell>
          <cell r="AZ77">
            <v>-2300000</v>
          </cell>
          <cell r="BA77">
            <v>0</v>
          </cell>
          <cell r="BB77">
            <v>-11500000</v>
          </cell>
          <cell r="BC77">
            <v>123704855</v>
          </cell>
          <cell r="BD77">
            <v>-6026615</v>
          </cell>
          <cell r="BE77">
            <v>31987</v>
          </cell>
          <cell r="BF77">
            <v>0</v>
          </cell>
          <cell r="BG77">
            <v>-9290531</v>
          </cell>
          <cell r="BH77">
            <v>-189329</v>
          </cell>
          <cell r="BI77">
            <v>0</v>
          </cell>
          <cell r="BJ77">
            <v>-737757</v>
          </cell>
          <cell r="BK77">
            <v>-9235370</v>
          </cell>
          <cell r="BL77">
            <v>-127045</v>
          </cell>
          <cell r="BM77">
            <v>-38990</v>
          </cell>
          <cell r="BN77">
            <v>0</v>
          </cell>
          <cell r="BO77">
            <v>0</v>
          </cell>
          <cell r="BP77">
            <v>0</v>
          </cell>
          <cell r="BQ77">
            <v>-52328</v>
          </cell>
          <cell r="BR77">
            <v>0</v>
          </cell>
          <cell r="BS77">
            <v>-3043</v>
          </cell>
          <cell r="BT77">
            <v>112017249</v>
          </cell>
          <cell r="BU77">
            <v>-2125258</v>
          </cell>
          <cell r="BV77">
            <v>11510642</v>
          </cell>
          <cell r="BW77">
            <v>-4452655</v>
          </cell>
          <cell r="BX77">
            <v>5018154</v>
          </cell>
          <cell r="BY77">
            <v>-7259734</v>
          </cell>
          <cell r="BZ77">
            <v>117685441</v>
          </cell>
          <cell r="CA77">
            <v>2509076</v>
          </cell>
          <cell r="CB77">
            <v>1505447</v>
          </cell>
          <cell r="CC77">
            <v>1003631</v>
          </cell>
          <cell r="CD77">
            <v>0</v>
          </cell>
          <cell r="CE77">
            <v>-3629867</v>
          </cell>
          <cell r="CF77">
            <v>-2177920</v>
          </cell>
          <cell r="CG77">
            <v>-1451947</v>
          </cell>
          <cell r="CH77">
            <v>0</v>
          </cell>
        </row>
        <row r="78">
          <cell r="A78">
            <v>71</v>
          </cell>
          <cell r="B78" t="str">
            <v>Dacorum</v>
          </cell>
          <cell r="C78" t="str">
            <v>E1932</v>
          </cell>
          <cell r="D78">
            <v>207475</v>
          </cell>
          <cell r="H78">
            <v>389953</v>
          </cell>
          <cell r="I78">
            <v>4701</v>
          </cell>
          <cell r="J78">
            <v>207475</v>
          </cell>
          <cell r="K78">
            <v>0</v>
          </cell>
          <cell r="L78">
            <v>0</v>
          </cell>
          <cell r="M78">
            <v>0</v>
          </cell>
          <cell r="N78">
            <v>0</v>
          </cell>
          <cell r="O78">
            <v>0</v>
          </cell>
          <cell r="P78">
            <v>0</v>
          </cell>
          <cell r="Q78">
            <v>0</v>
          </cell>
          <cell r="R78">
            <v>613178</v>
          </cell>
          <cell r="S78">
            <v>153295</v>
          </cell>
          <cell r="T78">
            <v>0</v>
          </cell>
          <cell r="U78">
            <v>0</v>
          </cell>
          <cell r="V78">
            <v>0</v>
          </cell>
          <cell r="W78">
            <v>0</v>
          </cell>
          <cell r="X78">
            <v>17454</v>
          </cell>
          <cell r="Y78">
            <v>4363</v>
          </cell>
          <cell r="Z78">
            <v>0</v>
          </cell>
          <cell r="AA78">
            <v>3248</v>
          </cell>
          <cell r="AB78">
            <v>812</v>
          </cell>
          <cell r="AC78">
            <v>0</v>
          </cell>
          <cell r="AD78">
            <v>0</v>
          </cell>
          <cell r="AE78">
            <v>0</v>
          </cell>
          <cell r="AF78">
            <v>0</v>
          </cell>
          <cell r="AG78">
            <v>0</v>
          </cell>
          <cell r="AH78">
            <v>0</v>
          </cell>
          <cell r="AI78">
            <v>0</v>
          </cell>
          <cell r="AM78">
            <v>0</v>
          </cell>
          <cell r="AN78">
            <v>0</v>
          </cell>
          <cell r="AO78">
            <v>0</v>
          </cell>
          <cell r="AP78">
            <v>348198</v>
          </cell>
          <cell r="AQ78">
            <v>87049</v>
          </cell>
          <cell r="AR78">
            <v>0</v>
          </cell>
          <cell r="AS78">
            <v>-363509</v>
          </cell>
          <cell r="AT78">
            <v>-290808</v>
          </cell>
          <cell r="AU78">
            <v>-72703</v>
          </cell>
          <cell r="AV78">
            <v>0</v>
          </cell>
          <cell r="AW78">
            <v>-727020</v>
          </cell>
          <cell r="AX78">
            <v>-4551158.5999999996</v>
          </cell>
          <cell r="AY78">
            <v>-3640926</v>
          </cell>
          <cell r="AZ78">
            <v>-910231</v>
          </cell>
          <cell r="BA78">
            <v>0</v>
          </cell>
          <cell r="BB78">
            <v>-9102315</v>
          </cell>
          <cell r="BC78">
            <v>62196279</v>
          </cell>
          <cell r="BD78">
            <v>-2148895</v>
          </cell>
          <cell r="BE78">
            <v>1721549</v>
          </cell>
          <cell r="BF78">
            <v>0</v>
          </cell>
          <cell r="BG78">
            <v>-4362362</v>
          </cell>
          <cell r="BH78">
            <v>-84241</v>
          </cell>
          <cell r="BI78">
            <v>-4125</v>
          </cell>
          <cell r="BJ78">
            <v>-143345</v>
          </cell>
          <cell r="BK78">
            <v>-1977526</v>
          </cell>
          <cell r="BL78">
            <v>-271091</v>
          </cell>
          <cell r="BM78">
            <v>-1851</v>
          </cell>
          <cell r="BN78">
            <v>0</v>
          </cell>
          <cell r="BO78">
            <v>-1125</v>
          </cell>
          <cell r="BP78">
            <v>-888</v>
          </cell>
          <cell r="BQ78">
            <v>0</v>
          </cell>
          <cell r="BR78">
            <v>0</v>
          </cell>
          <cell r="BS78">
            <v>0</v>
          </cell>
          <cell r="BT78">
            <v>62592295</v>
          </cell>
          <cell r="BU78">
            <v>-461891</v>
          </cell>
          <cell r="BV78">
            <v>2694014</v>
          </cell>
          <cell r="BW78">
            <v>-1562440</v>
          </cell>
          <cell r="BX78">
            <v>-1652648</v>
          </cell>
          <cell r="BY78">
            <v>-521318</v>
          </cell>
          <cell r="BZ78">
            <v>57950038</v>
          </cell>
          <cell r="CA78">
            <v>-826324</v>
          </cell>
          <cell r="CB78">
            <v>-661059</v>
          </cell>
          <cell r="CC78">
            <v>-165265</v>
          </cell>
          <cell r="CD78">
            <v>0</v>
          </cell>
          <cell r="CE78">
            <v>-260659</v>
          </cell>
          <cell r="CF78">
            <v>-208527</v>
          </cell>
          <cell r="CG78">
            <v>-52132</v>
          </cell>
          <cell r="CH78">
            <v>0</v>
          </cell>
        </row>
        <row r="79">
          <cell r="A79">
            <v>72</v>
          </cell>
          <cell r="B79" t="str">
            <v>Darlington</v>
          </cell>
          <cell r="C79" t="str">
            <v>E1301</v>
          </cell>
          <cell r="D79">
            <v>143297</v>
          </cell>
          <cell r="H79">
            <v>-3678725</v>
          </cell>
          <cell r="I79">
            <v>-12096</v>
          </cell>
          <cell r="J79">
            <v>143297</v>
          </cell>
          <cell r="K79">
            <v>221036</v>
          </cell>
          <cell r="L79">
            <v>0</v>
          </cell>
          <cell r="M79">
            <v>0</v>
          </cell>
          <cell r="N79">
            <v>16520</v>
          </cell>
          <cell r="O79">
            <v>16520</v>
          </cell>
          <cell r="P79">
            <v>0</v>
          </cell>
          <cell r="Q79">
            <v>0</v>
          </cell>
          <cell r="R79">
            <v>780129</v>
          </cell>
          <cell r="S79">
            <v>0</v>
          </cell>
          <cell r="T79">
            <v>15592</v>
          </cell>
          <cell r="U79">
            <v>3618</v>
          </cell>
          <cell r="V79">
            <v>0</v>
          </cell>
          <cell r="W79">
            <v>74</v>
          </cell>
          <cell r="X79">
            <v>53089</v>
          </cell>
          <cell r="Y79">
            <v>0</v>
          </cell>
          <cell r="Z79">
            <v>1036</v>
          </cell>
          <cell r="AA79">
            <v>12301</v>
          </cell>
          <cell r="AB79">
            <v>0</v>
          </cell>
          <cell r="AC79">
            <v>251</v>
          </cell>
          <cell r="AD79">
            <v>0</v>
          </cell>
          <cell r="AE79">
            <v>0</v>
          </cell>
          <cell r="AF79">
            <v>0</v>
          </cell>
          <cell r="AG79">
            <v>0</v>
          </cell>
          <cell r="AH79">
            <v>0</v>
          </cell>
          <cell r="AI79">
            <v>0</v>
          </cell>
          <cell r="AM79">
            <v>0</v>
          </cell>
          <cell r="AN79">
            <v>0</v>
          </cell>
          <cell r="AO79">
            <v>0</v>
          </cell>
          <cell r="AP79">
            <v>221361</v>
          </cell>
          <cell r="AQ79">
            <v>0</v>
          </cell>
          <cell r="AR79">
            <v>4445</v>
          </cell>
          <cell r="AS79">
            <v>-181220</v>
          </cell>
          <cell r="AT79">
            <v>-177595</v>
          </cell>
          <cell r="AU79">
            <v>0</v>
          </cell>
          <cell r="AV79">
            <v>-3625</v>
          </cell>
          <cell r="AW79">
            <v>-362440</v>
          </cell>
          <cell r="AX79">
            <v>-529889</v>
          </cell>
          <cell r="AY79">
            <v>-519290</v>
          </cell>
          <cell r="AZ79">
            <v>0</v>
          </cell>
          <cell r="BA79">
            <v>-10599</v>
          </cell>
          <cell r="BB79">
            <v>-1059778</v>
          </cell>
          <cell r="BC79">
            <v>33546353</v>
          </cell>
          <cell r="BD79">
            <v>-2545405</v>
          </cell>
          <cell r="BE79">
            <v>966697</v>
          </cell>
          <cell r="BF79">
            <v>0</v>
          </cell>
          <cell r="BG79">
            <v>-2612725</v>
          </cell>
          <cell r="BH79">
            <v>-53566</v>
          </cell>
          <cell r="BI79">
            <v>-335</v>
          </cell>
          <cell r="BJ79">
            <v>-9421</v>
          </cell>
          <cell r="BK79">
            <v>-1512550</v>
          </cell>
          <cell r="BL79">
            <v>-40934</v>
          </cell>
          <cell r="BM79">
            <v>0</v>
          </cell>
          <cell r="BN79">
            <v>0</v>
          </cell>
          <cell r="BO79">
            <v>0</v>
          </cell>
          <cell r="BP79">
            <v>0</v>
          </cell>
          <cell r="BQ79">
            <v>-14298</v>
          </cell>
          <cell r="BR79">
            <v>-14298</v>
          </cell>
          <cell r="BS79">
            <v>0</v>
          </cell>
          <cell r="BT79">
            <v>34831495</v>
          </cell>
          <cell r="BU79">
            <v>-373716</v>
          </cell>
          <cell r="BV79">
            <v>1448378</v>
          </cell>
          <cell r="BW79">
            <v>-467631</v>
          </cell>
          <cell r="BX79">
            <v>-2482880</v>
          </cell>
          <cell r="BY79">
            <v>-2363574</v>
          </cell>
          <cell r="BZ79">
            <v>29589332</v>
          </cell>
          <cell r="CA79">
            <v>-1241441</v>
          </cell>
          <cell r="CB79">
            <v>-1216611</v>
          </cell>
          <cell r="CC79">
            <v>0</v>
          </cell>
          <cell r="CD79">
            <v>-24828</v>
          </cell>
          <cell r="CE79">
            <v>-1181787</v>
          </cell>
          <cell r="CF79">
            <v>-1158151</v>
          </cell>
          <cell r="CG79">
            <v>0</v>
          </cell>
          <cell r="CH79">
            <v>-23636</v>
          </cell>
        </row>
        <row r="80">
          <cell r="A80">
            <v>73</v>
          </cell>
          <cell r="B80" t="str">
            <v>Dartford</v>
          </cell>
          <cell r="C80" t="str">
            <v>E2233</v>
          </cell>
          <cell r="D80">
            <v>168218</v>
          </cell>
          <cell r="H80">
            <v>-4455256</v>
          </cell>
          <cell r="I80">
            <v>0</v>
          </cell>
          <cell r="J80">
            <v>168218</v>
          </cell>
          <cell r="K80">
            <v>0</v>
          </cell>
          <cell r="L80">
            <v>0</v>
          </cell>
          <cell r="M80">
            <v>0</v>
          </cell>
          <cell r="N80">
            <v>0</v>
          </cell>
          <cell r="O80">
            <v>0</v>
          </cell>
          <cell r="P80">
            <v>0</v>
          </cell>
          <cell r="Q80">
            <v>0</v>
          </cell>
          <cell r="R80">
            <v>529308</v>
          </cell>
          <cell r="S80">
            <v>119094</v>
          </cell>
          <cell r="T80">
            <v>13233</v>
          </cell>
          <cell r="U80">
            <v>4295</v>
          </cell>
          <cell r="V80">
            <v>966</v>
          </cell>
          <cell r="W80">
            <v>107</v>
          </cell>
          <cell r="X80">
            <v>0</v>
          </cell>
          <cell r="Y80">
            <v>0</v>
          </cell>
          <cell r="Z80">
            <v>0</v>
          </cell>
          <cell r="AA80">
            <v>0</v>
          </cell>
          <cell r="AB80">
            <v>0</v>
          </cell>
          <cell r="AC80">
            <v>0</v>
          </cell>
          <cell r="AD80">
            <v>0</v>
          </cell>
          <cell r="AE80">
            <v>0</v>
          </cell>
          <cell r="AF80">
            <v>0</v>
          </cell>
          <cell r="AG80">
            <v>0</v>
          </cell>
          <cell r="AH80">
            <v>0</v>
          </cell>
          <cell r="AI80">
            <v>0</v>
          </cell>
          <cell r="AM80">
            <v>0</v>
          </cell>
          <cell r="AN80">
            <v>0</v>
          </cell>
          <cell r="AO80">
            <v>0</v>
          </cell>
          <cell r="AP80">
            <v>475913</v>
          </cell>
          <cell r="AQ80">
            <v>107081</v>
          </cell>
          <cell r="AR80">
            <v>11898</v>
          </cell>
          <cell r="AS80">
            <v>-671885</v>
          </cell>
          <cell r="AT80">
            <v>-537512</v>
          </cell>
          <cell r="AU80">
            <v>-120941</v>
          </cell>
          <cell r="AV80">
            <v>-13439</v>
          </cell>
          <cell r="AW80">
            <v>-1343777</v>
          </cell>
          <cell r="AX80">
            <v>-6186874</v>
          </cell>
          <cell r="AY80">
            <v>-4949498</v>
          </cell>
          <cell r="AZ80">
            <v>-1113637</v>
          </cell>
          <cell r="BA80">
            <v>-123737</v>
          </cell>
          <cell r="BB80">
            <v>-12373746</v>
          </cell>
          <cell r="BC80">
            <v>88351909</v>
          </cell>
          <cell r="BD80">
            <v>-1509070</v>
          </cell>
          <cell r="BE80">
            <v>2403648</v>
          </cell>
          <cell r="BF80">
            <v>0</v>
          </cell>
          <cell r="BG80">
            <v>-2796576</v>
          </cell>
          <cell r="BH80">
            <v>-52257</v>
          </cell>
          <cell r="BI80">
            <v>0</v>
          </cell>
          <cell r="BJ80">
            <v>-95630</v>
          </cell>
          <cell r="BK80">
            <v>-2074603</v>
          </cell>
          <cell r="BL80">
            <v>-39964</v>
          </cell>
          <cell r="BM80">
            <v>-134053</v>
          </cell>
          <cell r="BN80">
            <v>-8051</v>
          </cell>
          <cell r="BO80">
            <v>0</v>
          </cell>
          <cell r="BP80">
            <v>-2319</v>
          </cell>
          <cell r="BQ80">
            <v>-2500</v>
          </cell>
          <cell r="BR80">
            <v>0</v>
          </cell>
          <cell r="BS80">
            <v>0</v>
          </cell>
          <cell r="BT80">
            <v>89101483</v>
          </cell>
          <cell r="BU80">
            <v>-235745</v>
          </cell>
          <cell r="BV80">
            <v>1200798</v>
          </cell>
          <cell r="BW80">
            <v>-3262725</v>
          </cell>
          <cell r="BX80">
            <v>1940286</v>
          </cell>
          <cell r="BY80">
            <v>1178002</v>
          </cell>
          <cell r="BZ80">
            <v>79205588</v>
          </cell>
          <cell r="CA80">
            <v>970142</v>
          </cell>
          <cell r="CB80">
            <v>776115</v>
          </cell>
          <cell r="CC80">
            <v>174626</v>
          </cell>
          <cell r="CD80">
            <v>19403</v>
          </cell>
          <cell r="CE80">
            <v>589001</v>
          </cell>
          <cell r="CF80">
            <v>471201</v>
          </cell>
          <cell r="CG80">
            <v>106020</v>
          </cell>
          <cell r="CH80">
            <v>11780</v>
          </cell>
        </row>
        <row r="81">
          <cell r="A81">
            <v>74</v>
          </cell>
          <cell r="B81" t="str">
            <v>Daventry</v>
          </cell>
          <cell r="C81" t="str">
            <v>E2832</v>
          </cell>
          <cell r="D81">
            <v>119376</v>
          </cell>
          <cell r="H81">
            <v>-766314</v>
          </cell>
          <cell r="I81">
            <v>0</v>
          </cell>
          <cell r="J81">
            <v>119376</v>
          </cell>
          <cell r="K81">
            <v>0</v>
          </cell>
          <cell r="L81">
            <v>799514</v>
          </cell>
          <cell r="M81">
            <v>0.13999999989755452</v>
          </cell>
          <cell r="N81">
            <v>0</v>
          </cell>
          <cell r="O81">
            <v>0</v>
          </cell>
          <cell r="P81">
            <v>0</v>
          </cell>
          <cell r="Q81">
            <v>0</v>
          </cell>
          <cell r="R81">
            <v>465155</v>
          </cell>
          <cell r="S81">
            <v>116289</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M81">
            <v>0</v>
          </cell>
          <cell r="AN81">
            <v>0</v>
          </cell>
          <cell r="AO81">
            <v>0</v>
          </cell>
          <cell r="AP81">
            <v>278083</v>
          </cell>
          <cell r="AQ81">
            <v>66518</v>
          </cell>
          <cell r="AR81">
            <v>0</v>
          </cell>
          <cell r="AS81">
            <v>-104597</v>
          </cell>
          <cell r="AT81">
            <v>-83678</v>
          </cell>
          <cell r="AU81">
            <v>-20921</v>
          </cell>
          <cell r="AV81">
            <v>0</v>
          </cell>
          <cell r="AW81">
            <v>-209196</v>
          </cell>
          <cell r="AX81">
            <v>-1201507</v>
          </cell>
          <cell r="AY81">
            <v>-961204</v>
          </cell>
          <cell r="AZ81">
            <v>-240300</v>
          </cell>
          <cell r="BA81">
            <v>0</v>
          </cell>
          <cell r="BB81">
            <v>-2403011</v>
          </cell>
          <cell r="BC81">
            <v>46229102</v>
          </cell>
          <cell r="BD81">
            <v>-1789296</v>
          </cell>
          <cell r="BE81">
            <v>1198941</v>
          </cell>
          <cell r="BF81">
            <v>0</v>
          </cell>
          <cell r="BG81">
            <v>-1769794</v>
          </cell>
          <cell r="BH81">
            <v>-36788</v>
          </cell>
          <cell r="BI81">
            <v>-40093</v>
          </cell>
          <cell r="BJ81">
            <v>-264034</v>
          </cell>
          <cell r="BK81">
            <v>-1230100</v>
          </cell>
          <cell r="BL81">
            <v>-40185</v>
          </cell>
          <cell r="BM81">
            <v>-12709</v>
          </cell>
          <cell r="BN81">
            <v>-393</v>
          </cell>
          <cell r="BO81">
            <v>-7748</v>
          </cell>
          <cell r="BP81">
            <v>0</v>
          </cell>
          <cell r="BQ81">
            <v>0</v>
          </cell>
          <cell r="BR81">
            <v>0</v>
          </cell>
          <cell r="BS81">
            <v>0</v>
          </cell>
          <cell r="BT81">
            <v>45449158</v>
          </cell>
          <cell r="BU81">
            <v>-105924</v>
          </cell>
          <cell r="BV81">
            <v>366398</v>
          </cell>
          <cell r="BW81">
            <v>-350415</v>
          </cell>
          <cell r="BX81">
            <v>2718600</v>
          </cell>
          <cell r="BY81">
            <v>2502573</v>
          </cell>
          <cell r="BZ81">
            <v>44282179</v>
          </cell>
          <cell r="CA81">
            <v>1359300</v>
          </cell>
          <cell r="CB81">
            <v>1087440</v>
          </cell>
          <cell r="CC81">
            <v>271860</v>
          </cell>
          <cell r="CD81">
            <v>0</v>
          </cell>
          <cell r="CE81">
            <v>1251287</v>
          </cell>
          <cell r="CF81">
            <v>1001029</v>
          </cell>
          <cell r="CG81">
            <v>250257</v>
          </cell>
          <cell r="CH81">
            <v>0</v>
          </cell>
        </row>
        <row r="82">
          <cell r="A82">
            <v>75</v>
          </cell>
          <cell r="B82" t="str">
            <v>Derby</v>
          </cell>
          <cell r="C82" t="str">
            <v>E1001</v>
          </cell>
          <cell r="D82">
            <v>314953</v>
          </cell>
          <cell r="H82">
            <v>1496192</v>
          </cell>
          <cell r="I82">
            <v>0</v>
          </cell>
          <cell r="J82">
            <v>314953</v>
          </cell>
          <cell r="K82">
            <v>137025</v>
          </cell>
          <cell r="L82">
            <v>740000</v>
          </cell>
          <cell r="M82">
            <v>0</v>
          </cell>
          <cell r="N82">
            <v>0</v>
          </cell>
          <cell r="O82">
            <v>0</v>
          </cell>
          <cell r="P82">
            <v>0</v>
          </cell>
          <cell r="Q82">
            <v>0</v>
          </cell>
          <cell r="R82">
            <v>1329085</v>
          </cell>
          <cell r="S82">
            <v>0</v>
          </cell>
          <cell r="T82">
            <v>27124</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M82">
            <v>0</v>
          </cell>
          <cell r="AN82">
            <v>0</v>
          </cell>
          <cell r="AO82">
            <v>0</v>
          </cell>
          <cell r="AP82">
            <v>671889</v>
          </cell>
          <cell r="AQ82">
            <v>0</v>
          </cell>
          <cell r="AR82">
            <v>13443</v>
          </cell>
          <cell r="AS82">
            <v>-2181475</v>
          </cell>
          <cell r="AT82">
            <v>-2137845</v>
          </cell>
          <cell r="AU82">
            <v>0</v>
          </cell>
          <cell r="AV82">
            <v>-43630</v>
          </cell>
          <cell r="AW82">
            <v>-4362950</v>
          </cell>
          <cell r="AX82">
            <v>-4036602</v>
          </cell>
          <cell r="AY82">
            <v>-3955868</v>
          </cell>
          <cell r="AZ82">
            <v>0</v>
          </cell>
          <cell r="BA82">
            <v>-80733</v>
          </cell>
          <cell r="BB82">
            <v>-8073203</v>
          </cell>
          <cell r="BC82">
            <v>87358749</v>
          </cell>
          <cell r="BD82">
            <v>-4395297</v>
          </cell>
          <cell r="BE82">
            <v>2461047</v>
          </cell>
          <cell r="BF82">
            <v>0</v>
          </cell>
          <cell r="BG82">
            <v>-5802038</v>
          </cell>
          <cell r="BH82">
            <v>-37096</v>
          </cell>
          <cell r="BI82">
            <v>0</v>
          </cell>
          <cell r="BJ82">
            <v>-303138</v>
          </cell>
          <cell r="BK82">
            <v>-2841120</v>
          </cell>
          <cell r="BL82">
            <v>-65364</v>
          </cell>
          <cell r="BM82">
            <v>-166370</v>
          </cell>
          <cell r="BN82">
            <v>-8697</v>
          </cell>
          <cell r="BO82">
            <v>0</v>
          </cell>
          <cell r="BP82">
            <v>0</v>
          </cell>
          <cell r="BQ82">
            <v>-22066</v>
          </cell>
          <cell r="BR82">
            <v>-22066</v>
          </cell>
          <cell r="BS82">
            <v>0</v>
          </cell>
          <cell r="BT82">
            <v>89826047</v>
          </cell>
          <cell r="BU82">
            <v>-570081</v>
          </cell>
          <cell r="BV82">
            <v>7095088</v>
          </cell>
          <cell r="BW82">
            <v>-479770</v>
          </cell>
          <cell r="BX82">
            <v>-5373791</v>
          </cell>
          <cell r="BY82">
            <v>-1208083</v>
          </cell>
          <cell r="BZ82">
            <v>89493062</v>
          </cell>
          <cell r="CA82">
            <v>-2686895</v>
          </cell>
          <cell r="CB82">
            <v>-2633157</v>
          </cell>
          <cell r="CC82">
            <v>0</v>
          </cell>
          <cell r="CD82">
            <v>-53739</v>
          </cell>
          <cell r="CE82">
            <v>-604041</v>
          </cell>
          <cell r="CF82">
            <v>-591961</v>
          </cell>
          <cell r="CG82">
            <v>0</v>
          </cell>
          <cell r="CH82">
            <v>-12081</v>
          </cell>
        </row>
        <row r="83">
          <cell r="A83">
            <v>76</v>
          </cell>
          <cell r="B83" t="str">
            <v>Derbyshire Dales</v>
          </cell>
          <cell r="C83" t="str">
            <v>E1035</v>
          </cell>
          <cell r="D83">
            <v>147507</v>
          </cell>
          <cell r="H83">
            <v>2122714</v>
          </cell>
          <cell r="I83">
            <v>0</v>
          </cell>
          <cell r="J83">
            <v>147507</v>
          </cell>
          <cell r="K83">
            <v>0</v>
          </cell>
          <cell r="L83">
            <v>166647</v>
          </cell>
          <cell r="M83">
            <v>0</v>
          </cell>
          <cell r="N83">
            <v>0</v>
          </cell>
          <cell r="O83">
            <v>0</v>
          </cell>
          <cell r="P83">
            <v>0</v>
          </cell>
          <cell r="Q83">
            <v>0</v>
          </cell>
          <cell r="R83">
            <v>698650</v>
          </cell>
          <cell r="S83">
            <v>157196</v>
          </cell>
          <cell r="T83">
            <v>17466</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M83">
            <v>0</v>
          </cell>
          <cell r="AN83">
            <v>0</v>
          </cell>
          <cell r="AO83">
            <v>0</v>
          </cell>
          <cell r="AP83">
            <v>119748</v>
          </cell>
          <cell r="AQ83">
            <v>26380</v>
          </cell>
          <cell r="AR83">
            <v>2931</v>
          </cell>
          <cell r="AS83">
            <v>-82500</v>
          </cell>
          <cell r="AT83">
            <v>-66000</v>
          </cell>
          <cell r="AU83">
            <v>-14850</v>
          </cell>
          <cell r="AV83">
            <v>-1650</v>
          </cell>
          <cell r="AW83">
            <v>-165000</v>
          </cell>
          <cell r="AX83">
            <v>-318000</v>
          </cell>
          <cell r="AY83">
            <v>-254400</v>
          </cell>
          <cell r="AZ83">
            <v>-57239</v>
          </cell>
          <cell r="BA83">
            <v>-6361</v>
          </cell>
          <cell r="BB83">
            <v>-636000</v>
          </cell>
          <cell r="BC83">
            <v>16387341</v>
          </cell>
          <cell r="BD83">
            <v>-2875862</v>
          </cell>
          <cell r="BE83">
            <v>409716</v>
          </cell>
          <cell r="BF83">
            <v>0</v>
          </cell>
          <cell r="BG83">
            <v>-1067524</v>
          </cell>
          <cell r="BH83">
            <v>-20476</v>
          </cell>
          <cell r="BI83">
            <v>-61968</v>
          </cell>
          <cell r="BJ83">
            <v>-1157</v>
          </cell>
          <cell r="BK83">
            <v>-357563</v>
          </cell>
          <cell r="BL83">
            <v>-116607</v>
          </cell>
          <cell r="BM83">
            <v>-125572</v>
          </cell>
          <cell r="BN83">
            <v>-3578</v>
          </cell>
          <cell r="BO83">
            <v>-61968</v>
          </cell>
          <cell r="BP83">
            <v>-9414</v>
          </cell>
          <cell r="BQ83">
            <v>0</v>
          </cell>
          <cell r="BR83">
            <v>0</v>
          </cell>
          <cell r="BS83">
            <v>0</v>
          </cell>
          <cell r="BT83">
            <v>17103372</v>
          </cell>
          <cell r="BU83">
            <v>-525492</v>
          </cell>
          <cell r="BV83">
            <v>790685</v>
          </cell>
          <cell r="BW83">
            <v>-276247</v>
          </cell>
          <cell r="BX83">
            <v>-1503270</v>
          </cell>
          <cell r="BY83">
            <v>-156743</v>
          </cell>
          <cell r="BZ83">
            <v>19512848</v>
          </cell>
          <cell r="CA83">
            <v>-751633</v>
          </cell>
          <cell r="CB83">
            <v>-601309</v>
          </cell>
          <cell r="CC83">
            <v>-135295</v>
          </cell>
          <cell r="CD83">
            <v>-15033</v>
          </cell>
          <cell r="CE83">
            <v>-78372</v>
          </cell>
          <cell r="CF83">
            <v>-62697</v>
          </cell>
          <cell r="CG83">
            <v>-14107</v>
          </cell>
          <cell r="CH83">
            <v>-1567</v>
          </cell>
        </row>
        <row r="84">
          <cell r="A84">
            <v>77</v>
          </cell>
          <cell r="B84" t="str">
            <v>Doncaster</v>
          </cell>
          <cell r="C84" t="str">
            <v>E4402</v>
          </cell>
          <cell r="D84">
            <v>371344</v>
          </cell>
          <cell r="H84">
            <v>-4276330</v>
          </cell>
          <cell r="I84">
            <v>0</v>
          </cell>
          <cell r="J84">
            <v>371344</v>
          </cell>
          <cell r="K84">
            <v>0</v>
          </cell>
          <cell r="L84">
            <v>171341</v>
          </cell>
          <cell r="M84">
            <v>0</v>
          </cell>
          <cell r="N84">
            <v>0</v>
          </cell>
          <cell r="O84">
            <v>0</v>
          </cell>
          <cell r="P84">
            <v>0</v>
          </cell>
          <cell r="Q84">
            <v>0</v>
          </cell>
          <cell r="R84">
            <v>1863538</v>
          </cell>
          <cell r="S84">
            <v>0</v>
          </cell>
          <cell r="T84">
            <v>38031</v>
          </cell>
          <cell r="U84">
            <v>25806</v>
          </cell>
          <cell r="V84">
            <v>0</v>
          </cell>
          <cell r="W84">
            <v>527</v>
          </cell>
          <cell r="X84">
            <v>70887</v>
          </cell>
          <cell r="Y84">
            <v>0</v>
          </cell>
          <cell r="Z84">
            <v>1447</v>
          </cell>
          <cell r="AA84">
            <v>0</v>
          </cell>
          <cell r="AB84">
            <v>0</v>
          </cell>
          <cell r="AC84">
            <v>0</v>
          </cell>
          <cell r="AD84">
            <v>0</v>
          </cell>
          <cell r="AE84">
            <v>0</v>
          </cell>
          <cell r="AF84">
            <v>0</v>
          </cell>
          <cell r="AG84">
            <v>0</v>
          </cell>
          <cell r="AH84">
            <v>0</v>
          </cell>
          <cell r="AI84">
            <v>0</v>
          </cell>
          <cell r="AM84">
            <v>0</v>
          </cell>
          <cell r="AN84">
            <v>0</v>
          </cell>
          <cell r="AO84">
            <v>0</v>
          </cell>
          <cell r="AP84">
            <v>669210</v>
          </cell>
          <cell r="AQ84">
            <v>0</v>
          </cell>
          <cell r="AR84">
            <v>13605</v>
          </cell>
          <cell r="AS84">
            <v>-1687563</v>
          </cell>
          <cell r="AT84">
            <v>-1653811</v>
          </cell>
          <cell r="AU84">
            <v>0</v>
          </cell>
          <cell r="AV84">
            <v>-33751</v>
          </cell>
          <cell r="AW84">
            <v>-3375125</v>
          </cell>
          <cell r="AX84">
            <v>-3396396</v>
          </cell>
          <cell r="AY84">
            <v>-3328472</v>
          </cell>
          <cell r="AZ84">
            <v>0</v>
          </cell>
          <cell r="BA84">
            <v>-67929</v>
          </cell>
          <cell r="BB84">
            <v>-6792797</v>
          </cell>
          <cell r="BC84">
            <v>94741667</v>
          </cell>
          <cell r="BD84">
            <v>-6421985</v>
          </cell>
          <cell r="BE84">
            <v>2602422</v>
          </cell>
          <cell r="BF84">
            <v>0</v>
          </cell>
          <cell r="BG84">
            <v>-6129111</v>
          </cell>
          <cell r="BH84">
            <v>-50730</v>
          </cell>
          <cell r="BI84">
            <v>-9282</v>
          </cell>
          <cell r="BJ84">
            <v>-73720</v>
          </cell>
          <cell r="BK84">
            <v>-3340997</v>
          </cell>
          <cell r="BL84">
            <v>-337347</v>
          </cell>
          <cell r="BM84">
            <v>-179346</v>
          </cell>
          <cell r="BN84">
            <v>0</v>
          </cell>
          <cell r="BO84">
            <v>-1273</v>
          </cell>
          <cell r="BP84">
            <v>0</v>
          </cell>
          <cell r="BQ84">
            <v>0</v>
          </cell>
          <cell r="BR84">
            <v>0</v>
          </cell>
          <cell r="BS84">
            <v>0</v>
          </cell>
          <cell r="BT84">
            <v>95035771</v>
          </cell>
          <cell r="BU84">
            <v>-2412554</v>
          </cell>
          <cell r="BV84">
            <v>7031614</v>
          </cell>
          <cell r="BW84">
            <v>-1680589</v>
          </cell>
          <cell r="BX84">
            <v>-2340394</v>
          </cell>
          <cell r="BY84">
            <v>-995680</v>
          </cell>
          <cell r="BZ84">
            <v>90569233</v>
          </cell>
          <cell r="CA84">
            <v>-1170198</v>
          </cell>
          <cell r="CB84">
            <v>-1146793</v>
          </cell>
          <cell r="CC84">
            <v>0</v>
          </cell>
          <cell r="CD84">
            <v>-23403</v>
          </cell>
          <cell r="CE84">
            <v>-497840</v>
          </cell>
          <cell r="CF84">
            <v>-487883</v>
          </cell>
          <cell r="CG84">
            <v>0</v>
          </cell>
          <cell r="CH84">
            <v>-9957</v>
          </cell>
        </row>
        <row r="85">
          <cell r="A85">
            <v>78</v>
          </cell>
          <cell r="B85" t="str">
            <v>Dover</v>
          </cell>
          <cell r="C85" t="str">
            <v>E2234</v>
          </cell>
          <cell r="D85">
            <v>164215</v>
          </cell>
          <cell r="H85">
            <v>4615286</v>
          </cell>
          <cell r="I85">
            <v>0</v>
          </cell>
          <cell r="J85">
            <v>164215</v>
          </cell>
          <cell r="K85">
            <v>0</v>
          </cell>
          <cell r="L85">
            <v>39656</v>
          </cell>
          <cell r="M85">
            <v>0</v>
          </cell>
          <cell r="N85">
            <v>1327000</v>
          </cell>
          <cell r="O85">
            <v>1061600</v>
          </cell>
          <cell r="P85">
            <v>238860</v>
          </cell>
          <cell r="Q85">
            <v>26540</v>
          </cell>
          <cell r="R85">
            <v>859688</v>
          </cell>
          <cell r="S85">
            <v>193430</v>
          </cell>
          <cell r="T85">
            <v>21492</v>
          </cell>
          <cell r="U85">
            <v>739</v>
          </cell>
          <cell r="V85">
            <v>166</v>
          </cell>
          <cell r="W85">
            <v>18</v>
          </cell>
          <cell r="X85">
            <v>0</v>
          </cell>
          <cell r="Y85">
            <v>0</v>
          </cell>
          <cell r="Z85">
            <v>0</v>
          </cell>
          <cell r="AA85">
            <v>271</v>
          </cell>
          <cell r="AB85">
            <v>61</v>
          </cell>
          <cell r="AC85">
            <v>7</v>
          </cell>
          <cell r="AD85">
            <v>0</v>
          </cell>
          <cell r="AE85">
            <v>0</v>
          </cell>
          <cell r="AF85">
            <v>0</v>
          </cell>
          <cell r="AG85">
            <v>0</v>
          </cell>
          <cell r="AH85">
            <v>0</v>
          </cell>
          <cell r="AI85">
            <v>0</v>
          </cell>
          <cell r="AM85">
            <v>0</v>
          </cell>
          <cell r="AN85">
            <v>0</v>
          </cell>
          <cell r="AO85">
            <v>0</v>
          </cell>
          <cell r="AP85">
            <v>246503</v>
          </cell>
          <cell r="AQ85">
            <v>55329</v>
          </cell>
          <cell r="AR85">
            <v>6148</v>
          </cell>
          <cell r="AS85">
            <v>-880768</v>
          </cell>
          <cell r="AT85">
            <v>-704617</v>
          </cell>
          <cell r="AU85">
            <v>-158539</v>
          </cell>
          <cell r="AV85">
            <v>-17616</v>
          </cell>
          <cell r="AW85">
            <v>-1761540</v>
          </cell>
          <cell r="AX85">
            <v>-1203000</v>
          </cell>
          <cell r="AY85">
            <v>-962400</v>
          </cell>
          <cell r="AZ85">
            <v>-216540</v>
          </cell>
          <cell r="BA85">
            <v>-24060</v>
          </cell>
          <cell r="BB85">
            <v>-2406000</v>
          </cell>
          <cell r="BC85">
            <v>35013793</v>
          </cell>
          <cell r="BD85">
            <v>-2660732</v>
          </cell>
          <cell r="BE85">
            <v>971236</v>
          </cell>
          <cell r="BF85">
            <v>0</v>
          </cell>
          <cell r="BG85">
            <v>-2407067</v>
          </cell>
          <cell r="BH85">
            <v>-36718</v>
          </cell>
          <cell r="BI85">
            <v>-27028</v>
          </cell>
          <cell r="BJ85">
            <v>0</v>
          </cell>
          <cell r="BK85">
            <v>-1038459</v>
          </cell>
          <cell r="BL85">
            <v>-146065</v>
          </cell>
          <cell r="BM85">
            <v>-24352</v>
          </cell>
          <cell r="BN85">
            <v>0</v>
          </cell>
          <cell r="BO85">
            <v>0</v>
          </cell>
          <cell r="BP85">
            <v>0</v>
          </cell>
          <cell r="BQ85">
            <v>-2708889</v>
          </cell>
          <cell r="BR85">
            <v>0</v>
          </cell>
          <cell r="BS85">
            <v>-2750260</v>
          </cell>
          <cell r="BT85">
            <v>34842167</v>
          </cell>
          <cell r="BU85">
            <v>-228710</v>
          </cell>
          <cell r="BV85">
            <v>2218812</v>
          </cell>
          <cell r="BW85">
            <v>-659002</v>
          </cell>
          <cell r="BX85">
            <v>-1298484</v>
          </cell>
          <cell r="BY85">
            <v>-1820018</v>
          </cell>
          <cell r="BZ85">
            <v>38272000</v>
          </cell>
          <cell r="CA85">
            <v>-649241</v>
          </cell>
          <cell r="CB85">
            <v>-519394</v>
          </cell>
          <cell r="CC85">
            <v>-116864</v>
          </cell>
          <cell r="CD85">
            <v>-12985</v>
          </cell>
          <cell r="CE85">
            <v>-910009</v>
          </cell>
          <cell r="CF85">
            <v>-728007</v>
          </cell>
          <cell r="CG85">
            <v>-163802</v>
          </cell>
          <cell r="CH85">
            <v>-18200</v>
          </cell>
        </row>
        <row r="86">
          <cell r="A86">
            <v>79</v>
          </cell>
          <cell r="B86" t="str">
            <v>Dudley</v>
          </cell>
          <cell r="C86" t="str">
            <v>E4603</v>
          </cell>
          <cell r="D86">
            <v>417732</v>
          </cell>
          <cell r="H86">
            <v>-4574788</v>
          </cell>
          <cell r="I86">
            <v>-2338</v>
          </cell>
          <cell r="J86">
            <v>417732</v>
          </cell>
          <cell r="K86">
            <v>0</v>
          </cell>
          <cell r="L86">
            <v>0</v>
          </cell>
          <cell r="M86">
            <v>0</v>
          </cell>
          <cell r="N86">
            <v>0</v>
          </cell>
          <cell r="O86">
            <v>0</v>
          </cell>
          <cell r="P86">
            <v>0</v>
          </cell>
          <cell r="Q86">
            <v>0</v>
          </cell>
          <cell r="R86">
            <v>4626557</v>
          </cell>
          <cell r="S86">
            <v>0</v>
          </cell>
          <cell r="T86">
            <v>46710</v>
          </cell>
          <cell r="U86">
            <v>7934</v>
          </cell>
          <cell r="V86">
            <v>0</v>
          </cell>
          <cell r="W86">
            <v>80</v>
          </cell>
          <cell r="X86">
            <v>0</v>
          </cell>
          <cell r="Y86">
            <v>0</v>
          </cell>
          <cell r="Z86">
            <v>0</v>
          </cell>
          <cell r="AA86">
            <v>18287</v>
          </cell>
          <cell r="AB86">
            <v>0</v>
          </cell>
          <cell r="AC86">
            <v>185</v>
          </cell>
          <cell r="AD86">
            <v>0</v>
          </cell>
          <cell r="AE86">
            <v>0</v>
          </cell>
          <cell r="AF86">
            <v>0</v>
          </cell>
          <cell r="AG86">
            <v>0</v>
          </cell>
          <cell r="AH86">
            <v>0</v>
          </cell>
          <cell r="AI86">
            <v>0</v>
          </cell>
          <cell r="AM86">
            <v>0</v>
          </cell>
          <cell r="AN86">
            <v>0</v>
          </cell>
          <cell r="AO86">
            <v>0</v>
          </cell>
          <cell r="AP86">
            <v>1255799</v>
          </cell>
          <cell r="AQ86">
            <v>0</v>
          </cell>
          <cell r="AR86">
            <v>12685</v>
          </cell>
          <cell r="AS86">
            <v>-2405000</v>
          </cell>
          <cell r="AT86">
            <v>-2356900</v>
          </cell>
          <cell r="AU86">
            <v>0</v>
          </cell>
          <cell r="AV86">
            <v>-48100</v>
          </cell>
          <cell r="AW86">
            <v>-4810000</v>
          </cell>
          <cell r="AX86">
            <v>-7250000</v>
          </cell>
          <cell r="AY86">
            <v>-7105000</v>
          </cell>
          <cell r="AZ86">
            <v>0</v>
          </cell>
          <cell r="BA86">
            <v>-145000</v>
          </cell>
          <cell r="BB86">
            <v>-14500000</v>
          </cell>
          <cell r="BC86">
            <v>90278607</v>
          </cell>
          <cell r="BD86">
            <v>-7445205</v>
          </cell>
          <cell r="BE86">
            <v>2623952</v>
          </cell>
          <cell r="BF86">
            <v>0</v>
          </cell>
          <cell r="BG86">
            <v>-5157660</v>
          </cell>
          <cell r="BH86">
            <v>-36162</v>
          </cell>
          <cell r="BI86">
            <v>0</v>
          </cell>
          <cell r="BJ86">
            <v>-25222</v>
          </cell>
          <cell r="BK86">
            <v>-4838327</v>
          </cell>
          <cell r="BL86">
            <v>-501390</v>
          </cell>
          <cell r="BM86">
            <v>-96855</v>
          </cell>
          <cell r="BN86">
            <v>-9040</v>
          </cell>
          <cell r="BO86">
            <v>0</v>
          </cell>
          <cell r="BP86">
            <v>0</v>
          </cell>
          <cell r="BQ86">
            <v>-30729</v>
          </cell>
          <cell r="BR86">
            <v>0</v>
          </cell>
          <cell r="BS86">
            <v>0</v>
          </cell>
          <cell r="BT86">
            <v>98603426</v>
          </cell>
          <cell r="BU86">
            <v>-1573196</v>
          </cell>
          <cell r="BV86">
            <v>7805788</v>
          </cell>
          <cell r="BW86">
            <v>-645370</v>
          </cell>
          <cell r="BX86">
            <v>-1195770</v>
          </cell>
          <cell r="BY86">
            <v>-1373428</v>
          </cell>
          <cell r="BZ86">
            <v>84444787</v>
          </cell>
          <cell r="CA86">
            <v>-597884</v>
          </cell>
          <cell r="CB86">
            <v>-585928</v>
          </cell>
          <cell r="CC86">
            <v>0</v>
          </cell>
          <cell r="CD86">
            <v>-11958</v>
          </cell>
          <cell r="CE86">
            <v>-686714</v>
          </cell>
          <cell r="CF86">
            <v>-672980</v>
          </cell>
          <cell r="CG86">
            <v>0</v>
          </cell>
          <cell r="CH86">
            <v>-13734</v>
          </cell>
        </row>
        <row r="87">
          <cell r="A87">
            <v>80</v>
          </cell>
          <cell r="B87" t="str">
            <v>Durham UA</v>
          </cell>
          <cell r="C87" t="str">
            <v>E1302</v>
          </cell>
          <cell r="D87">
            <v>589560</v>
          </cell>
          <cell r="H87">
            <v>-4826243</v>
          </cell>
          <cell r="I87">
            <v>0</v>
          </cell>
          <cell r="J87">
            <v>589560</v>
          </cell>
          <cell r="K87">
            <v>0</v>
          </cell>
          <cell r="L87">
            <v>86069</v>
          </cell>
          <cell r="M87">
            <v>0</v>
          </cell>
          <cell r="N87">
            <v>0</v>
          </cell>
          <cell r="O87">
            <v>0</v>
          </cell>
          <cell r="P87">
            <v>0</v>
          </cell>
          <cell r="Q87">
            <v>0</v>
          </cell>
          <cell r="R87">
            <v>3299520</v>
          </cell>
          <cell r="S87">
            <v>0</v>
          </cell>
          <cell r="T87">
            <v>67337</v>
          </cell>
          <cell r="U87">
            <v>6724</v>
          </cell>
          <cell r="V87">
            <v>0</v>
          </cell>
          <cell r="W87">
            <v>137</v>
          </cell>
          <cell r="X87">
            <v>5504</v>
          </cell>
          <cell r="Y87">
            <v>0</v>
          </cell>
          <cell r="Z87">
            <v>112</v>
          </cell>
          <cell r="AA87">
            <v>12883</v>
          </cell>
          <cell r="AB87">
            <v>0</v>
          </cell>
          <cell r="AC87">
            <v>263</v>
          </cell>
          <cell r="AD87">
            <v>0</v>
          </cell>
          <cell r="AE87">
            <v>0</v>
          </cell>
          <cell r="AF87">
            <v>0</v>
          </cell>
          <cell r="AG87">
            <v>0</v>
          </cell>
          <cell r="AH87">
            <v>0</v>
          </cell>
          <cell r="AI87">
            <v>0</v>
          </cell>
          <cell r="AM87">
            <v>0</v>
          </cell>
          <cell r="AN87">
            <v>0</v>
          </cell>
          <cell r="AO87">
            <v>0</v>
          </cell>
          <cell r="AP87">
            <v>732133</v>
          </cell>
          <cell r="AQ87">
            <v>0</v>
          </cell>
          <cell r="AR87">
            <v>14915</v>
          </cell>
          <cell r="AS87">
            <v>-2079461</v>
          </cell>
          <cell r="AT87">
            <v>-2037873</v>
          </cell>
          <cell r="AU87">
            <v>0</v>
          </cell>
          <cell r="AV87">
            <v>-41589</v>
          </cell>
          <cell r="AW87">
            <v>-4158923</v>
          </cell>
          <cell r="AX87">
            <v>-9100722</v>
          </cell>
          <cell r="AY87">
            <v>-8918709</v>
          </cell>
          <cell r="AZ87">
            <v>0</v>
          </cell>
          <cell r="BA87">
            <v>-182014</v>
          </cell>
          <cell r="BB87">
            <v>-18201445</v>
          </cell>
          <cell r="BC87">
            <v>116541364</v>
          </cell>
          <cell r="BD87">
            <v>-10200374</v>
          </cell>
          <cell r="BE87">
            <v>3306652</v>
          </cell>
          <cell r="BF87">
            <v>0</v>
          </cell>
          <cell r="BG87">
            <v>-10736733</v>
          </cell>
          <cell r="BH87">
            <v>-226838</v>
          </cell>
          <cell r="BI87">
            <v>-94507</v>
          </cell>
          <cell r="BJ87">
            <v>-669858</v>
          </cell>
          <cell r="BK87">
            <v>-5258814</v>
          </cell>
          <cell r="BL87">
            <v>-556643</v>
          </cell>
          <cell r="BM87">
            <v>-180320</v>
          </cell>
          <cell r="BN87">
            <v>0</v>
          </cell>
          <cell r="BO87">
            <v>-77321</v>
          </cell>
          <cell r="BP87">
            <v>-2118</v>
          </cell>
          <cell r="BQ87">
            <v>0</v>
          </cell>
          <cell r="BR87">
            <v>0</v>
          </cell>
          <cell r="BS87">
            <v>0</v>
          </cell>
          <cell r="BT87">
            <v>118332349</v>
          </cell>
          <cell r="BU87">
            <v>-1891132</v>
          </cell>
          <cell r="BV87">
            <v>5838403</v>
          </cell>
          <cell r="BW87">
            <v>-2263434</v>
          </cell>
          <cell r="BX87">
            <v>3706361</v>
          </cell>
          <cell r="BY87">
            <v>1695918</v>
          </cell>
          <cell r="BZ87">
            <v>99292047</v>
          </cell>
          <cell r="CA87">
            <v>1853181</v>
          </cell>
          <cell r="CB87">
            <v>1816116</v>
          </cell>
          <cell r="CC87">
            <v>0</v>
          </cell>
          <cell r="CD87">
            <v>37064</v>
          </cell>
          <cell r="CE87">
            <v>847959</v>
          </cell>
          <cell r="CF87">
            <v>831000</v>
          </cell>
          <cell r="CG87">
            <v>0</v>
          </cell>
          <cell r="CH87">
            <v>16959</v>
          </cell>
        </row>
        <row r="88">
          <cell r="A88">
            <v>81</v>
          </cell>
          <cell r="B88" t="str">
            <v>Ealing</v>
          </cell>
          <cell r="C88" t="str">
            <v>E5036</v>
          </cell>
          <cell r="D88">
            <v>495725</v>
          </cell>
          <cell r="H88">
            <v>5528699</v>
          </cell>
          <cell r="I88">
            <v>0</v>
          </cell>
          <cell r="J88">
            <v>495725</v>
          </cell>
          <cell r="K88">
            <v>0</v>
          </cell>
          <cell r="L88">
            <v>0</v>
          </cell>
          <cell r="M88">
            <v>0</v>
          </cell>
          <cell r="N88">
            <v>0</v>
          </cell>
          <cell r="O88">
            <v>0</v>
          </cell>
          <cell r="P88">
            <v>0</v>
          </cell>
          <cell r="Q88">
            <v>0</v>
          </cell>
          <cell r="R88">
            <v>1116225</v>
          </cell>
          <cell r="S88">
            <v>1376678</v>
          </cell>
          <cell r="T88">
            <v>0</v>
          </cell>
          <cell r="U88">
            <v>0</v>
          </cell>
          <cell r="V88">
            <v>0</v>
          </cell>
          <cell r="W88">
            <v>0</v>
          </cell>
          <cell r="X88">
            <v>25871</v>
          </cell>
          <cell r="Y88">
            <v>31908</v>
          </cell>
          <cell r="Z88">
            <v>0</v>
          </cell>
          <cell r="AA88">
            <v>6323</v>
          </cell>
          <cell r="AB88">
            <v>7798</v>
          </cell>
          <cell r="AC88">
            <v>0</v>
          </cell>
          <cell r="AD88">
            <v>0</v>
          </cell>
          <cell r="AE88">
            <v>0</v>
          </cell>
          <cell r="AF88">
            <v>0</v>
          </cell>
          <cell r="AG88">
            <v>0</v>
          </cell>
          <cell r="AH88">
            <v>0</v>
          </cell>
          <cell r="AI88">
            <v>0</v>
          </cell>
          <cell r="AM88">
            <v>0</v>
          </cell>
          <cell r="AN88">
            <v>0</v>
          </cell>
          <cell r="AO88">
            <v>0</v>
          </cell>
          <cell r="AP88">
            <v>677240</v>
          </cell>
          <cell r="AQ88">
            <v>835263</v>
          </cell>
          <cell r="AR88">
            <v>0</v>
          </cell>
          <cell r="AS88">
            <v>-4842619.4950000001</v>
          </cell>
          <cell r="AT88">
            <v>-2905570.7390000001</v>
          </cell>
          <cell r="AU88">
            <v>-1937047.8260000004</v>
          </cell>
          <cell r="AV88">
            <v>0</v>
          </cell>
          <cell r="AW88">
            <v>-9685238.0600000005</v>
          </cell>
          <cell r="AX88">
            <v>-8547112</v>
          </cell>
          <cell r="AY88">
            <v>-5128265</v>
          </cell>
          <cell r="AZ88">
            <v>-3418846</v>
          </cell>
          <cell r="BA88">
            <v>0</v>
          </cell>
          <cell r="BB88">
            <v>-17094223</v>
          </cell>
          <cell r="BC88">
            <v>145553894</v>
          </cell>
          <cell r="BD88">
            <v>-5179140</v>
          </cell>
          <cell r="BE88">
            <v>3805532</v>
          </cell>
          <cell r="BF88">
            <v>0</v>
          </cell>
          <cell r="BG88">
            <v>-7750340</v>
          </cell>
          <cell r="BH88">
            <v>-26039</v>
          </cell>
          <cell r="BI88">
            <v>0</v>
          </cell>
          <cell r="BJ88">
            <v>0</v>
          </cell>
          <cell r="BK88">
            <v>-5841417</v>
          </cell>
          <cell r="BL88">
            <v>-169591</v>
          </cell>
          <cell r="BM88">
            <v>-341604</v>
          </cell>
          <cell r="BN88">
            <v>0</v>
          </cell>
          <cell r="BO88">
            <v>0</v>
          </cell>
          <cell r="BP88">
            <v>0</v>
          </cell>
          <cell r="BQ88">
            <v>-56146</v>
          </cell>
          <cell r="BR88">
            <v>0</v>
          </cell>
          <cell r="BS88">
            <v>0</v>
          </cell>
          <cell r="BT88">
            <v>148818123</v>
          </cell>
          <cell r="BU88">
            <v>-3178306</v>
          </cell>
          <cell r="BV88">
            <v>18132520</v>
          </cell>
          <cell r="BW88">
            <v>-9190952</v>
          </cell>
          <cell r="BX88">
            <v>6557034</v>
          </cell>
          <cell r="BY88">
            <v>5477000</v>
          </cell>
          <cell r="BZ88">
            <v>150282821</v>
          </cell>
          <cell r="CA88">
            <v>3278517</v>
          </cell>
          <cell r="CB88">
            <v>1967110</v>
          </cell>
          <cell r="CC88">
            <v>1311407</v>
          </cell>
          <cell r="CD88">
            <v>0</v>
          </cell>
          <cell r="CE88">
            <v>2738500</v>
          </cell>
          <cell r="CF88">
            <v>1643100</v>
          </cell>
          <cell r="CG88">
            <v>1095400</v>
          </cell>
          <cell r="CH88">
            <v>0</v>
          </cell>
        </row>
        <row r="89">
          <cell r="A89">
            <v>82</v>
          </cell>
          <cell r="B89" t="str">
            <v>East Cambridgeshire</v>
          </cell>
          <cell r="C89" t="str">
            <v>E0532</v>
          </cell>
          <cell r="D89">
            <v>94945</v>
          </cell>
          <cell r="H89">
            <v>967665</v>
          </cell>
          <cell r="I89">
            <v>0</v>
          </cell>
          <cell r="J89">
            <v>94945</v>
          </cell>
          <cell r="K89">
            <v>0</v>
          </cell>
          <cell r="L89">
            <v>348576</v>
          </cell>
          <cell r="M89">
            <v>0</v>
          </cell>
          <cell r="N89">
            <v>0</v>
          </cell>
          <cell r="O89">
            <v>0</v>
          </cell>
          <cell r="P89">
            <v>0</v>
          </cell>
          <cell r="Q89">
            <v>0</v>
          </cell>
          <cell r="R89">
            <v>460251</v>
          </cell>
          <cell r="S89">
            <v>103557</v>
          </cell>
          <cell r="T89">
            <v>11506</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M89">
            <v>0</v>
          </cell>
          <cell r="AN89">
            <v>0</v>
          </cell>
          <cell r="AO89">
            <v>0</v>
          </cell>
          <cell r="AP89">
            <v>126520</v>
          </cell>
          <cell r="AQ89">
            <v>27289</v>
          </cell>
          <cell r="AR89">
            <v>3032</v>
          </cell>
          <cell r="AS89">
            <v>-113320.47</v>
          </cell>
          <cell r="AT89">
            <v>-90658</v>
          </cell>
          <cell r="AU89">
            <v>-20398</v>
          </cell>
          <cell r="AV89">
            <v>-2268</v>
          </cell>
          <cell r="AW89">
            <v>-226644.47</v>
          </cell>
          <cell r="AX89">
            <v>-458981</v>
          </cell>
          <cell r="AY89">
            <v>-367183</v>
          </cell>
          <cell r="AZ89">
            <v>-82616</v>
          </cell>
          <cell r="BA89">
            <v>-9181</v>
          </cell>
          <cell r="BB89">
            <v>-917961</v>
          </cell>
          <cell r="BC89">
            <v>19635225</v>
          </cell>
          <cell r="BD89">
            <v>-1651384</v>
          </cell>
          <cell r="BE89">
            <v>498602</v>
          </cell>
          <cell r="BF89">
            <v>0</v>
          </cell>
          <cell r="BG89">
            <v>-1647101</v>
          </cell>
          <cell r="BH89">
            <v>-23796</v>
          </cell>
          <cell r="BI89">
            <v>-36638</v>
          </cell>
          <cell r="BJ89">
            <v>0</v>
          </cell>
          <cell r="BK89">
            <v>-455751</v>
          </cell>
          <cell r="BL89">
            <v>-34014</v>
          </cell>
          <cell r="BM89">
            <v>-13812</v>
          </cell>
          <cell r="BN89">
            <v>-4893</v>
          </cell>
          <cell r="BO89">
            <v>-8089</v>
          </cell>
          <cell r="BP89">
            <v>0</v>
          </cell>
          <cell r="BQ89">
            <v>0</v>
          </cell>
          <cell r="BR89">
            <v>0</v>
          </cell>
          <cell r="BS89">
            <v>0</v>
          </cell>
          <cell r="BT89">
            <v>19895157</v>
          </cell>
          <cell r="BU89">
            <v>-51323</v>
          </cell>
          <cell r="BV89">
            <v>763306</v>
          </cell>
          <cell r="BW89">
            <v>-287349</v>
          </cell>
          <cell r="BX89">
            <v>430436</v>
          </cell>
          <cell r="BY89">
            <v>626677</v>
          </cell>
          <cell r="BZ89">
            <v>19596300</v>
          </cell>
          <cell r="CA89">
            <v>215218</v>
          </cell>
          <cell r="CB89">
            <v>172174</v>
          </cell>
          <cell r="CC89">
            <v>38739</v>
          </cell>
          <cell r="CD89">
            <v>4305</v>
          </cell>
          <cell r="CE89">
            <v>313338</v>
          </cell>
          <cell r="CF89">
            <v>250671</v>
          </cell>
          <cell r="CG89">
            <v>56401</v>
          </cell>
          <cell r="CH89">
            <v>6267</v>
          </cell>
        </row>
        <row r="90">
          <cell r="A90">
            <v>83</v>
          </cell>
          <cell r="B90" t="str">
            <v>East Devon</v>
          </cell>
          <cell r="C90" t="str">
            <v>E1131</v>
          </cell>
          <cell r="D90">
            <v>228268</v>
          </cell>
          <cell r="H90">
            <v>-226724</v>
          </cell>
          <cell r="I90">
            <v>-11413</v>
          </cell>
          <cell r="J90">
            <v>228268</v>
          </cell>
          <cell r="K90">
            <v>0</v>
          </cell>
          <cell r="L90">
            <v>199062</v>
          </cell>
          <cell r="M90">
            <v>0</v>
          </cell>
          <cell r="N90">
            <v>136305</v>
          </cell>
          <cell r="O90">
            <v>136305</v>
          </cell>
          <cell r="P90">
            <v>0</v>
          </cell>
          <cell r="Q90">
            <v>0</v>
          </cell>
          <cell r="R90">
            <v>1216278</v>
          </cell>
          <cell r="S90">
            <v>270209</v>
          </cell>
          <cell r="T90">
            <v>30023</v>
          </cell>
          <cell r="U90">
            <v>0</v>
          </cell>
          <cell r="V90">
            <v>0</v>
          </cell>
          <cell r="W90">
            <v>0</v>
          </cell>
          <cell r="X90">
            <v>25635</v>
          </cell>
          <cell r="Y90">
            <v>5768</v>
          </cell>
          <cell r="Z90">
            <v>641</v>
          </cell>
          <cell r="AA90">
            <v>0</v>
          </cell>
          <cell r="AB90">
            <v>0</v>
          </cell>
          <cell r="AC90">
            <v>0</v>
          </cell>
          <cell r="AD90">
            <v>0</v>
          </cell>
          <cell r="AE90">
            <v>0</v>
          </cell>
          <cell r="AF90">
            <v>0</v>
          </cell>
          <cell r="AG90">
            <v>0</v>
          </cell>
          <cell r="AH90">
            <v>0</v>
          </cell>
          <cell r="AI90">
            <v>0</v>
          </cell>
          <cell r="AM90">
            <v>0</v>
          </cell>
          <cell r="AN90">
            <v>0</v>
          </cell>
          <cell r="AO90">
            <v>0</v>
          </cell>
          <cell r="AP90">
            <v>210031</v>
          </cell>
          <cell r="AQ90">
            <v>46124</v>
          </cell>
          <cell r="AR90">
            <v>5125</v>
          </cell>
          <cell r="AS90">
            <v>-154037</v>
          </cell>
          <cell r="AT90">
            <v>-123230</v>
          </cell>
          <cell r="AU90">
            <v>-27727</v>
          </cell>
          <cell r="AV90">
            <v>-3081</v>
          </cell>
          <cell r="AW90">
            <v>-308075</v>
          </cell>
          <cell r="AX90">
            <v>-776380</v>
          </cell>
          <cell r="AY90">
            <v>-621101</v>
          </cell>
          <cell r="AZ90">
            <v>-139747</v>
          </cell>
          <cell r="BA90">
            <v>-15527</v>
          </cell>
          <cell r="BB90">
            <v>-1552755</v>
          </cell>
          <cell r="BC90">
            <v>34342080</v>
          </cell>
          <cell r="BD90">
            <v>-4630316</v>
          </cell>
          <cell r="BE90">
            <v>855349</v>
          </cell>
          <cell r="BF90">
            <v>0</v>
          </cell>
          <cell r="BG90">
            <v>-2525399</v>
          </cell>
          <cell r="BH90">
            <v>-444173</v>
          </cell>
          <cell r="BI90">
            <v>-44797</v>
          </cell>
          <cell r="BJ90">
            <v>-5909</v>
          </cell>
          <cell r="BK90">
            <v>-1254115</v>
          </cell>
          <cell r="BL90">
            <v>-111482</v>
          </cell>
          <cell r="BM90">
            <v>-339</v>
          </cell>
          <cell r="BN90">
            <v>-82374</v>
          </cell>
          <cell r="BO90">
            <v>-15061</v>
          </cell>
          <cell r="BP90">
            <v>0</v>
          </cell>
          <cell r="BQ90">
            <v>0</v>
          </cell>
          <cell r="BR90">
            <v>0</v>
          </cell>
          <cell r="BS90">
            <v>0</v>
          </cell>
          <cell r="BT90">
            <v>33402076</v>
          </cell>
          <cell r="BU90">
            <v>-82862</v>
          </cell>
          <cell r="BV90">
            <v>1113465</v>
          </cell>
          <cell r="BW90">
            <v>-539442</v>
          </cell>
          <cell r="BX90">
            <v>750805</v>
          </cell>
          <cell r="BY90">
            <v>73470</v>
          </cell>
          <cell r="BZ90">
            <v>34116805</v>
          </cell>
          <cell r="CA90">
            <v>375402</v>
          </cell>
          <cell r="CB90">
            <v>300323</v>
          </cell>
          <cell r="CC90">
            <v>67572</v>
          </cell>
          <cell r="CD90">
            <v>7508</v>
          </cell>
          <cell r="CE90">
            <v>36735</v>
          </cell>
          <cell r="CF90">
            <v>29388</v>
          </cell>
          <cell r="CG90">
            <v>6612</v>
          </cell>
          <cell r="CH90">
            <v>735</v>
          </cell>
        </row>
        <row r="91">
          <cell r="A91">
            <v>84</v>
          </cell>
          <cell r="B91" t="str">
            <v>East Dorset</v>
          </cell>
          <cell r="C91" t="str">
            <v>E1233</v>
          </cell>
          <cell r="D91">
            <v>108647</v>
          </cell>
          <cell r="H91">
            <v>451131</v>
          </cell>
          <cell r="I91">
            <v>0</v>
          </cell>
          <cell r="J91">
            <v>108647</v>
          </cell>
          <cell r="K91">
            <v>0</v>
          </cell>
          <cell r="L91">
            <v>202519</v>
          </cell>
          <cell r="M91">
            <v>0</v>
          </cell>
          <cell r="N91">
            <v>0</v>
          </cell>
          <cell r="O91">
            <v>0</v>
          </cell>
          <cell r="P91">
            <v>0</v>
          </cell>
          <cell r="Q91">
            <v>0</v>
          </cell>
          <cell r="R91">
            <v>588372</v>
          </cell>
          <cell r="S91">
            <v>132384</v>
          </cell>
          <cell r="T91">
            <v>14709</v>
          </cell>
          <cell r="U91">
            <v>0</v>
          </cell>
          <cell r="V91">
            <v>0</v>
          </cell>
          <cell r="W91">
            <v>0</v>
          </cell>
          <cell r="X91">
            <v>9296</v>
          </cell>
          <cell r="Y91">
            <v>2092</v>
          </cell>
          <cell r="Z91">
            <v>232</v>
          </cell>
          <cell r="AA91">
            <v>0</v>
          </cell>
          <cell r="AB91">
            <v>0</v>
          </cell>
          <cell r="AC91">
            <v>0</v>
          </cell>
          <cell r="AD91">
            <v>0</v>
          </cell>
          <cell r="AE91">
            <v>0</v>
          </cell>
          <cell r="AF91">
            <v>0</v>
          </cell>
          <cell r="AG91">
            <v>0</v>
          </cell>
          <cell r="AH91">
            <v>0</v>
          </cell>
          <cell r="AI91">
            <v>0</v>
          </cell>
          <cell r="AM91">
            <v>0</v>
          </cell>
          <cell r="AN91">
            <v>0</v>
          </cell>
          <cell r="AO91">
            <v>0</v>
          </cell>
          <cell r="AP91">
            <v>138402</v>
          </cell>
          <cell r="AQ91">
            <v>30456</v>
          </cell>
          <cell r="AR91">
            <v>3384</v>
          </cell>
          <cell r="AS91">
            <v>-156876.00000000003</v>
          </cell>
          <cell r="AT91">
            <v>-125502</v>
          </cell>
          <cell r="AU91">
            <v>-28239</v>
          </cell>
          <cell r="AV91">
            <v>-3137</v>
          </cell>
          <cell r="AW91">
            <v>-313754</v>
          </cell>
          <cell r="AX91">
            <v>-490904.4</v>
          </cell>
          <cell r="AY91">
            <v>-392724</v>
          </cell>
          <cell r="AZ91">
            <v>-88363</v>
          </cell>
          <cell r="BA91">
            <v>-9818</v>
          </cell>
          <cell r="BB91">
            <v>-981809.39999999991</v>
          </cell>
          <cell r="BC91">
            <v>22338117</v>
          </cell>
          <cell r="BD91">
            <v>-2140656</v>
          </cell>
          <cell r="BE91">
            <v>541756</v>
          </cell>
          <cell r="BF91">
            <v>0</v>
          </cell>
          <cell r="BG91">
            <v>-1323247</v>
          </cell>
          <cell r="BH91">
            <v>-38044</v>
          </cell>
          <cell r="BI91">
            <v>-13028</v>
          </cell>
          <cell r="BJ91">
            <v>-46160</v>
          </cell>
          <cell r="BK91">
            <v>-591809</v>
          </cell>
          <cell r="BL91">
            <v>-27272</v>
          </cell>
          <cell r="BM91">
            <v>-7336</v>
          </cell>
          <cell r="BN91">
            <v>0</v>
          </cell>
          <cell r="BO91">
            <v>-6871</v>
          </cell>
          <cell r="BP91">
            <v>0</v>
          </cell>
          <cell r="BQ91">
            <v>0</v>
          </cell>
          <cell r="BR91">
            <v>0</v>
          </cell>
          <cell r="BS91">
            <v>0</v>
          </cell>
          <cell r="BT91">
            <v>21705210</v>
          </cell>
          <cell r="BU91">
            <v>-117882</v>
          </cell>
          <cell r="BV91">
            <v>502389</v>
          </cell>
          <cell r="BW91">
            <v>-160596</v>
          </cell>
          <cell r="BX91">
            <v>-73995.730000000447</v>
          </cell>
          <cell r="BY91">
            <v>-106725</v>
          </cell>
          <cell r="BZ91">
            <v>22527754</v>
          </cell>
          <cell r="CA91">
            <v>-36998.730000000447</v>
          </cell>
          <cell r="CB91">
            <v>-29598</v>
          </cell>
          <cell r="CC91">
            <v>-6659</v>
          </cell>
          <cell r="CD91">
            <v>-740</v>
          </cell>
          <cell r="CE91">
            <v>-53363</v>
          </cell>
          <cell r="CF91">
            <v>-42690</v>
          </cell>
          <cell r="CG91">
            <v>-9605</v>
          </cell>
          <cell r="CH91">
            <v>-1067</v>
          </cell>
        </row>
        <row r="92">
          <cell r="A92">
            <v>85</v>
          </cell>
          <cell r="B92" t="str">
            <v>East Hampshire</v>
          </cell>
          <cell r="C92" t="str">
            <v>E1732</v>
          </cell>
          <cell r="D92">
            <v>155157</v>
          </cell>
          <cell r="H92">
            <v>1544553.1400000001</v>
          </cell>
          <cell r="I92">
            <v>0</v>
          </cell>
          <cell r="J92">
            <v>155157</v>
          </cell>
          <cell r="K92">
            <v>29680</v>
          </cell>
          <cell r="L92">
            <v>0</v>
          </cell>
          <cell r="M92">
            <v>0</v>
          </cell>
          <cell r="N92">
            <v>0</v>
          </cell>
          <cell r="O92">
            <v>0</v>
          </cell>
          <cell r="P92">
            <v>0</v>
          </cell>
          <cell r="Q92">
            <v>0</v>
          </cell>
          <cell r="R92">
            <v>677354</v>
          </cell>
          <cell r="S92">
            <v>152405</v>
          </cell>
          <cell r="T92">
            <v>16934</v>
          </cell>
          <cell r="U92">
            <v>14318</v>
          </cell>
          <cell r="V92">
            <v>3221</v>
          </cell>
          <cell r="W92">
            <v>358</v>
          </cell>
          <cell r="X92">
            <v>0</v>
          </cell>
          <cell r="Y92">
            <v>0</v>
          </cell>
          <cell r="Z92">
            <v>0</v>
          </cell>
          <cell r="AA92">
            <v>3128</v>
          </cell>
          <cell r="AB92">
            <v>704</v>
          </cell>
          <cell r="AC92">
            <v>78</v>
          </cell>
          <cell r="AD92">
            <v>0</v>
          </cell>
          <cell r="AE92">
            <v>0</v>
          </cell>
          <cell r="AF92">
            <v>0</v>
          </cell>
          <cell r="AG92">
            <v>0</v>
          </cell>
          <cell r="AH92">
            <v>0</v>
          </cell>
          <cell r="AI92">
            <v>0</v>
          </cell>
          <cell r="AM92">
            <v>0</v>
          </cell>
          <cell r="AN92">
            <v>0</v>
          </cell>
          <cell r="AO92">
            <v>0</v>
          </cell>
          <cell r="AP92">
            <v>197545</v>
          </cell>
          <cell r="AQ92">
            <v>44347</v>
          </cell>
          <cell r="AR92">
            <v>4927</v>
          </cell>
          <cell r="AS92">
            <v>-216094</v>
          </cell>
          <cell r="AT92">
            <v>-172874</v>
          </cell>
          <cell r="AU92">
            <v>-38896</v>
          </cell>
          <cell r="AV92">
            <v>-4322</v>
          </cell>
          <cell r="AW92">
            <v>-432186</v>
          </cell>
          <cell r="AX92">
            <v>-1227731</v>
          </cell>
          <cell r="AY92">
            <v>-982184</v>
          </cell>
          <cell r="AZ92">
            <v>-220992</v>
          </cell>
          <cell r="BA92">
            <v>-24555</v>
          </cell>
          <cell r="BB92">
            <v>-2455462</v>
          </cell>
          <cell r="BC92">
            <v>27329786</v>
          </cell>
          <cell r="BD92">
            <v>-2666720</v>
          </cell>
          <cell r="BE92">
            <v>772538</v>
          </cell>
          <cell r="BF92">
            <v>0</v>
          </cell>
          <cell r="BG92">
            <v>-2573443</v>
          </cell>
          <cell r="BH92">
            <v>-32891</v>
          </cell>
          <cell r="BI92">
            <v>-29794</v>
          </cell>
          <cell r="BJ92">
            <v>-284548</v>
          </cell>
          <cell r="BK92">
            <v>-804863</v>
          </cell>
          <cell r="BL92">
            <v>-128698</v>
          </cell>
          <cell r="BM92">
            <v>-2278</v>
          </cell>
          <cell r="BN92">
            <v>-4111</v>
          </cell>
          <cell r="BO92">
            <v>-29794</v>
          </cell>
          <cell r="BP92">
            <v>0</v>
          </cell>
          <cell r="BQ92">
            <v>0</v>
          </cell>
          <cell r="BR92">
            <v>0</v>
          </cell>
          <cell r="BS92">
            <v>0</v>
          </cell>
          <cell r="BT92">
            <v>29038921</v>
          </cell>
          <cell r="BU92">
            <v>-211308</v>
          </cell>
          <cell r="BV92">
            <v>1434039</v>
          </cell>
          <cell r="BW92">
            <v>-1163381</v>
          </cell>
          <cell r="BX92">
            <v>-2032360</v>
          </cell>
          <cell r="BY92">
            <v>-110232</v>
          </cell>
          <cell r="BZ92">
            <v>32803008</v>
          </cell>
          <cell r="CA92">
            <v>-1016180</v>
          </cell>
          <cell r="CB92">
            <v>-812944</v>
          </cell>
          <cell r="CC92">
            <v>-182913</v>
          </cell>
          <cell r="CD92">
            <v>-20323</v>
          </cell>
          <cell r="CE92">
            <v>-55116</v>
          </cell>
          <cell r="CF92">
            <v>-44093</v>
          </cell>
          <cell r="CG92">
            <v>-9921</v>
          </cell>
          <cell r="CH92">
            <v>-1102</v>
          </cell>
        </row>
        <row r="93">
          <cell r="A93">
            <v>86</v>
          </cell>
          <cell r="B93" t="str">
            <v>East Hertfordshire</v>
          </cell>
          <cell r="C93" t="str">
            <v>E1933</v>
          </cell>
          <cell r="D93">
            <v>193979</v>
          </cell>
          <cell r="H93">
            <v>196431</v>
          </cell>
          <cell r="I93">
            <v>0</v>
          </cell>
          <cell r="J93">
            <v>193979</v>
          </cell>
          <cell r="K93">
            <v>0</v>
          </cell>
          <cell r="L93">
            <v>0</v>
          </cell>
          <cell r="M93">
            <v>0</v>
          </cell>
          <cell r="N93">
            <v>0</v>
          </cell>
          <cell r="O93">
            <v>0</v>
          </cell>
          <cell r="P93">
            <v>0</v>
          </cell>
          <cell r="Q93">
            <v>0</v>
          </cell>
          <cell r="R93">
            <v>876234</v>
          </cell>
          <cell r="S93">
            <v>219058</v>
          </cell>
          <cell r="T93">
            <v>0</v>
          </cell>
          <cell r="U93">
            <v>0</v>
          </cell>
          <cell r="V93">
            <v>0</v>
          </cell>
          <cell r="W93">
            <v>0</v>
          </cell>
          <cell r="X93">
            <v>13535</v>
          </cell>
          <cell r="Y93">
            <v>3384</v>
          </cell>
          <cell r="Z93">
            <v>0</v>
          </cell>
          <cell r="AA93">
            <v>2701</v>
          </cell>
          <cell r="AB93">
            <v>675</v>
          </cell>
          <cell r="AC93">
            <v>0</v>
          </cell>
          <cell r="AD93">
            <v>0</v>
          </cell>
          <cell r="AE93">
            <v>0</v>
          </cell>
          <cell r="AF93">
            <v>0</v>
          </cell>
          <cell r="AG93">
            <v>0</v>
          </cell>
          <cell r="AH93">
            <v>0</v>
          </cell>
          <cell r="AI93">
            <v>0</v>
          </cell>
          <cell r="AM93">
            <v>0</v>
          </cell>
          <cell r="AN93">
            <v>0</v>
          </cell>
          <cell r="AO93">
            <v>0</v>
          </cell>
          <cell r="AP93">
            <v>247148</v>
          </cell>
          <cell r="AQ93">
            <v>61787</v>
          </cell>
          <cell r="AR93">
            <v>0</v>
          </cell>
          <cell r="AS93">
            <v>-502240</v>
          </cell>
          <cell r="AT93">
            <v>-401790</v>
          </cell>
          <cell r="AU93">
            <v>-100447</v>
          </cell>
          <cell r="AV93">
            <v>0</v>
          </cell>
          <cell r="AW93">
            <v>-1004477</v>
          </cell>
          <cell r="AX93">
            <v>-3395443</v>
          </cell>
          <cell r="AY93">
            <v>-2716355</v>
          </cell>
          <cell r="AZ93">
            <v>-679089</v>
          </cell>
          <cell r="BA93">
            <v>0</v>
          </cell>
          <cell r="BB93">
            <v>-6790887</v>
          </cell>
          <cell r="BC93">
            <v>44137693</v>
          </cell>
          <cell r="BD93">
            <v>-2806318</v>
          </cell>
          <cell r="BE93">
            <v>1220329</v>
          </cell>
          <cell r="BF93">
            <v>0</v>
          </cell>
          <cell r="BG93">
            <v>-4162099</v>
          </cell>
          <cell r="BH93">
            <v>-68338</v>
          </cell>
          <cell r="BI93">
            <v>-49365</v>
          </cell>
          <cell r="BJ93">
            <v>-51129</v>
          </cell>
          <cell r="BK93">
            <v>-1866095</v>
          </cell>
          <cell r="BL93">
            <v>-174005</v>
          </cell>
          <cell r="BM93">
            <v>-48607</v>
          </cell>
          <cell r="BN93">
            <v>0</v>
          </cell>
          <cell r="BO93">
            <v>-20226</v>
          </cell>
          <cell r="BP93">
            <v>-3721</v>
          </cell>
          <cell r="BQ93">
            <v>0</v>
          </cell>
          <cell r="BR93">
            <v>0</v>
          </cell>
          <cell r="BS93">
            <v>0</v>
          </cell>
          <cell r="BT93">
            <v>45562496</v>
          </cell>
          <cell r="BU93">
            <v>-585605</v>
          </cell>
          <cell r="BV93">
            <v>1776110</v>
          </cell>
          <cell r="BW93">
            <v>-666828</v>
          </cell>
          <cell r="BX93">
            <v>-501120</v>
          </cell>
          <cell r="BY93">
            <v>-1149424</v>
          </cell>
          <cell r="BZ93">
            <v>41132484</v>
          </cell>
          <cell r="CA93">
            <v>-250559</v>
          </cell>
          <cell r="CB93">
            <v>-200448</v>
          </cell>
          <cell r="CC93">
            <v>-50113</v>
          </cell>
          <cell r="CD93">
            <v>0</v>
          </cell>
          <cell r="CE93">
            <v>-574712</v>
          </cell>
          <cell r="CF93">
            <v>-459770</v>
          </cell>
          <cell r="CG93">
            <v>-114942</v>
          </cell>
          <cell r="CH93">
            <v>0</v>
          </cell>
        </row>
        <row r="94">
          <cell r="A94">
            <v>87</v>
          </cell>
          <cell r="B94" t="str">
            <v>East Lindsey</v>
          </cell>
          <cell r="C94" t="str">
            <v>E2532</v>
          </cell>
          <cell r="D94">
            <v>267225</v>
          </cell>
          <cell r="H94">
            <v>1033802</v>
          </cell>
          <cell r="I94">
            <v>0</v>
          </cell>
          <cell r="J94">
            <v>267225</v>
          </cell>
          <cell r="K94">
            <v>0</v>
          </cell>
          <cell r="L94">
            <v>464613</v>
          </cell>
          <cell r="M94">
            <v>69490</v>
          </cell>
          <cell r="N94">
            <v>0</v>
          </cell>
          <cell r="O94">
            <v>0</v>
          </cell>
          <cell r="P94">
            <v>0</v>
          </cell>
          <cell r="Q94">
            <v>0</v>
          </cell>
          <cell r="R94">
            <v>1247785</v>
          </cell>
          <cell r="S94">
            <v>311946</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M94">
            <v>0</v>
          </cell>
          <cell r="AN94">
            <v>0</v>
          </cell>
          <cell r="AO94">
            <v>0</v>
          </cell>
          <cell r="AP94">
            <v>214160</v>
          </cell>
          <cell r="AQ94">
            <v>52839</v>
          </cell>
          <cell r="AR94">
            <v>0</v>
          </cell>
          <cell r="AS94">
            <v>-607500</v>
          </cell>
          <cell r="AT94">
            <v>-485998</v>
          </cell>
          <cell r="AU94">
            <v>-121500</v>
          </cell>
          <cell r="AV94">
            <v>0</v>
          </cell>
          <cell r="AW94">
            <v>-1214998</v>
          </cell>
          <cell r="AX94">
            <v>-1450432</v>
          </cell>
          <cell r="AY94">
            <v>-1160347</v>
          </cell>
          <cell r="AZ94">
            <v>-290086</v>
          </cell>
          <cell r="BA94">
            <v>0</v>
          </cell>
          <cell r="BB94">
            <v>-2900865</v>
          </cell>
          <cell r="BC94">
            <v>34925756</v>
          </cell>
          <cell r="BD94">
            <v>-4907206</v>
          </cell>
          <cell r="BE94">
            <v>875474</v>
          </cell>
          <cell r="BF94">
            <v>0</v>
          </cell>
          <cell r="BG94">
            <v>-2643330</v>
          </cell>
          <cell r="BH94">
            <v>-81641</v>
          </cell>
          <cell r="BI94">
            <v>-117818</v>
          </cell>
          <cell r="BJ94">
            <v>0</v>
          </cell>
          <cell r="BK94">
            <v>-646631</v>
          </cell>
          <cell r="BL94">
            <v>-79880</v>
          </cell>
          <cell r="BM94">
            <v>-6202</v>
          </cell>
          <cell r="BN94">
            <v>-9846</v>
          </cell>
          <cell r="BO94">
            <v>-26130</v>
          </cell>
          <cell r="BP94">
            <v>0</v>
          </cell>
          <cell r="BQ94">
            <v>0</v>
          </cell>
          <cell r="BR94">
            <v>0</v>
          </cell>
          <cell r="BS94">
            <v>0</v>
          </cell>
          <cell r="BT94">
            <v>36217142</v>
          </cell>
          <cell r="BU94">
            <v>-514777</v>
          </cell>
          <cell r="BV94">
            <v>2870466</v>
          </cell>
          <cell r="BW94">
            <v>-749479</v>
          </cell>
          <cell r="BX94">
            <v>1342973</v>
          </cell>
          <cell r="BY94">
            <v>2204585</v>
          </cell>
          <cell r="BZ94">
            <v>34480869</v>
          </cell>
          <cell r="CA94">
            <v>671486</v>
          </cell>
          <cell r="CB94">
            <v>537189</v>
          </cell>
          <cell r="CC94">
            <v>134298</v>
          </cell>
          <cell r="CD94">
            <v>0</v>
          </cell>
          <cell r="CE94">
            <v>1102292</v>
          </cell>
          <cell r="CF94">
            <v>881834</v>
          </cell>
          <cell r="CG94">
            <v>220459</v>
          </cell>
          <cell r="CH94">
            <v>0</v>
          </cell>
        </row>
        <row r="95">
          <cell r="A95">
            <v>88</v>
          </cell>
          <cell r="B95" t="str">
            <v>East Northamptonshire</v>
          </cell>
          <cell r="C95" t="str">
            <v>E2833</v>
          </cell>
          <cell r="D95">
            <v>99517</v>
          </cell>
          <cell r="H95">
            <v>-679568</v>
          </cell>
          <cell r="I95">
            <v>0</v>
          </cell>
          <cell r="J95">
            <v>99517</v>
          </cell>
          <cell r="K95">
            <v>0</v>
          </cell>
          <cell r="L95">
            <v>287400</v>
          </cell>
          <cell r="M95">
            <v>0</v>
          </cell>
          <cell r="N95">
            <v>0</v>
          </cell>
          <cell r="O95">
            <v>0</v>
          </cell>
          <cell r="P95">
            <v>0</v>
          </cell>
          <cell r="Q95">
            <v>0</v>
          </cell>
          <cell r="R95">
            <v>505226</v>
          </cell>
          <cell r="S95">
            <v>126307</v>
          </cell>
          <cell r="T95">
            <v>0</v>
          </cell>
          <cell r="U95">
            <v>2758</v>
          </cell>
          <cell r="V95">
            <v>690</v>
          </cell>
          <cell r="W95">
            <v>0</v>
          </cell>
          <cell r="X95">
            <v>0</v>
          </cell>
          <cell r="Y95">
            <v>0</v>
          </cell>
          <cell r="Z95">
            <v>0</v>
          </cell>
          <cell r="AA95">
            <v>0</v>
          </cell>
          <cell r="AB95">
            <v>0</v>
          </cell>
          <cell r="AC95">
            <v>0</v>
          </cell>
          <cell r="AD95">
            <v>0</v>
          </cell>
          <cell r="AE95">
            <v>0</v>
          </cell>
          <cell r="AF95">
            <v>0</v>
          </cell>
          <cell r="AG95">
            <v>0</v>
          </cell>
          <cell r="AH95">
            <v>0</v>
          </cell>
          <cell r="AI95">
            <v>0</v>
          </cell>
          <cell r="AM95">
            <v>0</v>
          </cell>
          <cell r="AN95">
            <v>0</v>
          </cell>
          <cell r="AO95">
            <v>0</v>
          </cell>
          <cell r="AP95">
            <v>159137</v>
          </cell>
          <cell r="AQ95">
            <v>38705</v>
          </cell>
          <cell r="AR95">
            <v>0</v>
          </cell>
          <cell r="AS95">
            <v>-66378</v>
          </cell>
          <cell r="AT95">
            <v>-53101</v>
          </cell>
          <cell r="AU95">
            <v>-13275</v>
          </cell>
          <cell r="AV95">
            <v>0</v>
          </cell>
          <cell r="AW95">
            <v>-132754</v>
          </cell>
          <cell r="AX95">
            <v>-1325881</v>
          </cell>
          <cell r="AY95">
            <v>-1060704</v>
          </cell>
          <cell r="AZ95">
            <v>-265176</v>
          </cell>
          <cell r="BA95">
            <v>0</v>
          </cell>
          <cell r="BB95">
            <v>-2651761</v>
          </cell>
          <cell r="BC95">
            <v>22998431</v>
          </cell>
          <cell r="BD95">
            <v>-1998550</v>
          </cell>
          <cell r="BE95">
            <v>686928</v>
          </cell>
          <cell r="BF95">
            <v>0</v>
          </cell>
          <cell r="BG95">
            <v>-1796881</v>
          </cell>
          <cell r="BH95">
            <v>-15397</v>
          </cell>
          <cell r="BI95">
            <v>-36066</v>
          </cell>
          <cell r="BJ95">
            <v>-34477</v>
          </cell>
          <cell r="BK95">
            <v>-853755</v>
          </cell>
          <cell r="BL95">
            <v>-88163</v>
          </cell>
          <cell r="BM95">
            <v>-66807</v>
          </cell>
          <cell r="BN95">
            <v>-3849</v>
          </cell>
          <cell r="BO95">
            <v>-20189</v>
          </cell>
          <cell r="BP95">
            <v>-56439</v>
          </cell>
          <cell r="BQ95">
            <v>0</v>
          </cell>
          <cell r="BR95">
            <v>0</v>
          </cell>
          <cell r="BS95">
            <v>0</v>
          </cell>
          <cell r="BT95">
            <v>24357790</v>
          </cell>
          <cell r="BU95">
            <v>-86351</v>
          </cell>
          <cell r="BV95">
            <v>269553</v>
          </cell>
          <cell r="BW95">
            <v>-297527</v>
          </cell>
          <cell r="BX95">
            <v>-288923</v>
          </cell>
          <cell r="BY95">
            <v>-53873</v>
          </cell>
          <cell r="BZ95">
            <v>25766406</v>
          </cell>
          <cell r="CA95">
            <v>-144462</v>
          </cell>
          <cell r="CB95">
            <v>-115569</v>
          </cell>
          <cell r="CC95">
            <v>-28892</v>
          </cell>
          <cell r="CD95">
            <v>0</v>
          </cell>
          <cell r="CE95">
            <v>-26937</v>
          </cell>
          <cell r="CF95">
            <v>-21549</v>
          </cell>
          <cell r="CG95">
            <v>-5387</v>
          </cell>
          <cell r="CH95">
            <v>0</v>
          </cell>
        </row>
        <row r="96">
          <cell r="A96">
            <v>89</v>
          </cell>
          <cell r="B96" t="str">
            <v>East Riding of Yorkshire</v>
          </cell>
          <cell r="C96" t="str">
            <v>E2001</v>
          </cell>
          <cell r="D96">
            <v>431637</v>
          </cell>
          <cell r="H96">
            <v>-8761964</v>
          </cell>
          <cell r="I96">
            <v>0</v>
          </cell>
          <cell r="J96">
            <v>431637</v>
          </cell>
          <cell r="K96">
            <v>0</v>
          </cell>
          <cell r="L96">
            <v>4455733</v>
          </cell>
          <cell r="M96">
            <v>0</v>
          </cell>
          <cell r="N96">
            <v>116081.5</v>
          </cell>
          <cell r="O96">
            <v>114620.5</v>
          </cell>
          <cell r="P96">
            <v>0</v>
          </cell>
          <cell r="Q96">
            <v>1461</v>
          </cell>
          <cell r="R96">
            <v>3013836</v>
          </cell>
          <cell r="S96">
            <v>0</v>
          </cell>
          <cell r="T96">
            <v>61507</v>
          </cell>
          <cell r="U96">
            <v>0</v>
          </cell>
          <cell r="V96">
            <v>0</v>
          </cell>
          <cell r="W96">
            <v>0</v>
          </cell>
          <cell r="X96">
            <v>0</v>
          </cell>
          <cell r="Y96">
            <v>0</v>
          </cell>
          <cell r="Z96">
            <v>0</v>
          </cell>
          <cell r="AA96">
            <v>8628</v>
          </cell>
          <cell r="AB96">
            <v>0</v>
          </cell>
          <cell r="AC96">
            <v>176</v>
          </cell>
          <cell r="AD96">
            <v>0</v>
          </cell>
          <cell r="AE96">
            <v>0</v>
          </cell>
          <cell r="AF96">
            <v>0</v>
          </cell>
          <cell r="AG96">
            <v>0</v>
          </cell>
          <cell r="AH96">
            <v>0</v>
          </cell>
          <cell r="AI96">
            <v>0</v>
          </cell>
          <cell r="AM96">
            <v>0</v>
          </cell>
          <cell r="AN96">
            <v>0</v>
          </cell>
          <cell r="AO96">
            <v>0</v>
          </cell>
          <cell r="AP96">
            <v>737826</v>
          </cell>
          <cell r="AQ96">
            <v>0</v>
          </cell>
          <cell r="AR96">
            <v>13679</v>
          </cell>
          <cell r="AS96">
            <v>-954149</v>
          </cell>
          <cell r="AT96">
            <v>-935065</v>
          </cell>
          <cell r="AU96">
            <v>0</v>
          </cell>
          <cell r="AV96">
            <v>-19083</v>
          </cell>
          <cell r="AW96">
            <v>-1908297</v>
          </cell>
          <cell r="AX96">
            <v>-2136846</v>
          </cell>
          <cell r="AY96">
            <v>-2094107</v>
          </cell>
          <cell r="AZ96">
            <v>0</v>
          </cell>
          <cell r="BA96">
            <v>-42737</v>
          </cell>
          <cell r="BB96">
            <v>-4273690</v>
          </cell>
          <cell r="BC96">
            <v>105634164</v>
          </cell>
          <cell r="BD96">
            <v>-8451385</v>
          </cell>
          <cell r="BE96">
            <v>2776544</v>
          </cell>
          <cell r="BF96">
            <v>0</v>
          </cell>
          <cell r="BG96">
            <v>-3416063</v>
          </cell>
          <cell r="BH96">
            <v>-43406</v>
          </cell>
          <cell r="BI96">
            <v>-108100</v>
          </cell>
          <cell r="BJ96">
            <v>-96820</v>
          </cell>
          <cell r="BK96">
            <v>-2490571</v>
          </cell>
          <cell r="BL96">
            <v>-121663</v>
          </cell>
          <cell r="BM96">
            <v>-413082</v>
          </cell>
          <cell r="BN96">
            <v>-9517</v>
          </cell>
          <cell r="BO96">
            <v>-36540</v>
          </cell>
          <cell r="BP96">
            <v>-53582</v>
          </cell>
          <cell r="BQ96">
            <v>-208216</v>
          </cell>
          <cell r="BR96">
            <v>0</v>
          </cell>
          <cell r="BS96">
            <v>-191231</v>
          </cell>
          <cell r="BT96">
            <v>109898498</v>
          </cell>
          <cell r="BU96">
            <v>-375897</v>
          </cell>
          <cell r="BV96">
            <v>3761183</v>
          </cell>
          <cell r="BW96">
            <v>-2254454</v>
          </cell>
          <cell r="BX96">
            <v>-1349492</v>
          </cell>
          <cell r="BY96">
            <v>-1671018</v>
          </cell>
          <cell r="BZ96">
            <v>90913789</v>
          </cell>
          <cell r="CA96">
            <v>-674745</v>
          </cell>
          <cell r="CB96">
            <v>-661252</v>
          </cell>
          <cell r="CC96">
            <v>0</v>
          </cell>
          <cell r="CD96">
            <v>-13495</v>
          </cell>
          <cell r="CE96">
            <v>-835509</v>
          </cell>
          <cell r="CF96">
            <v>-818799</v>
          </cell>
          <cell r="CG96">
            <v>0</v>
          </cell>
          <cell r="CH96">
            <v>-16710</v>
          </cell>
        </row>
        <row r="97">
          <cell r="A97">
            <v>90</v>
          </cell>
          <cell r="B97" t="str">
            <v>East Staffordshire</v>
          </cell>
          <cell r="C97" t="str">
            <v>E3432</v>
          </cell>
          <cell r="D97">
            <v>175258</v>
          </cell>
          <cell r="H97">
            <v>-922055</v>
          </cell>
          <cell r="I97">
            <v>0</v>
          </cell>
          <cell r="J97">
            <v>175258</v>
          </cell>
          <cell r="K97">
            <v>0</v>
          </cell>
          <cell r="L97">
            <v>0</v>
          </cell>
          <cell r="M97">
            <v>0</v>
          </cell>
          <cell r="N97">
            <v>0</v>
          </cell>
          <cell r="O97">
            <v>0</v>
          </cell>
          <cell r="P97">
            <v>0</v>
          </cell>
          <cell r="Q97">
            <v>0</v>
          </cell>
          <cell r="R97">
            <v>706741</v>
          </cell>
          <cell r="S97">
            <v>159016</v>
          </cell>
          <cell r="T97">
            <v>17668</v>
          </cell>
          <cell r="U97">
            <v>1078</v>
          </cell>
          <cell r="V97">
            <v>243</v>
          </cell>
          <cell r="W97">
            <v>27</v>
          </cell>
          <cell r="X97">
            <v>1343</v>
          </cell>
          <cell r="Y97">
            <v>302</v>
          </cell>
          <cell r="Z97">
            <v>34</v>
          </cell>
          <cell r="AA97">
            <v>0</v>
          </cell>
          <cell r="AB97">
            <v>0</v>
          </cell>
          <cell r="AC97">
            <v>0</v>
          </cell>
          <cell r="AD97">
            <v>0</v>
          </cell>
          <cell r="AE97">
            <v>0</v>
          </cell>
          <cell r="AF97">
            <v>0</v>
          </cell>
          <cell r="AG97">
            <v>0</v>
          </cell>
          <cell r="AH97">
            <v>0</v>
          </cell>
          <cell r="AI97">
            <v>0</v>
          </cell>
          <cell r="AM97">
            <v>0</v>
          </cell>
          <cell r="AN97">
            <v>0</v>
          </cell>
          <cell r="AO97">
            <v>0</v>
          </cell>
          <cell r="AP97">
            <v>313510</v>
          </cell>
          <cell r="AQ97">
            <v>70540</v>
          </cell>
          <cell r="AR97">
            <v>7838</v>
          </cell>
          <cell r="AS97">
            <v>-295787</v>
          </cell>
          <cell r="AT97">
            <v>-236632</v>
          </cell>
          <cell r="AU97">
            <v>-53243</v>
          </cell>
          <cell r="AV97">
            <v>-5916</v>
          </cell>
          <cell r="AW97">
            <v>-591578</v>
          </cell>
          <cell r="AX97">
            <v>-2699503</v>
          </cell>
          <cell r="AY97">
            <v>-2159603</v>
          </cell>
          <cell r="AZ97">
            <v>-485912</v>
          </cell>
          <cell r="BA97">
            <v>-53991</v>
          </cell>
          <cell r="BB97">
            <v>-5399009</v>
          </cell>
          <cell r="BC97">
            <v>56810035</v>
          </cell>
          <cell r="BD97">
            <v>-2820981</v>
          </cell>
          <cell r="BE97">
            <v>1530643</v>
          </cell>
          <cell r="BF97">
            <v>0</v>
          </cell>
          <cell r="BG97">
            <v>-2000007</v>
          </cell>
          <cell r="BH97">
            <v>-58825</v>
          </cell>
          <cell r="BI97">
            <v>-4075</v>
          </cell>
          <cell r="BJ97">
            <v>-40080</v>
          </cell>
          <cell r="BK97">
            <v>-2240773</v>
          </cell>
          <cell r="BL97">
            <v>-68018</v>
          </cell>
          <cell r="BM97">
            <v>-28130</v>
          </cell>
          <cell r="BN97">
            <v>-5718</v>
          </cell>
          <cell r="BO97">
            <v>0</v>
          </cell>
          <cell r="BP97">
            <v>0</v>
          </cell>
          <cell r="BQ97">
            <v>0</v>
          </cell>
          <cell r="BR97">
            <v>0</v>
          </cell>
          <cell r="BS97">
            <v>0</v>
          </cell>
          <cell r="BT97">
            <v>57400930</v>
          </cell>
          <cell r="BU97">
            <v>-356338</v>
          </cell>
          <cell r="BV97">
            <v>1995558</v>
          </cell>
          <cell r="BW97">
            <v>-1951253</v>
          </cell>
          <cell r="BX97">
            <v>3092684</v>
          </cell>
          <cell r="BY97">
            <v>876671</v>
          </cell>
          <cell r="BZ97">
            <v>52177000</v>
          </cell>
          <cell r="CA97">
            <v>1546343</v>
          </cell>
          <cell r="CB97">
            <v>1237073</v>
          </cell>
          <cell r="CC97">
            <v>278341</v>
          </cell>
          <cell r="CD97">
            <v>30927</v>
          </cell>
          <cell r="CE97">
            <v>438336</v>
          </cell>
          <cell r="CF97">
            <v>350668</v>
          </cell>
          <cell r="CG97">
            <v>78900</v>
          </cell>
          <cell r="CH97">
            <v>8767</v>
          </cell>
        </row>
        <row r="98">
          <cell r="A98">
            <v>91</v>
          </cell>
          <cell r="B98" t="str">
            <v>Eastbourne</v>
          </cell>
          <cell r="C98" t="str">
            <v>E1432</v>
          </cell>
          <cell r="D98">
            <v>125525</v>
          </cell>
          <cell r="H98">
            <v>748643</v>
          </cell>
          <cell r="I98">
            <v>0</v>
          </cell>
          <cell r="J98">
            <v>125525</v>
          </cell>
          <cell r="K98">
            <v>0</v>
          </cell>
          <cell r="L98">
            <v>0</v>
          </cell>
          <cell r="M98">
            <v>0</v>
          </cell>
          <cell r="N98">
            <v>0</v>
          </cell>
          <cell r="O98">
            <v>0</v>
          </cell>
          <cell r="P98">
            <v>0</v>
          </cell>
          <cell r="Q98">
            <v>0</v>
          </cell>
          <cell r="R98">
            <v>567532</v>
          </cell>
          <cell r="S98">
            <v>127695</v>
          </cell>
          <cell r="T98">
            <v>14188</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M98">
            <v>0</v>
          </cell>
          <cell r="AN98">
            <v>0</v>
          </cell>
          <cell r="AO98">
            <v>0</v>
          </cell>
          <cell r="AP98">
            <v>214691</v>
          </cell>
          <cell r="AQ98">
            <v>48305</v>
          </cell>
          <cell r="AR98">
            <v>5367</v>
          </cell>
          <cell r="AS98">
            <v>-244644</v>
          </cell>
          <cell r="AT98">
            <v>-195716</v>
          </cell>
          <cell r="AU98">
            <v>-44036</v>
          </cell>
          <cell r="AV98">
            <v>-4892</v>
          </cell>
          <cell r="AW98">
            <v>-489288</v>
          </cell>
          <cell r="AX98">
            <v>-702682</v>
          </cell>
          <cell r="AY98">
            <v>-562148</v>
          </cell>
          <cell r="AZ98">
            <v>-126483</v>
          </cell>
          <cell r="BA98">
            <v>-14054</v>
          </cell>
          <cell r="BB98">
            <v>-1405367</v>
          </cell>
          <cell r="BC98">
            <v>32468161</v>
          </cell>
          <cell r="BD98">
            <v>-2120638</v>
          </cell>
          <cell r="BE98">
            <v>916833</v>
          </cell>
          <cell r="BF98">
            <v>0</v>
          </cell>
          <cell r="BG98">
            <v>-2922345</v>
          </cell>
          <cell r="BH98">
            <v>-121318</v>
          </cell>
          <cell r="BI98">
            <v>0</v>
          </cell>
          <cell r="BJ98">
            <v>0</v>
          </cell>
          <cell r="BK98">
            <v>-827799</v>
          </cell>
          <cell r="BL98">
            <v>-49495</v>
          </cell>
          <cell r="BM98">
            <v>-38989</v>
          </cell>
          <cell r="BN98">
            <v>0</v>
          </cell>
          <cell r="BO98">
            <v>0</v>
          </cell>
          <cell r="BP98">
            <v>0</v>
          </cell>
          <cell r="BQ98">
            <v>0</v>
          </cell>
          <cell r="BR98">
            <v>0</v>
          </cell>
          <cell r="BS98">
            <v>0</v>
          </cell>
          <cell r="BT98">
            <v>32645246</v>
          </cell>
          <cell r="BU98">
            <v>130525</v>
          </cell>
          <cell r="BV98">
            <v>1930966</v>
          </cell>
          <cell r="BW98">
            <v>-2807277</v>
          </cell>
          <cell r="BX98">
            <v>-2377045</v>
          </cell>
          <cell r="BY98">
            <v>-853666</v>
          </cell>
          <cell r="BZ98">
            <v>35730666</v>
          </cell>
          <cell r="CA98">
            <v>-1188522</v>
          </cell>
          <cell r="CB98">
            <v>-950819</v>
          </cell>
          <cell r="CC98">
            <v>-213934</v>
          </cell>
          <cell r="CD98">
            <v>-23770</v>
          </cell>
          <cell r="CE98">
            <v>-426833</v>
          </cell>
          <cell r="CF98">
            <v>-341466</v>
          </cell>
          <cell r="CG98">
            <v>-76830</v>
          </cell>
          <cell r="CH98">
            <v>-8537</v>
          </cell>
        </row>
        <row r="99">
          <cell r="A99">
            <v>92</v>
          </cell>
          <cell r="B99" t="str">
            <v>Eastleigh</v>
          </cell>
          <cell r="C99" t="str">
            <v>E1733</v>
          </cell>
          <cell r="D99">
            <v>145309</v>
          </cell>
          <cell r="H99">
            <v>-2311413</v>
          </cell>
          <cell r="I99">
            <v>0</v>
          </cell>
          <cell r="J99">
            <v>145309</v>
          </cell>
          <cell r="K99">
            <v>0</v>
          </cell>
          <cell r="L99">
            <v>0</v>
          </cell>
          <cell r="M99">
            <v>0</v>
          </cell>
          <cell r="N99">
            <v>0</v>
          </cell>
          <cell r="O99">
            <v>0</v>
          </cell>
          <cell r="P99">
            <v>0</v>
          </cell>
          <cell r="Q99">
            <v>0</v>
          </cell>
          <cell r="R99">
            <v>528320</v>
          </cell>
          <cell r="S99">
            <v>118872</v>
          </cell>
          <cell r="T99">
            <v>13208</v>
          </cell>
          <cell r="U99">
            <v>0</v>
          </cell>
          <cell r="V99">
            <v>0</v>
          </cell>
          <cell r="W99">
            <v>0</v>
          </cell>
          <cell r="X99">
            <v>0</v>
          </cell>
          <cell r="Y99">
            <v>0</v>
          </cell>
          <cell r="Z99">
            <v>0</v>
          </cell>
          <cell r="AA99">
            <v>1537</v>
          </cell>
          <cell r="AB99">
            <v>346</v>
          </cell>
          <cell r="AC99">
            <v>38</v>
          </cell>
          <cell r="AD99">
            <v>0</v>
          </cell>
          <cell r="AE99">
            <v>0</v>
          </cell>
          <cell r="AF99">
            <v>0</v>
          </cell>
          <cell r="AG99">
            <v>0</v>
          </cell>
          <cell r="AH99">
            <v>0</v>
          </cell>
          <cell r="AI99">
            <v>0</v>
          </cell>
          <cell r="AM99">
            <v>0</v>
          </cell>
          <cell r="AN99">
            <v>0</v>
          </cell>
          <cell r="AO99">
            <v>0</v>
          </cell>
          <cell r="AP99">
            <v>336146</v>
          </cell>
          <cell r="AQ99">
            <v>75633</v>
          </cell>
          <cell r="AR99">
            <v>8404</v>
          </cell>
          <cell r="AS99">
            <v>-237071</v>
          </cell>
          <cell r="AT99">
            <v>-189659</v>
          </cell>
          <cell r="AU99">
            <v>-42674</v>
          </cell>
          <cell r="AV99">
            <v>-4742</v>
          </cell>
          <cell r="AW99">
            <v>-474146</v>
          </cell>
          <cell r="AX99">
            <v>-2834233</v>
          </cell>
          <cell r="AY99">
            <v>-2267385</v>
          </cell>
          <cell r="AZ99">
            <v>-510162</v>
          </cell>
          <cell r="BA99">
            <v>-56685</v>
          </cell>
          <cell r="BB99">
            <v>-5668465</v>
          </cell>
          <cell r="BC99">
            <v>58663150</v>
          </cell>
          <cell r="BD99">
            <v>-1767835</v>
          </cell>
          <cell r="BE99">
            <v>1571401</v>
          </cell>
          <cell r="BF99">
            <v>0</v>
          </cell>
          <cell r="BG99">
            <v>-2199995</v>
          </cell>
          <cell r="BH99">
            <v>0</v>
          </cell>
          <cell r="BI99">
            <v>0</v>
          </cell>
          <cell r="BJ99">
            <v>-3830</v>
          </cell>
          <cell r="BK99">
            <v>-983077</v>
          </cell>
          <cell r="BL99">
            <v>-47954</v>
          </cell>
          <cell r="BM99">
            <v>-135184</v>
          </cell>
          <cell r="BN99">
            <v>0</v>
          </cell>
          <cell r="BO99">
            <v>0</v>
          </cell>
          <cell r="BP99">
            <v>0</v>
          </cell>
          <cell r="BQ99">
            <v>0</v>
          </cell>
          <cell r="BR99">
            <v>0</v>
          </cell>
          <cell r="BS99">
            <v>0</v>
          </cell>
          <cell r="BT99">
            <v>59533718</v>
          </cell>
          <cell r="BU99">
            <v>-445226</v>
          </cell>
          <cell r="BV99">
            <v>1019966</v>
          </cell>
          <cell r="BW99">
            <v>-1044033</v>
          </cell>
          <cell r="BX99">
            <v>-1609738</v>
          </cell>
          <cell r="BY99">
            <v>-2073759</v>
          </cell>
          <cell r="BZ99">
            <v>55944250</v>
          </cell>
          <cell r="CA99">
            <v>-804871</v>
          </cell>
          <cell r="CB99">
            <v>-643895</v>
          </cell>
          <cell r="CC99">
            <v>-144875</v>
          </cell>
          <cell r="CD99">
            <v>-16097</v>
          </cell>
          <cell r="CE99">
            <v>-1036879</v>
          </cell>
          <cell r="CF99">
            <v>-829504</v>
          </cell>
          <cell r="CG99">
            <v>-186638</v>
          </cell>
          <cell r="CH99">
            <v>-20738</v>
          </cell>
        </row>
        <row r="100">
          <cell r="A100">
            <v>93</v>
          </cell>
          <cell r="B100" t="str">
            <v>Eden</v>
          </cell>
          <cell r="C100" t="str">
            <v>E0935</v>
          </cell>
          <cell r="D100">
            <v>125987</v>
          </cell>
          <cell r="H100">
            <v>320990</v>
          </cell>
          <cell r="I100">
            <v>0</v>
          </cell>
          <cell r="J100">
            <v>125987</v>
          </cell>
          <cell r="K100">
            <v>0</v>
          </cell>
          <cell r="L100">
            <v>0</v>
          </cell>
          <cell r="M100">
            <v>0</v>
          </cell>
          <cell r="N100">
            <v>0</v>
          </cell>
          <cell r="O100">
            <v>0</v>
          </cell>
          <cell r="P100">
            <v>0</v>
          </cell>
          <cell r="Q100">
            <v>0</v>
          </cell>
          <cell r="R100">
            <v>662764</v>
          </cell>
          <cell r="S100">
            <v>165691</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M100">
            <v>0</v>
          </cell>
          <cell r="AN100">
            <v>0</v>
          </cell>
          <cell r="AO100">
            <v>0</v>
          </cell>
          <cell r="AP100">
            <v>125416</v>
          </cell>
          <cell r="AQ100">
            <v>31354</v>
          </cell>
          <cell r="AR100">
            <v>0</v>
          </cell>
          <cell r="AS100">
            <v>-77787</v>
          </cell>
          <cell r="AT100">
            <v>-62229</v>
          </cell>
          <cell r="AU100">
            <v>-15557</v>
          </cell>
          <cell r="AV100">
            <v>0</v>
          </cell>
          <cell r="AW100">
            <v>-155573</v>
          </cell>
          <cell r="AX100">
            <v>-155045.04000000004</v>
          </cell>
          <cell r="AY100">
            <v>-124035</v>
          </cell>
          <cell r="AZ100">
            <v>-31009</v>
          </cell>
          <cell r="BA100">
            <v>0</v>
          </cell>
          <cell r="BB100">
            <v>-310089</v>
          </cell>
          <cell r="BC100">
            <v>19888399</v>
          </cell>
          <cell r="BD100">
            <v>-2341524</v>
          </cell>
          <cell r="BE100">
            <v>531030</v>
          </cell>
          <cell r="BF100">
            <v>0</v>
          </cell>
          <cell r="BG100">
            <v>-1313659</v>
          </cell>
          <cell r="BH100">
            <v>-79384</v>
          </cell>
          <cell r="BI100">
            <v>-70770</v>
          </cell>
          <cell r="BJ100">
            <v>0</v>
          </cell>
          <cell r="BK100">
            <v>-544222</v>
          </cell>
          <cell r="BL100">
            <v>-50559</v>
          </cell>
          <cell r="BM100">
            <v>-35375</v>
          </cell>
          <cell r="BN100">
            <v>-1558</v>
          </cell>
          <cell r="BO100">
            <v>-34305</v>
          </cell>
          <cell r="BP100">
            <v>-3209</v>
          </cell>
          <cell r="BQ100">
            <v>0</v>
          </cell>
          <cell r="BR100">
            <v>0</v>
          </cell>
          <cell r="BS100">
            <v>0</v>
          </cell>
          <cell r="BT100">
            <v>18378392</v>
          </cell>
          <cell r="BU100">
            <v>-109335</v>
          </cell>
          <cell r="BV100">
            <v>711017</v>
          </cell>
          <cell r="BW100">
            <v>-100690</v>
          </cell>
          <cell r="BX100">
            <v>-2932676</v>
          </cell>
          <cell r="BY100">
            <v>-3027463</v>
          </cell>
          <cell r="BZ100">
            <v>20872730</v>
          </cell>
          <cell r="CA100">
            <v>-1466338</v>
          </cell>
          <cell r="CB100">
            <v>-1173070</v>
          </cell>
          <cell r="CC100">
            <v>-293268</v>
          </cell>
          <cell r="CD100">
            <v>0</v>
          </cell>
          <cell r="CE100">
            <v>-1513732</v>
          </cell>
          <cell r="CF100">
            <v>-1210985</v>
          </cell>
          <cell r="CG100">
            <v>-302746</v>
          </cell>
          <cell r="CH100">
            <v>0</v>
          </cell>
        </row>
        <row r="101">
          <cell r="A101">
            <v>94</v>
          </cell>
          <cell r="B101" t="str">
            <v>Elmbridge</v>
          </cell>
          <cell r="C101" t="str">
            <v>E3631</v>
          </cell>
          <cell r="D101">
            <v>183674</v>
          </cell>
          <cell r="H101">
            <v>5062654</v>
          </cell>
          <cell r="I101">
            <v>0</v>
          </cell>
          <cell r="J101">
            <v>183674</v>
          </cell>
          <cell r="K101">
            <v>0</v>
          </cell>
          <cell r="L101">
            <v>22549</v>
          </cell>
          <cell r="M101">
            <v>0</v>
          </cell>
          <cell r="N101">
            <v>0</v>
          </cell>
          <cell r="O101">
            <v>0</v>
          </cell>
          <cell r="P101">
            <v>0</v>
          </cell>
          <cell r="Q101">
            <v>0</v>
          </cell>
          <cell r="R101">
            <v>513906</v>
          </cell>
          <cell r="S101">
            <v>128477</v>
          </cell>
          <cell r="T101">
            <v>0</v>
          </cell>
          <cell r="U101">
            <v>405</v>
          </cell>
          <cell r="V101">
            <v>101</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M101">
            <v>0</v>
          </cell>
          <cell r="AN101">
            <v>0</v>
          </cell>
          <cell r="AO101">
            <v>0</v>
          </cell>
          <cell r="AP101">
            <v>382101</v>
          </cell>
          <cell r="AQ101">
            <v>95441</v>
          </cell>
          <cell r="AR101">
            <v>0</v>
          </cell>
          <cell r="AS101">
            <v>-167500</v>
          </cell>
          <cell r="AT101">
            <v>-134000</v>
          </cell>
          <cell r="AU101">
            <v>-33500</v>
          </cell>
          <cell r="AV101">
            <v>0</v>
          </cell>
          <cell r="AW101">
            <v>-335000</v>
          </cell>
          <cell r="AX101">
            <v>-2828412</v>
          </cell>
          <cell r="AY101">
            <v>-2262729</v>
          </cell>
          <cell r="AZ101">
            <v>-565683</v>
          </cell>
          <cell r="BA101">
            <v>0</v>
          </cell>
          <cell r="BB101">
            <v>-5656824</v>
          </cell>
          <cell r="BC101">
            <v>54037980</v>
          </cell>
          <cell r="BD101">
            <v>-2011536</v>
          </cell>
          <cell r="BE101">
            <v>1553160</v>
          </cell>
          <cell r="BF101">
            <v>0</v>
          </cell>
          <cell r="BG101">
            <v>-3715716</v>
          </cell>
          <cell r="BH101">
            <v>-54312</v>
          </cell>
          <cell r="BI101">
            <v>0</v>
          </cell>
          <cell r="BJ101">
            <v>-128273</v>
          </cell>
          <cell r="BK101">
            <v>-1774993</v>
          </cell>
          <cell r="BL101">
            <v>-107105</v>
          </cell>
          <cell r="BM101">
            <v>-327149</v>
          </cell>
          <cell r="BN101">
            <v>0</v>
          </cell>
          <cell r="BO101">
            <v>0</v>
          </cell>
          <cell r="BP101">
            <v>0</v>
          </cell>
          <cell r="BQ101">
            <v>0</v>
          </cell>
          <cell r="BR101">
            <v>0</v>
          </cell>
          <cell r="BS101">
            <v>0</v>
          </cell>
          <cell r="BT101">
            <v>57569306</v>
          </cell>
          <cell r="BU101">
            <v>-232501</v>
          </cell>
          <cell r="BV101">
            <v>622712</v>
          </cell>
          <cell r="BW101">
            <v>-1820847</v>
          </cell>
          <cell r="BX101">
            <v>268582</v>
          </cell>
          <cell r="BY101">
            <v>333496</v>
          </cell>
          <cell r="BZ101">
            <v>63536140</v>
          </cell>
          <cell r="CA101">
            <v>134291</v>
          </cell>
          <cell r="CB101">
            <v>107432</v>
          </cell>
          <cell r="CC101">
            <v>26859</v>
          </cell>
          <cell r="CD101">
            <v>0</v>
          </cell>
          <cell r="CE101">
            <v>166748</v>
          </cell>
          <cell r="CF101">
            <v>133398</v>
          </cell>
          <cell r="CG101">
            <v>33350</v>
          </cell>
          <cell r="CH101">
            <v>0</v>
          </cell>
        </row>
        <row r="102">
          <cell r="A102">
            <v>95</v>
          </cell>
          <cell r="B102" t="str">
            <v>Enfield</v>
          </cell>
          <cell r="C102" t="str">
            <v>E5037</v>
          </cell>
          <cell r="D102">
            <v>339782</v>
          </cell>
          <cell r="H102">
            <v>0</v>
          </cell>
          <cell r="I102">
            <v>0</v>
          </cell>
          <cell r="J102">
            <v>339782</v>
          </cell>
          <cell r="K102">
            <v>0</v>
          </cell>
          <cell r="L102">
            <v>0</v>
          </cell>
          <cell r="M102">
            <v>0</v>
          </cell>
          <cell r="N102">
            <v>0</v>
          </cell>
          <cell r="O102">
            <v>0</v>
          </cell>
          <cell r="P102">
            <v>0</v>
          </cell>
          <cell r="Q102">
            <v>0</v>
          </cell>
          <cell r="R102">
            <v>942111</v>
          </cell>
          <cell r="S102">
            <v>1161938</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M102">
            <v>0</v>
          </cell>
          <cell r="AN102">
            <v>0</v>
          </cell>
          <cell r="AO102">
            <v>0</v>
          </cell>
          <cell r="AP102">
            <v>514483</v>
          </cell>
          <cell r="AQ102">
            <v>634529</v>
          </cell>
          <cell r="AR102">
            <v>0</v>
          </cell>
          <cell r="AS102">
            <v>-1955768</v>
          </cell>
          <cell r="AT102">
            <v>-1173459</v>
          </cell>
          <cell r="AU102">
            <v>-782307</v>
          </cell>
          <cell r="AV102">
            <v>0</v>
          </cell>
          <cell r="AW102">
            <v>-3911534</v>
          </cell>
          <cell r="AX102">
            <v>-4038000.5</v>
          </cell>
          <cell r="AY102">
            <v>-2422799</v>
          </cell>
          <cell r="AZ102">
            <v>-1615200</v>
          </cell>
          <cell r="BA102">
            <v>0</v>
          </cell>
          <cell r="BB102">
            <v>-8075999.5</v>
          </cell>
          <cell r="BC102">
            <v>115566113</v>
          </cell>
          <cell r="BD102">
            <v>-3941858</v>
          </cell>
          <cell r="BE102">
            <v>2762918</v>
          </cell>
          <cell r="BF102">
            <v>0</v>
          </cell>
          <cell r="BG102">
            <v>-5709166</v>
          </cell>
          <cell r="BH102">
            <v>-117391</v>
          </cell>
          <cell r="BI102">
            <v>0</v>
          </cell>
          <cell r="BJ102">
            <v>0</v>
          </cell>
          <cell r="BK102">
            <v>-3272089</v>
          </cell>
          <cell r="BL102">
            <v>-212411</v>
          </cell>
          <cell r="BM102">
            <v>-193749</v>
          </cell>
          <cell r="BN102">
            <v>0</v>
          </cell>
          <cell r="BO102">
            <v>0</v>
          </cell>
          <cell r="BP102">
            <v>0</v>
          </cell>
          <cell r="BQ102">
            <v>0</v>
          </cell>
          <cell r="BR102">
            <v>0</v>
          </cell>
          <cell r="BS102">
            <v>0</v>
          </cell>
          <cell r="BT102">
            <v>111518565</v>
          </cell>
          <cell r="BU102">
            <v>-1074869</v>
          </cell>
          <cell r="BV102">
            <v>5824679</v>
          </cell>
          <cell r="BW102">
            <v>-3730370</v>
          </cell>
          <cell r="BX102">
            <v>2136913</v>
          </cell>
          <cell r="BY102">
            <v>-2542858</v>
          </cell>
          <cell r="BZ102">
            <v>114166246</v>
          </cell>
          <cell r="CA102">
            <v>1068457</v>
          </cell>
          <cell r="CB102">
            <v>641074</v>
          </cell>
          <cell r="CC102">
            <v>427382</v>
          </cell>
          <cell r="CD102">
            <v>0</v>
          </cell>
          <cell r="CE102">
            <v>-1271429</v>
          </cell>
          <cell r="CF102">
            <v>-762857</v>
          </cell>
          <cell r="CG102">
            <v>-508572</v>
          </cell>
          <cell r="CH102">
            <v>0</v>
          </cell>
        </row>
        <row r="103">
          <cell r="A103">
            <v>96</v>
          </cell>
          <cell r="B103" t="str">
            <v>Epping Forest</v>
          </cell>
          <cell r="C103" t="str">
            <v>E1537</v>
          </cell>
          <cell r="D103">
            <v>172654</v>
          </cell>
          <cell r="H103">
            <v>981919</v>
          </cell>
          <cell r="I103">
            <v>0</v>
          </cell>
          <cell r="J103">
            <v>172654</v>
          </cell>
          <cell r="K103">
            <v>0</v>
          </cell>
          <cell r="L103">
            <v>0</v>
          </cell>
          <cell r="M103">
            <v>0</v>
          </cell>
          <cell r="N103">
            <v>0</v>
          </cell>
          <cell r="O103">
            <v>0</v>
          </cell>
          <cell r="P103">
            <v>0</v>
          </cell>
          <cell r="Q103">
            <v>0</v>
          </cell>
          <cell r="R103">
            <v>799161</v>
          </cell>
          <cell r="S103">
            <v>179811</v>
          </cell>
          <cell r="T103">
            <v>19979</v>
          </cell>
          <cell r="U103">
            <v>1186</v>
          </cell>
          <cell r="V103">
            <v>267</v>
          </cell>
          <cell r="W103">
            <v>30</v>
          </cell>
          <cell r="X103">
            <v>0</v>
          </cell>
          <cell r="Y103">
            <v>0</v>
          </cell>
          <cell r="Z103">
            <v>0</v>
          </cell>
          <cell r="AA103">
            <v>0</v>
          </cell>
          <cell r="AB103">
            <v>0</v>
          </cell>
          <cell r="AC103">
            <v>0</v>
          </cell>
          <cell r="AD103">
            <v>0</v>
          </cell>
          <cell r="AE103">
            <v>0</v>
          </cell>
          <cell r="AF103">
            <v>0</v>
          </cell>
          <cell r="AG103">
            <v>0</v>
          </cell>
          <cell r="AH103">
            <v>0</v>
          </cell>
          <cell r="AI103">
            <v>0</v>
          </cell>
          <cell r="AM103">
            <v>0</v>
          </cell>
          <cell r="AN103">
            <v>0</v>
          </cell>
          <cell r="AO103">
            <v>0</v>
          </cell>
          <cell r="AP103">
            <v>208568</v>
          </cell>
          <cell r="AQ103">
            <v>46928</v>
          </cell>
          <cell r="AR103">
            <v>5214</v>
          </cell>
          <cell r="AS103">
            <v>-135474</v>
          </cell>
          <cell r="AT103">
            <v>-108378</v>
          </cell>
          <cell r="AU103">
            <v>-24386</v>
          </cell>
          <cell r="AV103">
            <v>-2710</v>
          </cell>
          <cell r="AW103">
            <v>-270948</v>
          </cell>
          <cell r="AX103">
            <v>-1754506</v>
          </cell>
          <cell r="AY103">
            <v>-1403607</v>
          </cell>
          <cell r="AZ103">
            <v>-315811</v>
          </cell>
          <cell r="BA103">
            <v>-35091</v>
          </cell>
          <cell r="BB103">
            <v>-3509015</v>
          </cell>
          <cell r="BC103">
            <v>35802219</v>
          </cell>
          <cell r="BD103">
            <v>-2726041</v>
          </cell>
          <cell r="BE103">
            <v>864671</v>
          </cell>
          <cell r="BF103">
            <v>0</v>
          </cell>
          <cell r="BG103">
            <v>-2363249</v>
          </cell>
          <cell r="BH103">
            <v>-33836</v>
          </cell>
          <cell r="BI103">
            <v>-9294</v>
          </cell>
          <cell r="BJ103">
            <v>0</v>
          </cell>
          <cell r="BK103">
            <v>-781463</v>
          </cell>
          <cell r="BL103">
            <v>-18054</v>
          </cell>
          <cell r="BM103">
            <v>-56452</v>
          </cell>
          <cell r="BN103">
            <v>0</v>
          </cell>
          <cell r="BO103">
            <v>-5576</v>
          </cell>
          <cell r="BP103">
            <v>-12235</v>
          </cell>
          <cell r="BQ103">
            <v>0</v>
          </cell>
          <cell r="BR103">
            <v>0</v>
          </cell>
          <cell r="BS103">
            <v>0</v>
          </cell>
          <cell r="BT103">
            <v>36181619</v>
          </cell>
          <cell r="BU103">
            <v>-290399</v>
          </cell>
          <cell r="BV103">
            <v>1112962</v>
          </cell>
          <cell r="BW103">
            <v>-1316220</v>
          </cell>
          <cell r="BX103">
            <v>-86994</v>
          </cell>
          <cell r="BY103">
            <v>-500341</v>
          </cell>
          <cell r="BZ103">
            <v>34711694</v>
          </cell>
          <cell r="CA103">
            <v>-43498</v>
          </cell>
          <cell r="CB103">
            <v>-34797</v>
          </cell>
          <cell r="CC103">
            <v>-7829</v>
          </cell>
          <cell r="CD103">
            <v>-870</v>
          </cell>
          <cell r="CE103">
            <v>-250171</v>
          </cell>
          <cell r="CF103">
            <v>-200136</v>
          </cell>
          <cell r="CG103">
            <v>-45031</v>
          </cell>
          <cell r="CH103">
            <v>-5003</v>
          </cell>
        </row>
        <row r="104">
          <cell r="A104">
            <v>97</v>
          </cell>
          <cell r="B104" t="str">
            <v>Epsom &amp; Ewell</v>
          </cell>
          <cell r="C104" t="str">
            <v>E3632</v>
          </cell>
          <cell r="D104">
            <v>83437</v>
          </cell>
          <cell r="H104">
            <v>277933</v>
          </cell>
          <cell r="I104">
            <v>0</v>
          </cell>
          <cell r="J104">
            <v>83437</v>
          </cell>
          <cell r="K104">
            <v>0</v>
          </cell>
          <cell r="L104">
            <v>0</v>
          </cell>
          <cell r="M104">
            <v>0</v>
          </cell>
          <cell r="N104">
            <v>0</v>
          </cell>
          <cell r="O104">
            <v>0</v>
          </cell>
          <cell r="P104">
            <v>0</v>
          </cell>
          <cell r="Q104">
            <v>0</v>
          </cell>
          <cell r="R104">
            <v>289507</v>
          </cell>
          <cell r="S104">
            <v>72377</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M104">
            <v>0</v>
          </cell>
          <cell r="AN104">
            <v>0</v>
          </cell>
          <cell r="AO104">
            <v>0</v>
          </cell>
          <cell r="AP104">
            <v>148262</v>
          </cell>
          <cell r="AQ104">
            <v>37065</v>
          </cell>
          <cell r="AR104">
            <v>0</v>
          </cell>
          <cell r="AS104">
            <v>-45511</v>
          </cell>
          <cell r="AT104">
            <v>-36408</v>
          </cell>
          <cell r="AU104">
            <v>-9101</v>
          </cell>
          <cell r="AV104">
            <v>0</v>
          </cell>
          <cell r="AW104">
            <v>-91020</v>
          </cell>
          <cell r="AX104">
            <v>-1062818</v>
          </cell>
          <cell r="AY104">
            <v>-850254</v>
          </cell>
          <cell r="AZ104">
            <v>-212565</v>
          </cell>
          <cell r="BA104">
            <v>0</v>
          </cell>
          <cell r="BB104">
            <v>-2125637</v>
          </cell>
          <cell r="BC104">
            <v>23193578</v>
          </cell>
          <cell r="BD104">
            <v>-1119399</v>
          </cell>
          <cell r="BE104">
            <v>668384</v>
          </cell>
          <cell r="BF104">
            <v>0</v>
          </cell>
          <cell r="BG104">
            <v>-2862916</v>
          </cell>
          <cell r="BH104">
            <v>-50296</v>
          </cell>
          <cell r="BI104">
            <v>0</v>
          </cell>
          <cell r="BJ104">
            <v>-11517</v>
          </cell>
          <cell r="BK104">
            <v>-851867</v>
          </cell>
          <cell r="BL104">
            <v>-89892</v>
          </cell>
          <cell r="BM104">
            <v>-590</v>
          </cell>
          <cell r="BN104">
            <v>-8817</v>
          </cell>
          <cell r="BO104">
            <v>0</v>
          </cell>
          <cell r="BP104">
            <v>0</v>
          </cell>
          <cell r="BQ104">
            <v>0</v>
          </cell>
          <cell r="BR104">
            <v>0</v>
          </cell>
          <cell r="BS104">
            <v>0</v>
          </cell>
          <cell r="BT104">
            <v>23580931</v>
          </cell>
          <cell r="BU104">
            <v>-81109</v>
          </cell>
          <cell r="BV104">
            <v>161385</v>
          </cell>
          <cell r="BW104">
            <v>-108894</v>
          </cell>
          <cell r="BX104">
            <v>-1032036</v>
          </cell>
          <cell r="BY104">
            <v>-341773</v>
          </cell>
          <cell r="BZ104">
            <v>24675012</v>
          </cell>
          <cell r="CA104">
            <v>-516019</v>
          </cell>
          <cell r="CB104">
            <v>-412814</v>
          </cell>
          <cell r="CC104">
            <v>-103203</v>
          </cell>
          <cell r="CD104">
            <v>0</v>
          </cell>
          <cell r="CE104">
            <v>-170887</v>
          </cell>
          <cell r="CF104">
            <v>-136709</v>
          </cell>
          <cell r="CG104">
            <v>-34177</v>
          </cell>
          <cell r="CH104">
            <v>0</v>
          </cell>
        </row>
        <row r="105">
          <cell r="A105">
            <v>98</v>
          </cell>
          <cell r="B105" t="str">
            <v>Erewash</v>
          </cell>
          <cell r="C105" t="str">
            <v>E1036</v>
          </cell>
          <cell r="D105">
            <v>134458</v>
          </cell>
          <cell r="H105">
            <v>-342248</v>
          </cell>
          <cell r="I105">
            <v>0</v>
          </cell>
          <cell r="J105">
            <v>134458</v>
          </cell>
          <cell r="K105">
            <v>0</v>
          </cell>
          <cell r="L105">
            <v>0</v>
          </cell>
          <cell r="M105">
            <v>0</v>
          </cell>
          <cell r="N105">
            <v>0</v>
          </cell>
          <cell r="O105">
            <v>0</v>
          </cell>
          <cell r="P105">
            <v>0</v>
          </cell>
          <cell r="Q105">
            <v>0</v>
          </cell>
          <cell r="R105">
            <v>834944</v>
          </cell>
          <cell r="S105">
            <v>187862</v>
          </cell>
          <cell r="T105">
            <v>20874</v>
          </cell>
          <cell r="U105">
            <v>609</v>
          </cell>
          <cell r="V105">
            <v>137</v>
          </cell>
          <cell r="W105">
            <v>15</v>
          </cell>
          <cell r="X105">
            <v>0</v>
          </cell>
          <cell r="Y105">
            <v>0</v>
          </cell>
          <cell r="Z105">
            <v>0</v>
          </cell>
          <cell r="AA105">
            <v>211</v>
          </cell>
          <cell r="AB105">
            <v>48</v>
          </cell>
          <cell r="AC105">
            <v>5</v>
          </cell>
          <cell r="AD105">
            <v>0</v>
          </cell>
          <cell r="AE105">
            <v>0</v>
          </cell>
          <cell r="AF105">
            <v>0</v>
          </cell>
          <cell r="AG105">
            <v>0</v>
          </cell>
          <cell r="AH105">
            <v>0</v>
          </cell>
          <cell r="AI105">
            <v>0</v>
          </cell>
          <cell r="AM105">
            <v>0</v>
          </cell>
          <cell r="AN105">
            <v>0</v>
          </cell>
          <cell r="AO105">
            <v>0</v>
          </cell>
          <cell r="AP105">
            <v>146851</v>
          </cell>
          <cell r="AQ105">
            <v>33042</v>
          </cell>
          <cell r="AR105">
            <v>3671</v>
          </cell>
          <cell r="AS105">
            <v>-343250</v>
          </cell>
          <cell r="AT105">
            <v>-274600</v>
          </cell>
          <cell r="AU105">
            <v>-61785</v>
          </cell>
          <cell r="AV105">
            <v>-6865</v>
          </cell>
          <cell r="AW105">
            <v>-686500</v>
          </cell>
          <cell r="AX105">
            <v>-508850</v>
          </cell>
          <cell r="AY105">
            <v>-407080</v>
          </cell>
          <cell r="AZ105">
            <v>-91593</v>
          </cell>
          <cell r="BA105">
            <v>-10177</v>
          </cell>
          <cell r="BB105">
            <v>-1017700</v>
          </cell>
          <cell r="BC105">
            <v>23846391</v>
          </cell>
          <cell r="BD105">
            <v>-2602214</v>
          </cell>
          <cell r="BE105">
            <v>639434</v>
          </cell>
          <cell r="BF105">
            <v>0</v>
          </cell>
          <cell r="BG105">
            <v>-1739482</v>
          </cell>
          <cell r="BH105">
            <v>-60892</v>
          </cell>
          <cell r="BI105">
            <v>-1230</v>
          </cell>
          <cell r="BJ105">
            <v>-3408</v>
          </cell>
          <cell r="BK105">
            <v>-662025</v>
          </cell>
          <cell r="BL105">
            <v>-18819</v>
          </cell>
          <cell r="BM105">
            <v>-37439</v>
          </cell>
          <cell r="BN105">
            <v>0</v>
          </cell>
          <cell r="BO105">
            <v>-1230</v>
          </cell>
          <cell r="BP105">
            <v>0</v>
          </cell>
          <cell r="BQ105">
            <v>0</v>
          </cell>
          <cell r="BR105">
            <v>0</v>
          </cell>
          <cell r="BS105">
            <v>0</v>
          </cell>
          <cell r="BT105">
            <v>24514648</v>
          </cell>
          <cell r="BU105">
            <v>-299675</v>
          </cell>
          <cell r="BV105">
            <v>1145410</v>
          </cell>
          <cell r="BW105">
            <v>-867561</v>
          </cell>
          <cell r="BX105">
            <v>-3297570</v>
          </cell>
          <cell r="BY105">
            <v>-2143695</v>
          </cell>
          <cell r="BZ105">
            <v>24440275</v>
          </cell>
          <cell r="CA105">
            <v>-1648785</v>
          </cell>
          <cell r="CB105">
            <v>-1319029</v>
          </cell>
          <cell r="CC105">
            <v>-296781</v>
          </cell>
          <cell r="CD105">
            <v>-32975</v>
          </cell>
          <cell r="CE105">
            <v>-1071847</v>
          </cell>
          <cell r="CF105">
            <v>-857478</v>
          </cell>
          <cell r="CG105">
            <v>-192933</v>
          </cell>
          <cell r="CH105">
            <v>-21437</v>
          </cell>
        </row>
        <row r="106">
          <cell r="A106">
            <v>99</v>
          </cell>
          <cell r="B106" t="str">
            <v>Exeter</v>
          </cell>
          <cell r="C106" t="str">
            <v>E1132</v>
          </cell>
          <cell r="D106">
            <v>215774</v>
          </cell>
          <cell r="H106">
            <v>-5394536</v>
          </cell>
          <cell r="I106">
            <v>0</v>
          </cell>
          <cell r="J106">
            <v>215774</v>
          </cell>
          <cell r="K106">
            <v>0</v>
          </cell>
          <cell r="L106">
            <v>0</v>
          </cell>
          <cell r="M106">
            <v>0</v>
          </cell>
          <cell r="N106">
            <v>0</v>
          </cell>
          <cell r="O106">
            <v>0</v>
          </cell>
          <cell r="P106">
            <v>0</v>
          </cell>
          <cell r="Q106">
            <v>0</v>
          </cell>
          <cell r="R106">
            <v>628227</v>
          </cell>
          <cell r="S106">
            <v>141351</v>
          </cell>
          <cell r="T106">
            <v>15706</v>
          </cell>
          <cell r="U106">
            <v>9451</v>
          </cell>
          <cell r="V106">
            <v>2126</v>
          </cell>
          <cell r="W106">
            <v>236</v>
          </cell>
          <cell r="X106">
            <v>0</v>
          </cell>
          <cell r="Y106">
            <v>0</v>
          </cell>
          <cell r="Z106">
            <v>0</v>
          </cell>
          <cell r="AA106">
            <v>1584</v>
          </cell>
          <cell r="AB106">
            <v>357</v>
          </cell>
          <cell r="AC106">
            <v>40</v>
          </cell>
          <cell r="AD106">
            <v>0</v>
          </cell>
          <cell r="AE106">
            <v>0</v>
          </cell>
          <cell r="AF106">
            <v>0</v>
          </cell>
          <cell r="AG106">
            <v>0</v>
          </cell>
          <cell r="AH106">
            <v>0</v>
          </cell>
          <cell r="AI106">
            <v>0</v>
          </cell>
          <cell r="AM106">
            <v>0</v>
          </cell>
          <cell r="AN106">
            <v>0</v>
          </cell>
          <cell r="AO106">
            <v>0</v>
          </cell>
          <cell r="AP106">
            <v>440057</v>
          </cell>
          <cell r="AQ106">
            <v>99013</v>
          </cell>
          <cell r="AR106">
            <v>11001</v>
          </cell>
          <cell r="AS106">
            <v>-105000</v>
          </cell>
          <cell r="AT106">
            <v>-84000</v>
          </cell>
          <cell r="AU106">
            <v>-18900</v>
          </cell>
          <cell r="AV106">
            <v>-2100</v>
          </cell>
          <cell r="AW106">
            <v>-210000</v>
          </cell>
          <cell r="AX106">
            <v>-573624</v>
          </cell>
          <cell r="AY106">
            <v>-458897</v>
          </cell>
          <cell r="AZ106">
            <v>-103253</v>
          </cell>
          <cell r="BA106">
            <v>-11472</v>
          </cell>
          <cell r="BB106">
            <v>-1147246</v>
          </cell>
          <cell r="BC106">
            <v>78330157</v>
          </cell>
          <cell r="BD106">
            <v>-2307494</v>
          </cell>
          <cell r="BE106">
            <v>2204525</v>
          </cell>
          <cell r="BF106">
            <v>0</v>
          </cell>
          <cell r="BG106">
            <v>-6459583</v>
          </cell>
          <cell r="BH106">
            <v>-36271</v>
          </cell>
          <cell r="BI106">
            <v>0</v>
          </cell>
          <cell r="BJ106">
            <v>-10533</v>
          </cell>
          <cell r="BK106">
            <v>-1971284</v>
          </cell>
          <cell r="BL106">
            <v>-234740</v>
          </cell>
          <cell r="BM106">
            <v>-56887</v>
          </cell>
          <cell r="BN106">
            <v>-3412</v>
          </cell>
          <cell r="BO106">
            <v>0</v>
          </cell>
          <cell r="BP106">
            <v>0</v>
          </cell>
          <cell r="BQ106">
            <v>0</v>
          </cell>
          <cell r="BR106">
            <v>0</v>
          </cell>
          <cell r="BS106">
            <v>0</v>
          </cell>
          <cell r="BT106">
            <v>78528933</v>
          </cell>
          <cell r="BU106">
            <v>0</v>
          </cell>
          <cell r="BV106">
            <v>2965661</v>
          </cell>
          <cell r="BW106">
            <v>-1470008</v>
          </cell>
          <cell r="BX106">
            <v>-833851</v>
          </cell>
          <cell r="BY106">
            <v>79877</v>
          </cell>
          <cell r="BZ106">
            <v>73238075</v>
          </cell>
          <cell r="CA106">
            <v>-416927</v>
          </cell>
          <cell r="CB106">
            <v>-333540</v>
          </cell>
          <cell r="CC106">
            <v>-75046</v>
          </cell>
          <cell r="CD106">
            <v>-8338</v>
          </cell>
          <cell r="CE106">
            <v>39938</v>
          </cell>
          <cell r="CF106">
            <v>31951</v>
          </cell>
          <cell r="CG106">
            <v>7189</v>
          </cell>
          <cell r="CH106">
            <v>799</v>
          </cell>
        </row>
        <row r="107">
          <cell r="A107">
            <v>100</v>
          </cell>
          <cell r="B107" t="str">
            <v>Fareham</v>
          </cell>
          <cell r="C107" t="str">
            <v>E1734</v>
          </cell>
          <cell r="D107">
            <v>138082</v>
          </cell>
          <cell r="H107">
            <v>-1955487</v>
          </cell>
          <cell r="I107">
            <v>49</v>
          </cell>
          <cell r="J107">
            <v>138082</v>
          </cell>
          <cell r="K107">
            <v>206050</v>
          </cell>
          <cell r="L107">
            <v>75611</v>
          </cell>
          <cell r="M107">
            <v>0</v>
          </cell>
          <cell r="N107">
            <v>318655</v>
          </cell>
          <cell r="O107">
            <v>318655</v>
          </cell>
          <cell r="P107">
            <v>0</v>
          </cell>
          <cell r="Q107">
            <v>0</v>
          </cell>
          <cell r="R107">
            <v>549811</v>
          </cell>
          <cell r="S107">
            <v>123708</v>
          </cell>
          <cell r="T107">
            <v>13745</v>
          </cell>
          <cell r="U107">
            <v>3123</v>
          </cell>
          <cell r="V107">
            <v>702</v>
          </cell>
          <cell r="W107">
            <v>78</v>
          </cell>
          <cell r="X107">
            <v>1219</v>
          </cell>
          <cell r="Y107">
            <v>274</v>
          </cell>
          <cell r="Z107">
            <v>30</v>
          </cell>
          <cell r="AA107">
            <v>1406</v>
          </cell>
          <cell r="AB107">
            <v>316</v>
          </cell>
          <cell r="AC107">
            <v>35</v>
          </cell>
          <cell r="AD107">
            <v>0</v>
          </cell>
          <cell r="AE107">
            <v>0</v>
          </cell>
          <cell r="AF107">
            <v>0</v>
          </cell>
          <cell r="AG107">
            <v>0</v>
          </cell>
          <cell r="AH107">
            <v>0</v>
          </cell>
          <cell r="AI107">
            <v>0</v>
          </cell>
          <cell r="AM107">
            <v>0</v>
          </cell>
          <cell r="AN107">
            <v>0</v>
          </cell>
          <cell r="AO107">
            <v>0</v>
          </cell>
          <cell r="AP107">
            <v>232435</v>
          </cell>
          <cell r="AQ107">
            <v>50269</v>
          </cell>
          <cell r="AR107">
            <v>5585</v>
          </cell>
          <cell r="AS107">
            <v>-192930.49</v>
          </cell>
          <cell r="AT107">
            <v>-154344</v>
          </cell>
          <cell r="AU107">
            <v>-34728</v>
          </cell>
          <cell r="AV107">
            <v>-3859</v>
          </cell>
          <cell r="AW107">
            <v>-385861.49</v>
          </cell>
          <cell r="AX107">
            <v>-3390586</v>
          </cell>
          <cell r="AY107">
            <v>-2712468</v>
          </cell>
          <cell r="AZ107">
            <v>-610304</v>
          </cell>
          <cell r="BA107">
            <v>-67811</v>
          </cell>
          <cell r="BB107">
            <v>-6781169</v>
          </cell>
          <cell r="BC107">
            <v>43021475</v>
          </cell>
          <cell r="BD107">
            <v>-1838648</v>
          </cell>
          <cell r="BE107">
            <v>1130956</v>
          </cell>
          <cell r="BF107">
            <v>0</v>
          </cell>
          <cell r="BG107">
            <v>-2767427</v>
          </cell>
          <cell r="BH107">
            <v>0</v>
          </cell>
          <cell r="BI107">
            <v>0</v>
          </cell>
          <cell r="BJ107">
            <v>-3251</v>
          </cell>
          <cell r="BK107">
            <v>-1028846</v>
          </cell>
          <cell r="BL107">
            <v>-149848</v>
          </cell>
          <cell r="BM107">
            <v>-478338</v>
          </cell>
          <cell r="BN107">
            <v>0</v>
          </cell>
          <cell r="BO107">
            <v>0</v>
          </cell>
          <cell r="BP107">
            <v>0</v>
          </cell>
          <cell r="BQ107">
            <v>-305159</v>
          </cell>
          <cell r="BR107">
            <v>-320123</v>
          </cell>
          <cell r="BS107">
            <v>0</v>
          </cell>
          <cell r="BT107">
            <v>40876479</v>
          </cell>
          <cell r="BU107">
            <v>-89982</v>
          </cell>
          <cell r="BV107">
            <v>908760</v>
          </cell>
          <cell r="BW107">
            <v>-1302986</v>
          </cell>
          <cell r="BX107">
            <v>-1058217</v>
          </cell>
          <cell r="BY107">
            <v>-1842311</v>
          </cell>
          <cell r="BZ107">
            <v>37183072</v>
          </cell>
          <cell r="CA107">
            <v>-529110</v>
          </cell>
          <cell r="CB107">
            <v>-423287</v>
          </cell>
          <cell r="CC107">
            <v>-95238</v>
          </cell>
          <cell r="CD107">
            <v>-10582</v>
          </cell>
          <cell r="CE107">
            <v>-921156</v>
          </cell>
          <cell r="CF107">
            <v>-736924</v>
          </cell>
          <cell r="CG107">
            <v>-165808</v>
          </cell>
          <cell r="CH107">
            <v>-18423</v>
          </cell>
        </row>
        <row r="108">
          <cell r="A108">
            <v>101</v>
          </cell>
          <cell r="B108" t="str">
            <v>Fenland</v>
          </cell>
          <cell r="C108" t="str">
            <v>E0533</v>
          </cell>
          <cell r="D108">
            <v>124366</v>
          </cell>
          <cell r="H108">
            <v>-441276</v>
          </cell>
          <cell r="I108">
            <v>0</v>
          </cell>
          <cell r="J108">
            <v>124366</v>
          </cell>
          <cell r="K108">
            <v>0</v>
          </cell>
          <cell r="L108">
            <v>253074</v>
          </cell>
          <cell r="M108">
            <v>0</v>
          </cell>
          <cell r="N108">
            <v>0</v>
          </cell>
          <cell r="O108">
            <v>0</v>
          </cell>
          <cell r="P108">
            <v>0</v>
          </cell>
          <cell r="Q108">
            <v>0</v>
          </cell>
          <cell r="R108">
            <v>656002</v>
          </cell>
          <cell r="S108">
            <v>147600</v>
          </cell>
          <cell r="T108">
            <v>16400</v>
          </cell>
          <cell r="U108">
            <v>521</v>
          </cell>
          <cell r="V108">
            <v>117</v>
          </cell>
          <cell r="W108">
            <v>13</v>
          </cell>
          <cell r="X108">
            <v>0</v>
          </cell>
          <cell r="Y108">
            <v>0</v>
          </cell>
          <cell r="Z108">
            <v>0</v>
          </cell>
          <cell r="AA108">
            <v>0</v>
          </cell>
          <cell r="AB108">
            <v>0</v>
          </cell>
          <cell r="AC108">
            <v>0</v>
          </cell>
          <cell r="AD108">
            <v>0</v>
          </cell>
          <cell r="AE108">
            <v>0</v>
          </cell>
          <cell r="AF108">
            <v>0</v>
          </cell>
          <cell r="AG108">
            <v>0</v>
          </cell>
          <cell r="AH108">
            <v>0</v>
          </cell>
          <cell r="AI108">
            <v>0</v>
          </cell>
          <cell r="AM108">
            <v>0</v>
          </cell>
          <cell r="AN108">
            <v>0</v>
          </cell>
          <cell r="AO108">
            <v>0</v>
          </cell>
          <cell r="AP108">
            <v>148788</v>
          </cell>
          <cell r="AQ108">
            <v>32622</v>
          </cell>
          <cell r="AR108">
            <v>3625</v>
          </cell>
          <cell r="AS108">
            <v>-362896.53</v>
          </cell>
          <cell r="AT108">
            <v>-290318</v>
          </cell>
          <cell r="AU108">
            <v>-65322</v>
          </cell>
          <cell r="AV108">
            <v>-7257</v>
          </cell>
          <cell r="AW108">
            <v>-725793.53</v>
          </cell>
          <cell r="AX108">
            <v>-1301573</v>
          </cell>
          <cell r="AY108">
            <v>-1041259</v>
          </cell>
          <cell r="AZ108">
            <v>-234284</v>
          </cell>
          <cell r="BA108">
            <v>-26033</v>
          </cell>
          <cell r="BB108">
            <v>-2603149</v>
          </cell>
          <cell r="BC108">
            <v>25352406</v>
          </cell>
          <cell r="BD108">
            <v>-2503813</v>
          </cell>
          <cell r="BE108">
            <v>688077</v>
          </cell>
          <cell r="BF108">
            <v>0</v>
          </cell>
          <cell r="BG108">
            <v>-1999520</v>
          </cell>
          <cell r="BH108">
            <v>-34154</v>
          </cell>
          <cell r="BI108">
            <v>-29715</v>
          </cell>
          <cell r="BJ108">
            <v>0</v>
          </cell>
          <cell r="BK108">
            <v>-552925</v>
          </cell>
          <cell r="BL108">
            <v>-28920</v>
          </cell>
          <cell r="BM108">
            <v>-65636</v>
          </cell>
          <cell r="BN108">
            <v>-1068</v>
          </cell>
          <cell r="BO108">
            <v>-23184</v>
          </cell>
          <cell r="BP108">
            <v>-16803</v>
          </cell>
          <cell r="BQ108">
            <v>0</v>
          </cell>
          <cell r="BR108">
            <v>0</v>
          </cell>
          <cell r="BS108">
            <v>0</v>
          </cell>
          <cell r="BT108">
            <v>25781187</v>
          </cell>
          <cell r="BU108">
            <v>-11370</v>
          </cell>
          <cell r="BV108">
            <v>1485217</v>
          </cell>
          <cell r="BW108">
            <v>-250806</v>
          </cell>
          <cell r="BX108">
            <v>-385693</v>
          </cell>
          <cell r="BY108">
            <v>-252629</v>
          </cell>
          <cell r="BZ108">
            <v>24086734</v>
          </cell>
          <cell r="CA108">
            <v>-192846</v>
          </cell>
          <cell r="CB108">
            <v>-154277</v>
          </cell>
          <cell r="CC108">
            <v>-34712</v>
          </cell>
          <cell r="CD108">
            <v>-3858</v>
          </cell>
          <cell r="CE108">
            <v>-126314</v>
          </cell>
          <cell r="CF108">
            <v>-101052</v>
          </cell>
          <cell r="CG108">
            <v>-22737</v>
          </cell>
          <cell r="CH108">
            <v>-2526</v>
          </cell>
        </row>
        <row r="109">
          <cell r="A109">
            <v>102</v>
          </cell>
          <cell r="B109" t="str">
            <v>Forest Heath</v>
          </cell>
          <cell r="C109" t="str">
            <v>E3532</v>
          </cell>
          <cell r="D109">
            <v>90908</v>
          </cell>
          <cell r="H109">
            <v>962712</v>
          </cell>
          <cell r="I109">
            <v>0</v>
          </cell>
          <cell r="J109">
            <v>90908</v>
          </cell>
          <cell r="K109">
            <v>0</v>
          </cell>
          <cell r="L109">
            <v>97797</v>
          </cell>
          <cell r="M109">
            <v>0</v>
          </cell>
          <cell r="N109">
            <v>0</v>
          </cell>
          <cell r="O109">
            <v>0</v>
          </cell>
          <cell r="P109">
            <v>0</v>
          </cell>
          <cell r="Q109">
            <v>0</v>
          </cell>
          <cell r="R109">
            <v>394037</v>
          </cell>
          <cell r="S109">
            <v>98509</v>
          </cell>
          <cell r="T109">
            <v>0</v>
          </cell>
          <cell r="U109">
            <v>537</v>
          </cell>
          <cell r="V109">
            <v>134</v>
          </cell>
          <cell r="W109">
            <v>0</v>
          </cell>
          <cell r="X109">
            <v>0</v>
          </cell>
          <cell r="Y109">
            <v>0</v>
          </cell>
          <cell r="Z109">
            <v>0</v>
          </cell>
          <cell r="AA109">
            <v>4172</v>
          </cell>
          <cell r="AB109">
            <v>1043</v>
          </cell>
          <cell r="AC109">
            <v>0</v>
          </cell>
          <cell r="AD109">
            <v>0</v>
          </cell>
          <cell r="AE109">
            <v>0</v>
          </cell>
          <cell r="AF109">
            <v>0</v>
          </cell>
          <cell r="AG109">
            <v>0</v>
          </cell>
          <cell r="AH109">
            <v>0</v>
          </cell>
          <cell r="AI109">
            <v>0</v>
          </cell>
          <cell r="AM109">
            <v>0</v>
          </cell>
          <cell r="AN109">
            <v>0</v>
          </cell>
          <cell r="AO109">
            <v>0</v>
          </cell>
          <cell r="AP109">
            <v>148722</v>
          </cell>
          <cell r="AQ109">
            <v>36813</v>
          </cell>
          <cell r="AR109">
            <v>0</v>
          </cell>
          <cell r="AS109">
            <v>-126108.6</v>
          </cell>
          <cell r="AT109">
            <v>-100885</v>
          </cell>
          <cell r="AU109">
            <v>-25220</v>
          </cell>
          <cell r="AV109">
            <v>0</v>
          </cell>
          <cell r="AW109">
            <v>-252213.59999999998</v>
          </cell>
          <cell r="AX109">
            <v>-474369</v>
          </cell>
          <cell r="AY109">
            <v>-379497</v>
          </cell>
          <cell r="AZ109">
            <v>-94873</v>
          </cell>
          <cell r="BA109">
            <v>0</v>
          </cell>
          <cell r="BB109">
            <v>-948739</v>
          </cell>
          <cell r="BC109">
            <v>23606981</v>
          </cell>
          <cell r="BD109">
            <v>-1452888</v>
          </cell>
          <cell r="BE109">
            <v>598844</v>
          </cell>
          <cell r="BF109">
            <v>0</v>
          </cell>
          <cell r="BG109">
            <v>-1151782</v>
          </cell>
          <cell r="BH109">
            <v>-13039</v>
          </cell>
          <cell r="BI109">
            <v>-13291</v>
          </cell>
          <cell r="BJ109">
            <v>-20950</v>
          </cell>
          <cell r="BK109">
            <v>-374510</v>
          </cell>
          <cell r="BL109">
            <v>-15143</v>
          </cell>
          <cell r="BM109">
            <v>-636</v>
          </cell>
          <cell r="BN109">
            <v>-579</v>
          </cell>
          <cell r="BO109">
            <v>-3575</v>
          </cell>
          <cell r="BP109">
            <v>0</v>
          </cell>
          <cell r="BQ109">
            <v>-1920</v>
          </cell>
          <cell r="BR109">
            <v>0</v>
          </cell>
          <cell r="BS109">
            <v>0</v>
          </cell>
          <cell r="BT109">
            <v>23847898</v>
          </cell>
          <cell r="BU109">
            <v>-181446</v>
          </cell>
          <cell r="BV109">
            <v>793300</v>
          </cell>
          <cell r="BW109">
            <v>-334673</v>
          </cell>
          <cell r="BX109">
            <v>2348480</v>
          </cell>
          <cell r="BY109">
            <v>1843030</v>
          </cell>
          <cell r="BZ109">
            <v>24507067</v>
          </cell>
          <cell r="CA109">
            <v>1174241</v>
          </cell>
          <cell r="CB109">
            <v>939391</v>
          </cell>
          <cell r="CC109">
            <v>234848</v>
          </cell>
          <cell r="CD109">
            <v>0</v>
          </cell>
          <cell r="CE109">
            <v>921515</v>
          </cell>
          <cell r="CF109">
            <v>737212</v>
          </cell>
          <cell r="CG109">
            <v>184303</v>
          </cell>
          <cell r="CH109">
            <v>0</v>
          </cell>
        </row>
        <row r="110">
          <cell r="A110">
            <v>103</v>
          </cell>
          <cell r="B110" t="str">
            <v>Forest of Dean</v>
          </cell>
          <cell r="C110" t="str">
            <v>E1633</v>
          </cell>
          <cell r="D110">
            <v>119111</v>
          </cell>
          <cell r="H110">
            <v>811542</v>
          </cell>
          <cell r="I110">
            <v>0</v>
          </cell>
          <cell r="J110">
            <v>119111</v>
          </cell>
          <cell r="K110">
            <v>0</v>
          </cell>
          <cell r="L110">
            <v>73768</v>
          </cell>
          <cell r="M110">
            <v>0</v>
          </cell>
          <cell r="N110">
            <v>0</v>
          </cell>
          <cell r="O110">
            <v>0</v>
          </cell>
          <cell r="P110">
            <v>0</v>
          </cell>
          <cell r="Q110">
            <v>0</v>
          </cell>
          <cell r="R110">
            <v>592151</v>
          </cell>
          <cell r="S110">
            <v>148038</v>
          </cell>
          <cell r="T110">
            <v>0</v>
          </cell>
          <cell r="U110">
            <v>1918</v>
          </cell>
          <cell r="V110">
            <v>479</v>
          </cell>
          <cell r="W110">
            <v>0</v>
          </cell>
          <cell r="X110">
            <v>812</v>
          </cell>
          <cell r="Y110">
            <v>203</v>
          </cell>
          <cell r="Z110">
            <v>0</v>
          </cell>
          <cell r="AA110">
            <v>0</v>
          </cell>
          <cell r="AB110">
            <v>0</v>
          </cell>
          <cell r="AC110">
            <v>0</v>
          </cell>
          <cell r="AD110">
            <v>0</v>
          </cell>
          <cell r="AE110">
            <v>0</v>
          </cell>
          <cell r="AF110">
            <v>0</v>
          </cell>
          <cell r="AG110">
            <v>0</v>
          </cell>
          <cell r="AH110">
            <v>0</v>
          </cell>
          <cell r="AI110">
            <v>0</v>
          </cell>
          <cell r="AM110">
            <v>0</v>
          </cell>
          <cell r="AN110">
            <v>0</v>
          </cell>
          <cell r="AO110">
            <v>0</v>
          </cell>
          <cell r="AP110">
            <v>76352</v>
          </cell>
          <cell r="AQ110">
            <v>18811</v>
          </cell>
          <cell r="AR110">
            <v>0</v>
          </cell>
          <cell r="AS110">
            <v>-135000</v>
          </cell>
          <cell r="AT110">
            <v>-107999</v>
          </cell>
          <cell r="AU110">
            <v>-27001</v>
          </cell>
          <cell r="AV110">
            <v>0</v>
          </cell>
          <cell r="AW110">
            <v>-270000</v>
          </cell>
          <cell r="AX110">
            <v>-253554</v>
          </cell>
          <cell r="AY110">
            <v>-202844</v>
          </cell>
          <cell r="AZ110">
            <v>-50712</v>
          </cell>
          <cell r="BA110">
            <v>0</v>
          </cell>
          <cell r="BB110">
            <v>-507110</v>
          </cell>
          <cell r="BC110">
            <v>12001499</v>
          </cell>
          <cell r="BD110">
            <v>-2511643</v>
          </cell>
          <cell r="BE110">
            <v>313745</v>
          </cell>
          <cell r="BF110">
            <v>0</v>
          </cell>
          <cell r="BG110">
            <v>-1612685</v>
          </cell>
          <cell r="BH110">
            <v>-6505</v>
          </cell>
          <cell r="BI110">
            <v>-49094</v>
          </cell>
          <cell r="BJ110">
            <v>-3121</v>
          </cell>
          <cell r="BK110">
            <v>-373414</v>
          </cell>
          <cell r="BL110">
            <v>-30296</v>
          </cell>
          <cell r="BM110">
            <v>-26661</v>
          </cell>
          <cell r="BN110">
            <v>-162</v>
          </cell>
          <cell r="BO110">
            <v>-12177</v>
          </cell>
          <cell r="BP110">
            <v>0</v>
          </cell>
          <cell r="BQ110">
            <v>0</v>
          </cell>
          <cell r="BR110">
            <v>0</v>
          </cell>
          <cell r="BS110">
            <v>0</v>
          </cell>
          <cell r="BT110">
            <v>11910268</v>
          </cell>
          <cell r="BU110">
            <v>-187463</v>
          </cell>
          <cell r="BV110">
            <v>410612</v>
          </cell>
          <cell r="BW110">
            <v>-134067</v>
          </cell>
          <cell r="BX110">
            <v>-437374</v>
          </cell>
          <cell r="BY110">
            <v>-286992</v>
          </cell>
          <cell r="BZ110">
            <v>12522675</v>
          </cell>
          <cell r="CA110">
            <v>-218688</v>
          </cell>
          <cell r="CB110">
            <v>-174949</v>
          </cell>
          <cell r="CC110">
            <v>-43737</v>
          </cell>
          <cell r="CD110">
            <v>0</v>
          </cell>
          <cell r="CE110">
            <v>-143496</v>
          </cell>
          <cell r="CF110">
            <v>-114797</v>
          </cell>
          <cell r="CG110">
            <v>-28699</v>
          </cell>
          <cell r="CH110">
            <v>0</v>
          </cell>
        </row>
        <row r="111">
          <cell r="A111">
            <v>104</v>
          </cell>
          <cell r="B111" t="str">
            <v>Fylde</v>
          </cell>
          <cell r="C111" t="str">
            <v>E2335</v>
          </cell>
          <cell r="D111">
            <v>112715</v>
          </cell>
          <cell r="H111">
            <v>-555386</v>
          </cell>
          <cell r="I111">
            <v>-119259</v>
          </cell>
          <cell r="J111">
            <v>112715</v>
          </cell>
          <cell r="K111">
            <v>0</v>
          </cell>
          <cell r="L111">
            <v>39531</v>
          </cell>
          <cell r="M111">
            <v>0</v>
          </cell>
          <cell r="N111">
            <v>39375</v>
          </cell>
          <cell r="O111">
            <v>39375</v>
          </cell>
          <cell r="P111">
            <v>0</v>
          </cell>
          <cell r="Q111">
            <v>0</v>
          </cell>
          <cell r="R111">
            <v>610611</v>
          </cell>
          <cell r="S111">
            <v>134742</v>
          </cell>
          <cell r="T111">
            <v>14971</v>
          </cell>
          <cell r="U111">
            <v>1380</v>
          </cell>
          <cell r="V111">
            <v>311</v>
          </cell>
          <cell r="W111">
            <v>35</v>
          </cell>
          <cell r="X111">
            <v>15077</v>
          </cell>
          <cell r="Y111">
            <v>3392</v>
          </cell>
          <cell r="Z111">
            <v>377</v>
          </cell>
          <cell r="AA111">
            <v>2483</v>
          </cell>
          <cell r="AB111">
            <v>559</v>
          </cell>
          <cell r="AC111">
            <v>62</v>
          </cell>
          <cell r="AD111">
            <v>0</v>
          </cell>
          <cell r="AE111">
            <v>0</v>
          </cell>
          <cell r="AF111">
            <v>0</v>
          </cell>
          <cell r="AG111">
            <v>0</v>
          </cell>
          <cell r="AH111">
            <v>0</v>
          </cell>
          <cell r="AI111">
            <v>0</v>
          </cell>
          <cell r="AM111">
            <v>0</v>
          </cell>
          <cell r="AN111">
            <v>0</v>
          </cell>
          <cell r="AO111">
            <v>0</v>
          </cell>
          <cell r="AP111">
            <v>147689</v>
          </cell>
          <cell r="AQ111">
            <v>32963</v>
          </cell>
          <cell r="AR111">
            <v>3663</v>
          </cell>
          <cell r="AS111">
            <v>-437111</v>
          </cell>
          <cell r="AT111">
            <v>-349691</v>
          </cell>
          <cell r="AU111">
            <v>-78681</v>
          </cell>
          <cell r="AV111">
            <v>-8743</v>
          </cell>
          <cell r="AW111">
            <v>-874226</v>
          </cell>
          <cell r="AX111">
            <v>-2461082</v>
          </cell>
          <cell r="AY111">
            <v>-1968866</v>
          </cell>
          <cell r="AZ111">
            <v>-442994</v>
          </cell>
          <cell r="BA111">
            <v>-49222</v>
          </cell>
          <cell r="BB111">
            <v>-4922164</v>
          </cell>
          <cell r="BC111">
            <v>31118974</v>
          </cell>
          <cell r="BD111">
            <v>-2290914</v>
          </cell>
          <cell r="BE111">
            <v>684420</v>
          </cell>
          <cell r="BF111">
            <v>0</v>
          </cell>
          <cell r="BG111">
            <v>-1241186</v>
          </cell>
          <cell r="BH111">
            <v>-7843</v>
          </cell>
          <cell r="BI111">
            <v>-7419</v>
          </cell>
          <cell r="BJ111">
            <v>0</v>
          </cell>
          <cell r="BK111">
            <v>-681160</v>
          </cell>
          <cell r="BL111">
            <v>-62589</v>
          </cell>
          <cell r="BM111">
            <v>-19294</v>
          </cell>
          <cell r="BN111">
            <v>-1073</v>
          </cell>
          <cell r="BO111">
            <v>-6445</v>
          </cell>
          <cell r="BP111">
            <v>0</v>
          </cell>
          <cell r="BQ111">
            <v>-50452</v>
          </cell>
          <cell r="BR111">
            <v>0</v>
          </cell>
          <cell r="BS111">
            <v>-50452</v>
          </cell>
          <cell r="BT111">
            <v>27169546</v>
          </cell>
          <cell r="BU111">
            <v>-191891</v>
          </cell>
          <cell r="BV111">
            <v>1844380</v>
          </cell>
          <cell r="BW111">
            <v>-929582</v>
          </cell>
          <cell r="BX111">
            <v>3504449</v>
          </cell>
          <cell r="BY111">
            <v>2828185</v>
          </cell>
          <cell r="BZ111">
            <v>24382463</v>
          </cell>
          <cell r="CA111">
            <v>1752224</v>
          </cell>
          <cell r="CB111">
            <v>1401780</v>
          </cell>
          <cell r="CC111">
            <v>315401</v>
          </cell>
          <cell r="CD111">
            <v>35044</v>
          </cell>
          <cell r="CE111">
            <v>1414092</v>
          </cell>
          <cell r="CF111">
            <v>1131274</v>
          </cell>
          <cell r="CG111">
            <v>254537</v>
          </cell>
          <cell r="CH111">
            <v>28282</v>
          </cell>
        </row>
        <row r="112">
          <cell r="A112">
            <v>105</v>
          </cell>
          <cell r="B112" t="str">
            <v>Gateshead</v>
          </cell>
          <cell r="C112" t="str">
            <v>E4501</v>
          </cell>
          <cell r="D112">
            <v>285107</v>
          </cell>
          <cell r="H112">
            <v>-2670074</v>
          </cell>
          <cell r="I112">
            <v>-1569</v>
          </cell>
          <cell r="J112">
            <v>285107</v>
          </cell>
          <cell r="K112">
            <v>481708</v>
          </cell>
          <cell r="L112">
            <v>0</v>
          </cell>
          <cell r="M112">
            <v>0</v>
          </cell>
          <cell r="N112">
            <v>0</v>
          </cell>
          <cell r="O112">
            <v>0</v>
          </cell>
          <cell r="P112">
            <v>0</v>
          </cell>
          <cell r="Q112">
            <v>0</v>
          </cell>
          <cell r="R112">
            <v>1346893</v>
          </cell>
          <cell r="S112">
            <v>0</v>
          </cell>
          <cell r="T112">
            <v>26735</v>
          </cell>
          <cell r="U112">
            <v>0</v>
          </cell>
          <cell r="V112">
            <v>0</v>
          </cell>
          <cell r="W112">
            <v>0</v>
          </cell>
          <cell r="X112">
            <v>0</v>
          </cell>
          <cell r="Y112">
            <v>0</v>
          </cell>
          <cell r="Z112">
            <v>0</v>
          </cell>
          <cell r="AA112">
            <v>18402</v>
          </cell>
          <cell r="AB112">
            <v>0</v>
          </cell>
          <cell r="AC112">
            <v>376</v>
          </cell>
          <cell r="AD112">
            <v>0</v>
          </cell>
          <cell r="AE112">
            <v>0</v>
          </cell>
          <cell r="AF112">
            <v>0</v>
          </cell>
          <cell r="AG112">
            <v>0</v>
          </cell>
          <cell r="AH112">
            <v>0</v>
          </cell>
          <cell r="AI112">
            <v>0</v>
          </cell>
          <cell r="AM112">
            <v>0</v>
          </cell>
          <cell r="AN112">
            <v>0</v>
          </cell>
          <cell r="AO112">
            <v>0</v>
          </cell>
          <cell r="AP112">
            <v>669670</v>
          </cell>
          <cell r="AQ112">
            <v>0</v>
          </cell>
          <cell r="AR112">
            <v>13519</v>
          </cell>
          <cell r="AS112">
            <v>-1582500</v>
          </cell>
          <cell r="AT112">
            <v>-1550850</v>
          </cell>
          <cell r="AU112">
            <v>0</v>
          </cell>
          <cell r="AV112">
            <v>-31650</v>
          </cell>
          <cell r="AW112">
            <v>-3165000</v>
          </cell>
          <cell r="AX112">
            <v>-1689937</v>
          </cell>
          <cell r="AY112">
            <v>-1656139</v>
          </cell>
          <cell r="AZ112">
            <v>0</v>
          </cell>
          <cell r="BA112">
            <v>-33799</v>
          </cell>
          <cell r="BB112">
            <v>-3379875</v>
          </cell>
          <cell r="BC112">
            <v>88480501</v>
          </cell>
          <cell r="BD112">
            <v>-4147847</v>
          </cell>
          <cell r="BE112">
            <v>2568725</v>
          </cell>
          <cell r="BF112">
            <v>0</v>
          </cell>
          <cell r="BG112">
            <v>-4092112</v>
          </cell>
          <cell r="BH112">
            <v>-87074</v>
          </cell>
          <cell r="BI112">
            <v>-10772</v>
          </cell>
          <cell r="BJ112">
            <v>-6608</v>
          </cell>
          <cell r="BK112">
            <v>-4403888</v>
          </cell>
          <cell r="BL112">
            <v>-118667</v>
          </cell>
          <cell r="BM112">
            <v>-49377</v>
          </cell>
          <cell r="BN112">
            <v>-736</v>
          </cell>
          <cell r="BO112">
            <v>0</v>
          </cell>
          <cell r="BP112">
            <v>0</v>
          </cell>
          <cell r="BQ112">
            <v>0</v>
          </cell>
          <cell r="BR112">
            <v>0</v>
          </cell>
          <cell r="BS112">
            <v>0</v>
          </cell>
          <cell r="BT112">
            <v>92890842</v>
          </cell>
          <cell r="BU112">
            <v>-3165000</v>
          </cell>
          <cell r="BV112">
            <v>4646834</v>
          </cell>
          <cell r="BW112">
            <v>-2284362</v>
          </cell>
          <cell r="BX112">
            <v>-7697184</v>
          </cell>
          <cell r="BY112">
            <v>-7117471</v>
          </cell>
          <cell r="BZ112">
            <v>89998370</v>
          </cell>
          <cell r="CA112">
            <v>-3848591</v>
          </cell>
          <cell r="CB112">
            <v>-3771621</v>
          </cell>
          <cell r="CC112">
            <v>0</v>
          </cell>
          <cell r="CD112">
            <v>-76972</v>
          </cell>
          <cell r="CE112">
            <v>-3558735</v>
          </cell>
          <cell r="CF112">
            <v>-3487561</v>
          </cell>
          <cell r="CG112">
            <v>0</v>
          </cell>
          <cell r="CH112">
            <v>-71175</v>
          </cell>
        </row>
        <row r="113">
          <cell r="A113">
            <v>106</v>
          </cell>
          <cell r="B113" t="str">
            <v>Gedling</v>
          </cell>
          <cell r="C113" t="str">
            <v>E3034</v>
          </cell>
          <cell r="D113">
            <v>100864</v>
          </cell>
          <cell r="H113">
            <v>532556.47</v>
          </cell>
          <cell r="I113">
            <v>0</v>
          </cell>
          <cell r="J113">
            <v>100864</v>
          </cell>
          <cell r="K113">
            <v>0</v>
          </cell>
          <cell r="L113">
            <v>74525</v>
          </cell>
          <cell r="M113">
            <v>0</v>
          </cell>
          <cell r="N113">
            <v>0</v>
          </cell>
          <cell r="O113">
            <v>0</v>
          </cell>
          <cell r="P113">
            <v>0</v>
          </cell>
          <cell r="Q113">
            <v>0</v>
          </cell>
          <cell r="R113">
            <v>451887</v>
          </cell>
          <cell r="S113">
            <v>101674</v>
          </cell>
          <cell r="T113">
            <v>11297</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M113">
            <v>0</v>
          </cell>
          <cell r="AN113">
            <v>0</v>
          </cell>
          <cell r="AO113">
            <v>0</v>
          </cell>
          <cell r="AP113">
            <v>139789</v>
          </cell>
          <cell r="AQ113">
            <v>31201</v>
          </cell>
          <cell r="AR113">
            <v>3467</v>
          </cell>
          <cell r="AS113">
            <v>-95437</v>
          </cell>
          <cell r="AT113">
            <v>-76351</v>
          </cell>
          <cell r="AU113">
            <v>-17180</v>
          </cell>
          <cell r="AV113">
            <v>-1908</v>
          </cell>
          <cell r="AW113">
            <v>-190876</v>
          </cell>
          <cell r="AX113">
            <v>-1297588</v>
          </cell>
          <cell r="AY113">
            <v>-1038070</v>
          </cell>
          <cell r="AZ113">
            <v>-233566</v>
          </cell>
          <cell r="BA113">
            <v>-25951</v>
          </cell>
          <cell r="BB113">
            <v>-2595175</v>
          </cell>
          <cell r="BC113">
            <v>21876415</v>
          </cell>
          <cell r="BD113">
            <v>-1737459</v>
          </cell>
          <cell r="BE113">
            <v>565261</v>
          </cell>
          <cell r="BF113">
            <v>0</v>
          </cell>
          <cell r="BG113">
            <v>-1346737</v>
          </cell>
          <cell r="BH113">
            <v>-49799</v>
          </cell>
          <cell r="BI113">
            <v>-478</v>
          </cell>
          <cell r="BJ113">
            <v>0</v>
          </cell>
          <cell r="BK113">
            <v>-412180</v>
          </cell>
          <cell r="BL113">
            <v>-76688</v>
          </cell>
          <cell r="BM113">
            <v>-45171</v>
          </cell>
          <cell r="BN113">
            <v>-5989</v>
          </cell>
          <cell r="BO113">
            <v>-5125</v>
          </cell>
          <cell r="BP113">
            <v>0</v>
          </cell>
          <cell r="BQ113">
            <v>0</v>
          </cell>
          <cell r="BR113">
            <v>0</v>
          </cell>
          <cell r="BS113">
            <v>0</v>
          </cell>
          <cell r="BT113">
            <v>22435020</v>
          </cell>
          <cell r="BU113">
            <v>-61680</v>
          </cell>
          <cell r="BV113">
            <v>432934</v>
          </cell>
          <cell r="BW113">
            <v>-320968</v>
          </cell>
          <cell r="BX113">
            <v>386600</v>
          </cell>
          <cell r="BY113">
            <v>583482</v>
          </cell>
          <cell r="BZ113">
            <v>23078503</v>
          </cell>
          <cell r="CA113">
            <v>193300</v>
          </cell>
          <cell r="CB113">
            <v>154640</v>
          </cell>
          <cell r="CC113">
            <v>34794</v>
          </cell>
          <cell r="CD113">
            <v>3866</v>
          </cell>
          <cell r="CE113">
            <v>291741</v>
          </cell>
          <cell r="CF113">
            <v>233393</v>
          </cell>
          <cell r="CG113">
            <v>52513</v>
          </cell>
          <cell r="CH113">
            <v>5835</v>
          </cell>
        </row>
        <row r="114">
          <cell r="A114">
            <v>107</v>
          </cell>
          <cell r="B114" t="str">
            <v>Gloucester</v>
          </cell>
          <cell r="C114" t="str">
            <v>E1634</v>
          </cell>
          <cell r="D114">
            <v>174575</v>
          </cell>
          <cell r="H114">
            <v>-2088773</v>
          </cell>
          <cell r="I114">
            <v>0</v>
          </cell>
          <cell r="J114">
            <v>174575</v>
          </cell>
          <cell r="K114">
            <v>0</v>
          </cell>
          <cell r="L114">
            <v>0</v>
          </cell>
          <cell r="M114">
            <v>0</v>
          </cell>
          <cell r="N114">
            <v>0</v>
          </cell>
          <cell r="O114">
            <v>0</v>
          </cell>
          <cell r="P114">
            <v>0</v>
          </cell>
          <cell r="Q114">
            <v>0</v>
          </cell>
          <cell r="R114">
            <v>633815</v>
          </cell>
          <cell r="S114">
            <v>158454</v>
          </cell>
          <cell r="T114">
            <v>0</v>
          </cell>
          <cell r="U114">
            <v>0</v>
          </cell>
          <cell r="V114">
            <v>0</v>
          </cell>
          <cell r="W114">
            <v>0</v>
          </cell>
          <cell r="X114">
            <v>318</v>
          </cell>
          <cell r="Y114">
            <v>79</v>
          </cell>
          <cell r="Z114">
            <v>0</v>
          </cell>
          <cell r="AA114">
            <v>654</v>
          </cell>
          <cell r="AB114">
            <v>164</v>
          </cell>
          <cell r="AC114">
            <v>0</v>
          </cell>
          <cell r="AD114">
            <v>0</v>
          </cell>
          <cell r="AE114">
            <v>0</v>
          </cell>
          <cell r="AF114">
            <v>0</v>
          </cell>
          <cell r="AG114">
            <v>0</v>
          </cell>
          <cell r="AH114">
            <v>0</v>
          </cell>
          <cell r="AI114">
            <v>0</v>
          </cell>
          <cell r="AM114">
            <v>0</v>
          </cell>
          <cell r="AN114">
            <v>0</v>
          </cell>
          <cell r="AO114">
            <v>0</v>
          </cell>
          <cell r="AP114">
            <v>314084</v>
          </cell>
          <cell r="AQ114">
            <v>78521</v>
          </cell>
          <cell r="AR114">
            <v>0</v>
          </cell>
          <cell r="AS114">
            <v>-845219</v>
          </cell>
          <cell r="AT114">
            <v>-676177</v>
          </cell>
          <cell r="AU114">
            <v>-169044</v>
          </cell>
          <cell r="AV114">
            <v>0</v>
          </cell>
          <cell r="AW114">
            <v>-1690440</v>
          </cell>
          <cell r="AX114">
            <v>-1483125</v>
          </cell>
          <cell r="AY114">
            <v>-1186499</v>
          </cell>
          <cell r="AZ114">
            <v>-296623</v>
          </cell>
          <cell r="BA114">
            <v>0</v>
          </cell>
          <cell r="BB114">
            <v>-2966247</v>
          </cell>
          <cell r="BC114">
            <v>51417625</v>
          </cell>
          <cell r="BD114">
            <v>-2084482</v>
          </cell>
          <cell r="BE114">
            <v>1474296</v>
          </cell>
          <cell r="BF114">
            <v>0</v>
          </cell>
          <cell r="BG114">
            <v>-3473845</v>
          </cell>
          <cell r="BH114">
            <v>-40277</v>
          </cell>
          <cell r="BI114">
            <v>0</v>
          </cell>
          <cell r="BJ114">
            <v>-41211</v>
          </cell>
          <cell r="BK114">
            <v>-2111495</v>
          </cell>
          <cell r="BL114">
            <v>-2311</v>
          </cell>
          <cell r="BM114">
            <v>-78277</v>
          </cell>
          <cell r="BN114">
            <v>0</v>
          </cell>
          <cell r="BO114">
            <v>0</v>
          </cell>
          <cell r="BP114">
            <v>0</v>
          </cell>
          <cell r="BQ114">
            <v>0</v>
          </cell>
          <cell r="BR114">
            <v>0</v>
          </cell>
          <cell r="BS114">
            <v>0</v>
          </cell>
          <cell r="BT114">
            <v>53012693</v>
          </cell>
          <cell r="BU114">
            <v>-29158</v>
          </cell>
          <cell r="BV114">
            <v>2469895</v>
          </cell>
          <cell r="BW114">
            <v>-1153394</v>
          </cell>
          <cell r="BX114">
            <v>-4306930</v>
          </cell>
          <cell r="BY114">
            <v>-3012265</v>
          </cell>
          <cell r="BZ114">
            <v>52272497</v>
          </cell>
          <cell r="CA114">
            <v>-2153465</v>
          </cell>
          <cell r="CB114">
            <v>-1722772</v>
          </cell>
          <cell r="CC114">
            <v>-430693</v>
          </cell>
          <cell r="CD114">
            <v>0</v>
          </cell>
          <cell r="CE114">
            <v>-1506132</v>
          </cell>
          <cell r="CF114">
            <v>-1204906</v>
          </cell>
          <cell r="CG114">
            <v>-301227</v>
          </cell>
          <cell r="CH114">
            <v>0</v>
          </cell>
        </row>
        <row r="115">
          <cell r="A115">
            <v>108</v>
          </cell>
          <cell r="B115" t="str">
            <v>Gosport</v>
          </cell>
          <cell r="C115" t="str">
            <v>E1735</v>
          </cell>
          <cell r="D115">
            <v>78069</v>
          </cell>
          <cell r="H115">
            <v>-283920</v>
          </cell>
          <cell r="I115">
            <v>-36333</v>
          </cell>
          <cell r="J115">
            <v>78069</v>
          </cell>
          <cell r="K115">
            <v>0</v>
          </cell>
          <cell r="L115">
            <v>0</v>
          </cell>
          <cell r="M115">
            <v>0</v>
          </cell>
          <cell r="N115">
            <v>64685</v>
          </cell>
          <cell r="O115">
            <v>64685</v>
          </cell>
          <cell r="P115">
            <v>0</v>
          </cell>
          <cell r="Q115">
            <v>0</v>
          </cell>
          <cell r="R115">
            <v>484458</v>
          </cell>
          <cell r="S115">
            <v>101155</v>
          </cell>
          <cell r="T115">
            <v>11239</v>
          </cell>
          <cell r="U115">
            <v>7105</v>
          </cell>
          <cell r="V115">
            <v>457</v>
          </cell>
          <cell r="W115">
            <v>51</v>
          </cell>
          <cell r="X115">
            <v>2030</v>
          </cell>
          <cell r="Y115">
            <v>457</v>
          </cell>
          <cell r="Z115">
            <v>51</v>
          </cell>
          <cell r="AA115">
            <v>23</v>
          </cell>
          <cell r="AB115">
            <v>5</v>
          </cell>
          <cell r="AC115">
            <v>1</v>
          </cell>
          <cell r="AD115">
            <v>0</v>
          </cell>
          <cell r="AE115">
            <v>0</v>
          </cell>
          <cell r="AF115">
            <v>0</v>
          </cell>
          <cell r="AG115">
            <v>0</v>
          </cell>
          <cell r="AH115">
            <v>0</v>
          </cell>
          <cell r="AI115">
            <v>0</v>
          </cell>
          <cell r="AM115">
            <v>0</v>
          </cell>
          <cell r="AN115">
            <v>0</v>
          </cell>
          <cell r="AO115">
            <v>0</v>
          </cell>
          <cell r="AP115">
            <v>88587</v>
          </cell>
          <cell r="AQ115">
            <v>19713</v>
          </cell>
          <cell r="AR115">
            <v>2190</v>
          </cell>
          <cell r="AS115">
            <v>-467600</v>
          </cell>
          <cell r="AT115">
            <v>-374080</v>
          </cell>
          <cell r="AU115">
            <v>-84168</v>
          </cell>
          <cell r="AV115">
            <v>-9352</v>
          </cell>
          <cell r="AW115">
            <v>-935200</v>
          </cell>
          <cell r="AX115">
            <v>-1389653</v>
          </cell>
          <cell r="AY115">
            <v>-1111721</v>
          </cell>
          <cell r="AZ115">
            <v>-250137</v>
          </cell>
          <cell r="BA115">
            <v>-27793</v>
          </cell>
          <cell r="BB115">
            <v>-2779304</v>
          </cell>
          <cell r="BC115">
            <v>16854820</v>
          </cell>
          <cell r="BD115">
            <v>-1422488</v>
          </cell>
          <cell r="BE115">
            <v>429166</v>
          </cell>
          <cell r="BF115">
            <v>0</v>
          </cell>
          <cell r="BG115">
            <v>-1158694</v>
          </cell>
          <cell r="BH115">
            <v>-15523</v>
          </cell>
          <cell r="BI115">
            <v>0</v>
          </cell>
          <cell r="BJ115">
            <v>0</v>
          </cell>
          <cell r="BK115">
            <v>-398307</v>
          </cell>
          <cell r="BL115">
            <v>-114660</v>
          </cell>
          <cell r="BM115">
            <v>-72260</v>
          </cell>
          <cell r="BN115">
            <v>0</v>
          </cell>
          <cell r="BO115">
            <v>0</v>
          </cell>
          <cell r="BP115">
            <v>0</v>
          </cell>
          <cell r="BQ115">
            <v>-120862</v>
          </cell>
          <cell r="BR115">
            <v>-111897</v>
          </cell>
          <cell r="BS115">
            <v>0</v>
          </cell>
          <cell r="BT115">
            <v>15234230</v>
          </cell>
          <cell r="BU115">
            <v>-115483</v>
          </cell>
          <cell r="BV115">
            <v>1165692</v>
          </cell>
          <cell r="BW115">
            <v>-37017</v>
          </cell>
          <cell r="BX115">
            <v>956283</v>
          </cell>
          <cell r="BY115">
            <v>1189948</v>
          </cell>
          <cell r="BZ115">
            <v>14581694</v>
          </cell>
          <cell r="CA115">
            <v>478142</v>
          </cell>
          <cell r="CB115">
            <v>382514</v>
          </cell>
          <cell r="CC115">
            <v>86065</v>
          </cell>
          <cell r="CD115">
            <v>9562</v>
          </cell>
          <cell r="CE115">
            <v>594975</v>
          </cell>
          <cell r="CF115">
            <v>475979</v>
          </cell>
          <cell r="CG115">
            <v>107095</v>
          </cell>
          <cell r="CH115">
            <v>11899</v>
          </cell>
        </row>
        <row r="116">
          <cell r="A116">
            <v>109</v>
          </cell>
          <cell r="B116" t="str">
            <v>Gravesham</v>
          </cell>
          <cell r="C116" t="str">
            <v>E2236</v>
          </cell>
          <cell r="D116">
            <v>94419</v>
          </cell>
          <cell r="H116">
            <v>-443714</v>
          </cell>
          <cell r="I116">
            <v>0</v>
          </cell>
          <cell r="J116">
            <v>94419</v>
          </cell>
          <cell r="K116">
            <v>0</v>
          </cell>
          <cell r="L116">
            <v>0</v>
          </cell>
          <cell r="M116">
            <v>0</v>
          </cell>
          <cell r="N116">
            <v>0</v>
          </cell>
          <cell r="O116">
            <v>0</v>
          </cell>
          <cell r="P116">
            <v>0</v>
          </cell>
          <cell r="Q116">
            <v>0</v>
          </cell>
          <cell r="R116">
            <v>468157</v>
          </cell>
          <cell r="S116">
            <v>105335</v>
          </cell>
          <cell r="T116">
            <v>11704</v>
          </cell>
          <cell r="U116">
            <v>0</v>
          </cell>
          <cell r="V116">
            <v>0</v>
          </cell>
          <cell r="W116">
            <v>0</v>
          </cell>
          <cell r="X116">
            <v>0</v>
          </cell>
          <cell r="Y116">
            <v>0</v>
          </cell>
          <cell r="Z116">
            <v>0</v>
          </cell>
          <cell r="AA116">
            <v>6027</v>
          </cell>
          <cell r="AB116">
            <v>1356</v>
          </cell>
          <cell r="AC116">
            <v>151</v>
          </cell>
          <cell r="AD116">
            <v>0</v>
          </cell>
          <cell r="AE116">
            <v>0</v>
          </cell>
          <cell r="AF116">
            <v>0</v>
          </cell>
          <cell r="AG116">
            <v>0</v>
          </cell>
          <cell r="AH116">
            <v>0</v>
          </cell>
          <cell r="AI116">
            <v>0</v>
          </cell>
          <cell r="AM116">
            <v>0</v>
          </cell>
          <cell r="AN116">
            <v>0</v>
          </cell>
          <cell r="AO116">
            <v>0</v>
          </cell>
          <cell r="AP116">
            <v>139488</v>
          </cell>
          <cell r="AQ116">
            <v>31385</v>
          </cell>
          <cell r="AR116">
            <v>3487</v>
          </cell>
          <cell r="AS116">
            <v>-528719</v>
          </cell>
          <cell r="AT116">
            <v>-422975.6</v>
          </cell>
          <cell r="AU116">
            <v>-95171</v>
          </cell>
          <cell r="AV116">
            <v>-10573</v>
          </cell>
          <cell r="AW116">
            <v>-1057439</v>
          </cell>
          <cell r="AX116">
            <v>-2317000</v>
          </cell>
          <cell r="AY116">
            <v>-1853600</v>
          </cell>
          <cell r="AZ116">
            <v>-417060</v>
          </cell>
          <cell r="BA116">
            <v>-46340</v>
          </cell>
          <cell r="BB116">
            <v>-4634000</v>
          </cell>
          <cell r="BC116">
            <v>23903819</v>
          </cell>
          <cell r="BD116">
            <v>-1724832</v>
          </cell>
          <cell r="BE116">
            <v>678214</v>
          </cell>
          <cell r="BF116">
            <v>0</v>
          </cell>
          <cell r="BG116">
            <v>-2498962</v>
          </cell>
          <cell r="BH116">
            <v>-39352</v>
          </cell>
          <cell r="BI116">
            <v>-8863</v>
          </cell>
          <cell r="BJ116">
            <v>0</v>
          </cell>
          <cell r="BK116">
            <v>-1033184</v>
          </cell>
          <cell r="BL116">
            <v>-103976</v>
          </cell>
          <cell r="BM116">
            <v>-17571</v>
          </cell>
          <cell r="BN116">
            <v>-226</v>
          </cell>
          <cell r="BO116">
            <v>-2988</v>
          </cell>
          <cell r="BP116">
            <v>0</v>
          </cell>
          <cell r="BQ116">
            <v>0</v>
          </cell>
          <cell r="BR116">
            <v>0</v>
          </cell>
          <cell r="BS116">
            <v>0</v>
          </cell>
          <cell r="BT116">
            <v>24806558</v>
          </cell>
          <cell r="BU116">
            <v>-231302</v>
          </cell>
          <cell r="BV116">
            <v>1194227</v>
          </cell>
          <cell r="BW116">
            <v>-17598</v>
          </cell>
          <cell r="BX116">
            <v>-391301</v>
          </cell>
          <cell r="BY116">
            <v>0</v>
          </cell>
          <cell r="BZ116">
            <v>23214803</v>
          </cell>
          <cell r="CA116">
            <v>-195652</v>
          </cell>
          <cell r="CB116">
            <v>-156519</v>
          </cell>
          <cell r="CC116">
            <v>-35216</v>
          </cell>
          <cell r="CD116">
            <v>-3914</v>
          </cell>
          <cell r="CE116">
            <v>0</v>
          </cell>
          <cell r="CF116">
            <v>0</v>
          </cell>
          <cell r="CG116">
            <v>0</v>
          </cell>
          <cell r="CH116">
            <v>0</v>
          </cell>
        </row>
        <row r="117">
          <cell r="A117">
            <v>110</v>
          </cell>
          <cell r="B117" t="str">
            <v>Great Yarmouth</v>
          </cell>
          <cell r="C117" t="str">
            <v>E2633</v>
          </cell>
          <cell r="D117">
            <v>179649</v>
          </cell>
          <cell r="H117">
            <v>-1818763</v>
          </cell>
          <cell r="I117">
            <v>-15630</v>
          </cell>
          <cell r="J117">
            <v>179649</v>
          </cell>
          <cell r="K117">
            <v>207196</v>
          </cell>
          <cell r="L117">
            <v>49763</v>
          </cell>
          <cell r="M117">
            <v>0</v>
          </cell>
          <cell r="N117">
            <v>509477</v>
          </cell>
          <cell r="O117">
            <v>509477</v>
          </cell>
          <cell r="P117">
            <v>0</v>
          </cell>
          <cell r="Q117">
            <v>0</v>
          </cell>
          <cell r="R117">
            <v>703464</v>
          </cell>
          <cell r="S117">
            <v>175866</v>
          </cell>
          <cell r="T117">
            <v>0</v>
          </cell>
          <cell r="U117">
            <v>0</v>
          </cell>
          <cell r="V117">
            <v>0</v>
          </cell>
          <cell r="W117">
            <v>0</v>
          </cell>
          <cell r="X117">
            <v>1420</v>
          </cell>
          <cell r="Y117">
            <v>355</v>
          </cell>
          <cell r="Z117">
            <v>0</v>
          </cell>
          <cell r="AA117">
            <v>185</v>
          </cell>
          <cell r="AB117">
            <v>46</v>
          </cell>
          <cell r="AC117">
            <v>0</v>
          </cell>
          <cell r="AD117">
            <v>0</v>
          </cell>
          <cell r="AE117">
            <v>0</v>
          </cell>
          <cell r="AF117">
            <v>0</v>
          </cell>
          <cell r="AG117">
            <v>0</v>
          </cell>
          <cell r="AH117">
            <v>0</v>
          </cell>
          <cell r="AI117">
            <v>0</v>
          </cell>
          <cell r="AM117">
            <v>0</v>
          </cell>
          <cell r="AN117">
            <v>0</v>
          </cell>
          <cell r="AO117">
            <v>0</v>
          </cell>
          <cell r="AP117">
            <v>179821</v>
          </cell>
          <cell r="AQ117">
            <v>42077</v>
          </cell>
          <cell r="AR117">
            <v>0</v>
          </cell>
          <cell r="AS117">
            <v>-17067.679999999993</v>
          </cell>
          <cell r="AT117">
            <v>-13653</v>
          </cell>
          <cell r="AU117">
            <v>-3412</v>
          </cell>
          <cell r="AV117">
            <v>0</v>
          </cell>
          <cell r="AW117">
            <v>-34132.679999999993</v>
          </cell>
          <cell r="AX117">
            <v>-5028775</v>
          </cell>
          <cell r="AY117">
            <v>-4023019</v>
          </cell>
          <cell r="AZ117">
            <v>-1005755</v>
          </cell>
          <cell r="BA117">
            <v>0</v>
          </cell>
          <cell r="BB117">
            <v>-10057549</v>
          </cell>
          <cell r="BC117">
            <v>33060664</v>
          </cell>
          <cell r="BD117">
            <v>-2829860</v>
          </cell>
          <cell r="BE117">
            <v>802973</v>
          </cell>
          <cell r="BF117">
            <v>0</v>
          </cell>
          <cell r="BG117">
            <v>-1919294</v>
          </cell>
          <cell r="BH117">
            <v>-19880</v>
          </cell>
          <cell r="BI117">
            <v>-979</v>
          </cell>
          <cell r="BJ117">
            <v>0</v>
          </cell>
          <cell r="BK117">
            <v>-1007968</v>
          </cell>
          <cell r="BL117">
            <v>-120778</v>
          </cell>
          <cell r="BM117">
            <v>-37092</v>
          </cell>
          <cell r="BN117">
            <v>0</v>
          </cell>
          <cell r="BO117">
            <v>-301</v>
          </cell>
          <cell r="BP117">
            <v>0</v>
          </cell>
          <cell r="BQ117">
            <v>-549905</v>
          </cell>
          <cell r="BR117">
            <v>-577867</v>
          </cell>
          <cell r="BS117">
            <v>0</v>
          </cell>
          <cell r="BT117">
            <v>30761736</v>
          </cell>
          <cell r="BU117">
            <v>-97466</v>
          </cell>
          <cell r="BV117">
            <v>1638589</v>
          </cell>
          <cell r="BW117">
            <v>-950278</v>
          </cell>
          <cell r="BX117">
            <v>1126113</v>
          </cell>
          <cell r="BY117">
            <v>783323</v>
          </cell>
          <cell r="BZ117">
            <v>28011276</v>
          </cell>
          <cell r="CA117">
            <v>563056</v>
          </cell>
          <cell r="CB117">
            <v>450446</v>
          </cell>
          <cell r="CC117">
            <v>112611</v>
          </cell>
          <cell r="CD117">
            <v>0</v>
          </cell>
          <cell r="CE117">
            <v>391662</v>
          </cell>
          <cell r="CF117">
            <v>313329</v>
          </cell>
          <cell r="CG117">
            <v>78332</v>
          </cell>
          <cell r="CH117">
            <v>0</v>
          </cell>
        </row>
        <row r="118">
          <cell r="A118">
            <v>111</v>
          </cell>
          <cell r="B118" t="str">
            <v>Greenwich</v>
          </cell>
          <cell r="C118" t="str">
            <v>E5012</v>
          </cell>
          <cell r="D118">
            <v>290353</v>
          </cell>
          <cell r="H118">
            <v>5551565</v>
          </cell>
          <cell r="I118">
            <v>0</v>
          </cell>
          <cell r="J118">
            <v>290353</v>
          </cell>
          <cell r="K118">
            <v>0</v>
          </cell>
          <cell r="L118">
            <v>0</v>
          </cell>
          <cell r="M118">
            <v>0</v>
          </cell>
          <cell r="N118">
            <v>0</v>
          </cell>
          <cell r="O118">
            <v>0</v>
          </cell>
          <cell r="P118">
            <v>0</v>
          </cell>
          <cell r="Q118">
            <v>0</v>
          </cell>
          <cell r="R118">
            <v>666390</v>
          </cell>
          <cell r="S118">
            <v>821881</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M118">
            <v>0</v>
          </cell>
          <cell r="AN118">
            <v>0</v>
          </cell>
          <cell r="AO118">
            <v>0</v>
          </cell>
          <cell r="AP118">
            <v>321300</v>
          </cell>
          <cell r="AQ118">
            <v>396269</v>
          </cell>
          <cell r="AR118">
            <v>0</v>
          </cell>
          <cell r="AS118">
            <v>-1099875</v>
          </cell>
          <cell r="AT118">
            <v>-659927</v>
          </cell>
          <cell r="AU118">
            <v>-439949</v>
          </cell>
          <cell r="AV118">
            <v>0</v>
          </cell>
          <cell r="AW118">
            <v>-2199751</v>
          </cell>
          <cell r="AX118">
            <v>-4823641</v>
          </cell>
          <cell r="AY118">
            <v>-2894185</v>
          </cell>
          <cell r="AZ118">
            <v>-1929457</v>
          </cell>
          <cell r="BA118">
            <v>0</v>
          </cell>
          <cell r="BB118">
            <v>-9647283</v>
          </cell>
          <cell r="BC118">
            <v>79429152</v>
          </cell>
          <cell r="BD118">
            <v>-3547817</v>
          </cell>
          <cell r="BE118">
            <v>2117272</v>
          </cell>
          <cell r="BF118">
            <v>0</v>
          </cell>
          <cell r="BG118">
            <v>-8975701</v>
          </cell>
          <cell r="BH118">
            <v>-118535</v>
          </cell>
          <cell r="BI118">
            <v>0</v>
          </cell>
          <cell r="BJ118">
            <v>-23810</v>
          </cell>
          <cell r="BK118">
            <v>-1499940</v>
          </cell>
          <cell r="BL118">
            <v>-574904</v>
          </cell>
          <cell r="BM118">
            <v>-44267</v>
          </cell>
          <cell r="BN118">
            <v>0</v>
          </cell>
          <cell r="BO118">
            <v>0</v>
          </cell>
          <cell r="BP118">
            <v>0</v>
          </cell>
          <cell r="BQ118">
            <v>-26584</v>
          </cell>
          <cell r="BR118">
            <v>0</v>
          </cell>
          <cell r="BS118">
            <v>0</v>
          </cell>
          <cell r="BT118">
            <v>82818217</v>
          </cell>
          <cell r="BU118">
            <v>-579901</v>
          </cell>
          <cell r="BV118">
            <v>3875519</v>
          </cell>
          <cell r="BW118">
            <v>-2855107</v>
          </cell>
          <cell r="BX118">
            <v>10610361</v>
          </cell>
          <cell r="BY118">
            <v>6766544</v>
          </cell>
          <cell r="BZ118">
            <v>71297893</v>
          </cell>
          <cell r="CA118">
            <v>5305181</v>
          </cell>
          <cell r="CB118">
            <v>3183108</v>
          </cell>
          <cell r="CC118">
            <v>2122072</v>
          </cell>
          <cell r="CD118">
            <v>0</v>
          </cell>
          <cell r="CE118">
            <v>3383272</v>
          </cell>
          <cell r="CF118">
            <v>2029963</v>
          </cell>
          <cell r="CG118">
            <v>1353309</v>
          </cell>
          <cell r="CH118">
            <v>0</v>
          </cell>
        </row>
        <row r="119">
          <cell r="A119">
            <v>112</v>
          </cell>
          <cell r="B119" t="str">
            <v>Guildford</v>
          </cell>
          <cell r="C119" t="str">
            <v>E3633</v>
          </cell>
          <cell r="D119">
            <v>231721</v>
          </cell>
          <cell r="H119">
            <v>2779137</v>
          </cell>
          <cell r="I119">
            <v>0</v>
          </cell>
          <cell r="J119">
            <v>231721</v>
          </cell>
          <cell r="K119">
            <v>0</v>
          </cell>
          <cell r="L119">
            <v>0</v>
          </cell>
          <cell r="M119">
            <v>0</v>
          </cell>
          <cell r="N119">
            <v>0</v>
          </cell>
          <cell r="O119">
            <v>0</v>
          </cell>
          <cell r="P119">
            <v>0</v>
          </cell>
          <cell r="Q119">
            <v>0</v>
          </cell>
          <cell r="R119">
            <v>521356</v>
          </cell>
          <cell r="S119">
            <v>130339</v>
          </cell>
          <cell r="T119">
            <v>0</v>
          </cell>
          <cell r="U119">
            <v>0</v>
          </cell>
          <cell r="V119">
            <v>0</v>
          </cell>
          <cell r="W119">
            <v>0</v>
          </cell>
          <cell r="X119">
            <v>0</v>
          </cell>
          <cell r="Y119">
            <v>0</v>
          </cell>
          <cell r="Z119">
            <v>0</v>
          </cell>
          <cell r="AA119">
            <v>9794</v>
          </cell>
          <cell r="AB119">
            <v>2449</v>
          </cell>
          <cell r="AC119">
            <v>0</v>
          </cell>
          <cell r="AD119">
            <v>0</v>
          </cell>
          <cell r="AE119">
            <v>0</v>
          </cell>
          <cell r="AF119">
            <v>0</v>
          </cell>
          <cell r="AG119">
            <v>0</v>
          </cell>
          <cell r="AH119">
            <v>0</v>
          </cell>
          <cell r="AI119">
            <v>0</v>
          </cell>
          <cell r="AM119">
            <v>0</v>
          </cell>
          <cell r="AN119">
            <v>0</v>
          </cell>
          <cell r="AO119">
            <v>0</v>
          </cell>
          <cell r="AP119">
            <v>529517</v>
          </cell>
          <cell r="AQ119">
            <v>132379</v>
          </cell>
          <cell r="AR119">
            <v>0</v>
          </cell>
          <cell r="AS119">
            <v>-450000</v>
          </cell>
          <cell r="AT119">
            <v>-360000</v>
          </cell>
          <cell r="AU119">
            <v>-90000</v>
          </cell>
          <cell r="AV119">
            <v>0</v>
          </cell>
          <cell r="AW119">
            <v>-900000</v>
          </cell>
          <cell r="AX119">
            <v>-4092641</v>
          </cell>
          <cell r="AY119">
            <v>-3274112</v>
          </cell>
          <cell r="AZ119">
            <v>-818529</v>
          </cell>
          <cell r="BA119">
            <v>0</v>
          </cell>
          <cell r="BB119">
            <v>-8185282</v>
          </cell>
          <cell r="BC119">
            <v>86433407</v>
          </cell>
          <cell r="BD119">
            <v>-1881418</v>
          </cell>
          <cell r="BE119">
            <v>2372388</v>
          </cell>
          <cell r="BF119">
            <v>0</v>
          </cell>
          <cell r="BG119">
            <v>-9042753</v>
          </cell>
          <cell r="BH119">
            <v>-37305</v>
          </cell>
          <cell r="BI119">
            <v>-18303</v>
          </cell>
          <cell r="BJ119">
            <v>0</v>
          </cell>
          <cell r="BK119">
            <v>-2309495</v>
          </cell>
          <cell r="BL119">
            <v>-142658</v>
          </cell>
          <cell r="BM119">
            <v>-5178</v>
          </cell>
          <cell r="BN119">
            <v>0</v>
          </cell>
          <cell r="BO119">
            <v>-18303</v>
          </cell>
          <cell r="BP119">
            <v>-17908</v>
          </cell>
          <cell r="BQ119">
            <v>0</v>
          </cell>
          <cell r="BR119">
            <v>0</v>
          </cell>
          <cell r="BS119">
            <v>0</v>
          </cell>
          <cell r="BT119">
            <v>81696936</v>
          </cell>
          <cell r="BU119">
            <v>0</v>
          </cell>
          <cell r="BV119">
            <v>160549</v>
          </cell>
          <cell r="BW119">
            <v>-2187260</v>
          </cell>
          <cell r="BX119">
            <v>-2778756</v>
          </cell>
          <cell r="BY119">
            <v>-1635037</v>
          </cell>
          <cell r="BZ119">
            <v>88126685</v>
          </cell>
          <cell r="CA119">
            <v>-1389378</v>
          </cell>
          <cell r="CB119">
            <v>-1111502</v>
          </cell>
          <cell r="CC119">
            <v>-277876</v>
          </cell>
          <cell r="CD119">
            <v>0</v>
          </cell>
          <cell r="CE119">
            <v>-817518</v>
          </cell>
          <cell r="CF119">
            <v>-654015</v>
          </cell>
          <cell r="CG119">
            <v>-163504</v>
          </cell>
          <cell r="CH119">
            <v>0</v>
          </cell>
        </row>
        <row r="120">
          <cell r="A120">
            <v>113</v>
          </cell>
          <cell r="B120" t="str">
            <v>Hackney</v>
          </cell>
          <cell r="C120" t="str">
            <v>E5013</v>
          </cell>
          <cell r="D120">
            <v>534739</v>
          </cell>
          <cell r="H120">
            <v>27268208</v>
          </cell>
          <cell r="I120">
            <v>0</v>
          </cell>
          <cell r="J120">
            <v>534739</v>
          </cell>
          <cell r="K120">
            <v>0</v>
          </cell>
          <cell r="L120">
            <v>0</v>
          </cell>
          <cell r="M120">
            <v>0</v>
          </cell>
          <cell r="N120">
            <v>0</v>
          </cell>
          <cell r="O120">
            <v>0</v>
          </cell>
          <cell r="P120">
            <v>0</v>
          </cell>
          <cell r="Q120">
            <v>0</v>
          </cell>
          <cell r="R120">
            <v>1147393</v>
          </cell>
          <cell r="S120">
            <v>1415117</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M120">
            <v>0</v>
          </cell>
          <cell r="AN120">
            <v>0</v>
          </cell>
          <cell r="AO120">
            <v>0</v>
          </cell>
          <cell r="AP120">
            <v>538823</v>
          </cell>
          <cell r="AQ120">
            <v>664549</v>
          </cell>
          <cell r="AR120">
            <v>0</v>
          </cell>
          <cell r="AS120">
            <v>-8683431</v>
          </cell>
          <cell r="AT120">
            <v>-5210059</v>
          </cell>
          <cell r="AU120">
            <v>-3473373</v>
          </cell>
          <cell r="AV120">
            <v>0</v>
          </cell>
          <cell r="AW120">
            <v>-17366863</v>
          </cell>
          <cell r="AX120">
            <v>-4877236</v>
          </cell>
          <cell r="AY120">
            <v>-2926344</v>
          </cell>
          <cell r="AZ120">
            <v>-1950895</v>
          </cell>
          <cell r="BA120">
            <v>0</v>
          </cell>
          <cell r="BB120">
            <v>-9754475</v>
          </cell>
          <cell r="BC120">
            <v>91899191</v>
          </cell>
          <cell r="BD120">
            <v>-5855913</v>
          </cell>
          <cell r="BE120">
            <v>2357816</v>
          </cell>
          <cell r="BF120">
            <v>0</v>
          </cell>
          <cell r="BG120">
            <v>-11914413</v>
          </cell>
          <cell r="BH120">
            <v>0</v>
          </cell>
          <cell r="BI120">
            <v>0</v>
          </cell>
          <cell r="BJ120">
            <v>0</v>
          </cell>
          <cell r="BK120">
            <v>-2796453</v>
          </cell>
          <cell r="BL120">
            <v>-243316</v>
          </cell>
          <cell r="BM120">
            <v>-18344</v>
          </cell>
          <cell r="BN120">
            <v>0</v>
          </cell>
          <cell r="BO120">
            <v>0</v>
          </cell>
          <cell r="BP120">
            <v>0</v>
          </cell>
          <cell r="BQ120">
            <v>0</v>
          </cell>
          <cell r="BR120">
            <v>0</v>
          </cell>
          <cell r="BS120">
            <v>0</v>
          </cell>
          <cell r="BT120">
            <v>95761735</v>
          </cell>
          <cell r="BU120">
            <v>0</v>
          </cell>
          <cell r="BV120">
            <v>24748993</v>
          </cell>
          <cell r="BW120">
            <v>-10839397</v>
          </cell>
          <cell r="BX120">
            <v>-5249668</v>
          </cell>
          <cell r="BY120">
            <v>-4060572</v>
          </cell>
          <cell r="BZ120">
            <v>119567434</v>
          </cell>
          <cell r="CA120">
            <v>-2624834</v>
          </cell>
          <cell r="CB120">
            <v>-1574901</v>
          </cell>
          <cell r="CC120">
            <v>-1049933</v>
          </cell>
          <cell r="CD120">
            <v>0</v>
          </cell>
          <cell r="CE120">
            <v>-2030286</v>
          </cell>
          <cell r="CF120">
            <v>-1218172</v>
          </cell>
          <cell r="CG120">
            <v>-812114</v>
          </cell>
          <cell r="CH120">
            <v>0</v>
          </cell>
        </row>
        <row r="121">
          <cell r="A121">
            <v>114</v>
          </cell>
          <cell r="B121" t="str">
            <v>Halton</v>
          </cell>
          <cell r="C121" t="str">
            <v>E0601</v>
          </cell>
          <cell r="D121">
            <v>157675</v>
          </cell>
          <cell r="H121">
            <v>3902936</v>
          </cell>
          <cell r="I121">
            <v>0</v>
          </cell>
          <cell r="J121">
            <v>157675</v>
          </cell>
          <cell r="K121">
            <v>0</v>
          </cell>
          <cell r="L121">
            <v>0</v>
          </cell>
          <cell r="M121">
            <v>0</v>
          </cell>
          <cell r="N121">
            <v>0</v>
          </cell>
          <cell r="O121">
            <v>0</v>
          </cell>
          <cell r="P121">
            <v>0</v>
          </cell>
          <cell r="Q121">
            <v>0</v>
          </cell>
          <cell r="R121">
            <v>1300512</v>
          </cell>
          <cell r="S121">
            <v>0</v>
          </cell>
          <cell r="T121">
            <v>13136</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M121">
            <v>0</v>
          </cell>
          <cell r="AN121">
            <v>0</v>
          </cell>
          <cell r="AO121">
            <v>0</v>
          </cell>
          <cell r="AP121">
            <v>747375</v>
          </cell>
          <cell r="AQ121">
            <v>0</v>
          </cell>
          <cell r="AR121">
            <v>7549</v>
          </cell>
          <cell r="AS121">
            <v>-1394205</v>
          </cell>
          <cell r="AT121">
            <v>-1366319</v>
          </cell>
          <cell r="AU121">
            <v>0</v>
          </cell>
          <cell r="AV121">
            <v>-27884</v>
          </cell>
          <cell r="AW121">
            <v>-2788408</v>
          </cell>
          <cell r="AX121">
            <v>-4014792</v>
          </cell>
          <cell r="AY121">
            <v>-3934496</v>
          </cell>
          <cell r="AZ121">
            <v>0</v>
          </cell>
          <cell r="BA121">
            <v>-80296</v>
          </cell>
          <cell r="BB121">
            <v>-8029584</v>
          </cell>
          <cell r="BC121">
            <v>59803423</v>
          </cell>
          <cell r="BD121">
            <v>-2060151</v>
          </cell>
          <cell r="BE121">
            <v>1599421</v>
          </cell>
          <cell r="BF121">
            <v>0</v>
          </cell>
          <cell r="BG121">
            <v>-2489855</v>
          </cell>
          <cell r="BH121">
            <v>-74451</v>
          </cell>
          <cell r="BI121">
            <v>-969</v>
          </cell>
          <cell r="BJ121">
            <v>-13423</v>
          </cell>
          <cell r="BK121">
            <v>-2080986</v>
          </cell>
          <cell r="BL121">
            <v>-61487</v>
          </cell>
          <cell r="BM121">
            <v>-87908</v>
          </cell>
          <cell r="BN121">
            <v>-10474</v>
          </cell>
          <cell r="BO121">
            <v>0</v>
          </cell>
          <cell r="BP121">
            <v>0</v>
          </cell>
          <cell r="BQ121">
            <v>-364714</v>
          </cell>
          <cell r="BR121">
            <v>-331185</v>
          </cell>
          <cell r="BS121">
            <v>-33529</v>
          </cell>
          <cell r="BT121">
            <v>58628151</v>
          </cell>
          <cell r="BU121">
            <v>-746014</v>
          </cell>
          <cell r="BV121">
            <v>4123116</v>
          </cell>
          <cell r="BW121">
            <v>-380183</v>
          </cell>
          <cell r="BX121">
            <v>7886615</v>
          </cell>
          <cell r="BY121">
            <v>390547</v>
          </cell>
          <cell r="BZ121">
            <v>50256370</v>
          </cell>
          <cell r="CA121">
            <v>3943308</v>
          </cell>
          <cell r="CB121">
            <v>3864441</v>
          </cell>
          <cell r="CC121">
            <v>0</v>
          </cell>
          <cell r="CD121">
            <v>78866</v>
          </cell>
          <cell r="CE121">
            <v>195274</v>
          </cell>
          <cell r="CF121">
            <v>191368</v>
          </cell>
          <cell r="CG121">
            <v>0</v>
          </cell>
          <cell r="CH121">
            <v>3905</v>
          </cell>
        </row>
        <row r="122">
          <cell r="A122">
            <v>115</v>
          </cell>
          <cell r="B122" t="str">
            <v>Hambleton</v>
          </cell>
          <cell r="C122" t="str">
            <v>E2732</v>
          </cell>
          <cell r="D122">
            <v>154954</v>
          </cell>
          <cell r="H122">
            <v>178721</v>
          </cell>
          <cell r="I122">
            <v>0</v>
          </cell>
          <cell r="J122">
            <v>154954</v>
          </cell>
          <cell r="K122">
            <v>0</v>
          </cell>
          <cell r="L122">
            <v>0</v>
          </cell>
          <cell r="M122">
            <v>0</v>
          </cell>
          <cell r="N122">
            <v>0</v>
          </cell>
          <cell r="O122">
            <v>0</v>
          </cell>
          <cell r="P122">
            <v>0</v>
          </cell>
          <cell r="Q122">
            <v>0</v>
          </cell>
          <cell r="R122">
            <v>767703</v>
          </cell>
          <cell r="S122">
            <v>172733</v>
          </cell>
          <cell r="T122">
            <v>19193</v>
          </cell>
          <cell r="U122">
            <v>4865</v>
          </cell>
          <cell r="V122">
            <v>1095</v>
          </cell>
          <cell r="W122">
            <v>122</v>
          </cell>
          <cell r="X122">
            <v>0</v>
          </cell>
          <cell r="Y122">
            <v>0</v>
          </cell>
          <cell r="Z122">
            <v>0</v>
          </cell>
          <cell r="AA122">
            <v>0</v>
          </cell>
          <cell r="AB122">
            <v>0</v>
          </cell>
          <cell r="AC122">
            <v>0</v>
          </cell>
          <cell r="AD122">
            <v>0</v>
          </cell>
          <cell r="AE122">
            <v>0</v>
          </cell>
          <cell r="AF122">
            <v>0</v>
          </cell>
          <cell r="AG122">
            <v>0</v>
          </cell>
          <cell r="AH122">
            <v>0</v>
          </cell>
          <cell r="AI122">
            <v>0</v>
          </cell>
          <cell r="AM122">
            <v>0</v>
          </cell>
          <cell r="AN122">
            <v>0</v>
          </cell>
          <cell r="AO122">
            <v>0</v>
          </cell>
          <cell r="AP122">
            <v>163760</v>
          </cell>
          <cell r="AQ122">
            <v>36846</v>
          </cell>
          <cell r="AR122">
            <v>4094</v>
          </cell>
          <cell r="AS122">
            <v>-116987</v>
          </cell>
          <cell r="AT122">
            <v>-93590</v>
          </cell>
          <cell r="AU122">
            <v>-21060</v>
          </cell>
          <cell r="AV122">
            <v>-2340</v>
          </cell>
          <cell r="AW122">
            <v>-233977</v>
          </cell>
          <cell r="AX122">
            <v>-730257</v>
          </cell>
          <cell r="AY122">
            <v>-584205</v>
          </cell>
          <cell r="AZ122">
            <v>-131445</v>
          </cell>
          <cell r="BA122">
            <v>-14604</v>
          </cell>
          <cell r="BB122">
            <v>-1460511</v>
          </cell>
          <cell r="BC122">
            <v>27240463</v>
          </cell>
          <cell r="BD122">
            <v>-2973690</v>
          </cell>
          <cell r="BE122">
            <v>670379</v>
          </cell>
          <cell r="BF122">
            <v>0</v>
          </cell>
          <cell r="BG122">
            <v>-945420</v>
          </cell>
          <cell r="BH122">
            <v>-102735</v>
          </cell>
          <cell r="BI122">
            <v>-70290</v>
          </cell>
          <cell r="BJ122">
            <v>0</v>
          </cell>
          <cell r="BK122">
            <v>-681583</v>
          </cell>
          <cell r="BL122">
            <v>-71497</v>
          </cell>
          <cell r="BM122">
            <v>-25765</v>
          </cell>
          <cell r="BN122">
            <v>-1398</v>
          </cell>
          <cell r="BO122">
            <v>-13080</v>
          </cell>
          <cell r="BP122">
            <v>-371</v>
          </cell>
          <cell r="BQ122">
            <v>0</v>
          </cell>
          <cell r="BR122">
            <v>0</v>
          </cell>
          <cell r="BS122">
            <v>0</v>
          </cell>
          <cell r="BT122">
            <v>27305505</v>
          </cell>
          <cell r="BU122">
            <v>-133615</v>
          </cell>
          <cell r="BV122">
            <v>671930</v>
          </cell>
          <cell r="BW122">
            <v>-625742</v>
          </cell>
          <cell r="BX122">
            <v>-164575</v>
          </cell>
          <cell r="BY122">
            <v>581059</v>
          </cell>
          <cell r="BZ122">
            <v>27254369</v>
          </cell>
          <cell r="CA122">
            <v>-82288</v>
          </cell>
          <cell r="CB122">
            <v>-65830</v>
          </cell>
          <cell r="CC122">
            <v>-14811</v>
          </cell>
          <cell r="CD122">
            <v>-1646</v>
          </cell>
          <cell r="CE122">
            <v>290529</v>
          </cell>
          <cell r="CF122">
            <v>232424</v>
          </cell>
          <cell r="CG122">
            <v>52295</v>
          </cell>
          <cell r="CH122">
            <v>5811</v>
          </cell>
        </row>
        <row r="123">
          <cell r="A123">
            <v>116</v>
          </cell>
          <cell r="B123" t="str">
            <v>Hammersmith and Fulham</v>
          </cell>
          <cell r="C123" t="str">
            <v>E5014</v>
          </cell>
          <cell r="D123">
            <v>584390</v>
          </cell>
          <cell r="H123">
            <v>25152301</v>
          </cell>
          <cell r="I123">
            <v>0</v>
          </cell>
          <cell r="J123">
            <v>584390</v>
          </cell>
          <cell r="K123">
            <v>0</v>
          </cell>
          <cell r="L123">
            <v>0</v>
          </cell>
          <cell r="M123">
            <v>0</v>
          </cell>
          <cell r="N123">
            <v>0</v>
          </cell>
          <cell r="O123">
            <v>0</v>
          </cell>
          <cell r="P123">
            <v>0</v>
          </cell>
          <cell r="Q123">
            <v>0</v>
          </cell>
          <cell r="R123">
            <v>550732</v>
          </cell>
          <cell r="S123">
            <v>679237</v>
          </cell>
          <cell r="T123">
            <v>0</v>
          </cell>
          <cell r="U123">
            <v>0</v>
          </cell>
          <cell r="V123">
            <v>0</v>
          </cell>
          <cell r="W123">
            <v>0</v>
          </cell>
          <cell r="X123">
            <v>114079</v>
          </cell>
          <cell r="Y123">
            <v>140698</v>
          </cell>
          <cell r="Z123">
            <v>0</v>
          </cell>
          <cell r="AA123">
            <v>8907</v>
          </cell>
          <cell r="AB123">
            <v>10984</v>
          </cell>
          <cell r="AC123">
            <v>0</v>
          </cell>
          <cell r="AD123">
            <v>0</v>
          </cell>
          <cell r="AE123">
            <v>0</v>
          </cell>
          <cell r="AF123">
            <v>0</v>
          </cell>
          <cell r="AG123">
            <v>0</v>
          </cell>
          <cell r="AH123">
            <v>0</v>
          </cell>
          <cell r="AI123">
            <v>0</v>
          </cell>
          <cell r="AM123">
            <v>0</v>
          </cell>
          <cell r="AN123">
            <v>0</v>
          </cell>
          <cell r="AO123">
            <v>0</v>
          </cell>
          <cell r="AP123">
            <v>1051865</v>
          </cell>
          <cell r="AQ123">
            <v>1297300</v>
          </cell>
          <cell r="AR123">
            <v>0</v>
          </cell>
          <cell r="AS123">
            <v>-7976974.4000000004</v>
          </cell>
          <cell r="AT123">
            <v>-4786187</v>
          </cell>
          <cell r="AU123">
            <v>-3190791</v>
          </cell>
          <cell r="AV123">
            <v>0</v>
          </cell>
          <cell r="AW123">
            <v>-15953952</v>
          </cell>
          <cell r="AX123">
            <v>-7862993</v>
          </cell>
          <cell r="AY123">
            <v>-4717796</v>
          </cell>
          <cell r="AZ123">
            <v>-3145199</v>
          </cell>
          <cell r="BA123">
            <v>0</v>
          </cell>
          <cell r="BB123">
            <v>-15725988</v>
          </cell>
          <cell r="BC123">
            <v>197001067</v>
          </cell>
          <cell r="BD123">
            <v>-2370135</v>
          </cell>
          <cell r="BE123">
            <v>4928695</v>
          </cell>
          <cell r="BF123">
            <v>0</v>
          </cell>
          <cell r="BG123">
            <v>-9019431</v>
          </cell>
          <cell r="BH123">
            <v>0</v>
          </cell>
          <cell r="BI123">
            <v>0</v>
          </cell>
          <cell r="BJ123">
            <v>-51087</v>
          </cell>
          <cell r="BK123">
            <v>-4341360</v>
          </cell>
          <cell r="BL123">
            <v>-49844</v>
          </cell>
          <cell r="BM123">
            <v>-79574</v>
          </cell>
          <cell r="BN123">
            <v>0</v>
          </cell>
          <cell r="BO123">
            <v>0</v>
          </cell>
          <cell r="BP123">
            <v>0</v>
          </cell>
          <cell r="BQ123">
            <v>0</v>
          </cell>
          <cell r="BR123">
            <v>0</v>
          </cell>
          <cell r="BS123">
            <v>0</v>
          </cell>
          <cell r="BT123">
            <v>181512134</v>
          </cell>
          <cell r="BU123">
            <v>-2249051</v>
          </cell>
          <cell r="BV123">
            <v>20268719.840000268</v>
          </cell>
          <cell r="BW123">
            <v>-18226507.300000004</v>
          </cell>
          <cell r="BX123">
            <v>15238389</v>
          </cell>
          <cell r="BY123">
            <v>13947815</v>
          </cell>
          <cell r="BZ123">
            <v>233413835</v>
          </cell>
          <cell r="CA123">
            <v>7619194</v>
          </cell>
          <cell r="CB123">
            <v>4571517</v>
          </cell>
          <cell r="CC123">
            <v>3047678</v>
          </cell>
          <cell r="CD123">
            <v>0</v>
          </cell>
          <cell r="CE123">
            <v>6973907</v>
          </cell>
          <cell r="CF123">
            <v>4184345</v>
          </cell>
          <cell r="CG123">
            <v>2789563</v>
          </cell>
          <cell r="CH123">
            <v>0</v>
          </cell>
        </row>
        <row r="124">
          <cell r="A124">
            <v>117</v>
          </cell>
          <cell r="B124" t="str">
            <v>Harborough</v>
          </cell>
          <cell r="C124" t="str">
            <v>E2433</v>
          </cell>
          <cell r="D124">
            <v>127153</v>
          </cell>
          <cell r="H124">
            <v>1886707</v>
          </cell>
          <cell r="I124">
            <v>0</v>
          </cell>
          <cell r="J124">
            <v>127153</v>
          </cell>
          <cell r="K124">
            <v>0</v>
          </cell>
          <cell r="L124">
            <v>33000</v>
          </cell>
          <cell r="M124">
            <v>0</v>
          </cell>
          <cell r="N124">
            <v>0</v>
          </cell>
          <cell r="O124">
            <v>0</v>
          </cell>
          <cell r="P124">
            <v>0</v>
          </cell>
          <cell r="Q124">
            <v>0</v>
          </cell>
          <cell r="R124">
            <v>473898</v>
          </cell>
          <cell r="S124">
            <v>106627</v>
          </cell>
          <cell r="T124">
            <v>11847</v>
          </cell>
          <cell r="U124">
            <v>800</v>
          </cell>
          <cell r="V124">
            <v>180</v>
          </cell>
          <cell r="W124">
            <v>20</v>
          </cell>
          <cell r="X124">
            <v>0</v>
          </cell>
          <cell r="Y124">
            <v>0</v>
          </cell>
          <cell r="Z124">
            <v>0</v>
          </cell>
          <cell r="AA124">
            <v>0</v>
          </cell>
          <cell r="AB124">
            <v>0</v>
          </cell>
          <cell r="AC124">
            <v>0</v>
          </cell>
          <cell r="AD124">
            <v>0</v>
          </cell>
          <cell r="AE124">
            <v>0</v>
          </cell>
          <cell r="AF124">
            <v>0</v>
          </cell>
          <cell r="AG124">
            <v>0</v>
          </cell>
          <cell r="AH124">
            <v>0</v>
          </cell>
          <cell r="AI124">
            <v>0</v>
          </cell>
          <cell r="AM124">
            <v>0</v>
          </cell>
          <cell r="AN124">
            <v>0</v>
          </cell>
          <cell r="AO124">
            <v>0</v>
          </cell>
          <cell r="AP124">
            <v>239121</v>
          </cell>
          <cell r="AQ124">
            <v>53691</v>
          </cell>
          <cell r="AR124">
            <v>5966</v>
          </cell>
          <cell r="AS124">
            <v>-18498</v>
          </cell>
          <cell r="AT124">
            <v>-14797</v>
          </cell>
          <cell r="AU124">
            <v>-3330</v>
          </cell>
          <cell r="AV124">
            <v>-370</v>
          </cell>
          <cell r="AW124">
            <v>-36995</v>
          </cell>
          <cell r="AX124">
            <v>-2557499</v>
          </cell>
          <cell r="AY124">
            <v>-2046001</v>
          </cell>
          <cell r="AZ124">
            <v>-460351</v>
          </cell>
          <cell r="BA124">
            <v>-51150</v>
          </cell>
          <cell r="BB124">
            <v>-5115001</v>
          </cell>
          <cell r="BC124">
            <v>40198120</v>
          </cell>
          <cell r="BD124">
            <v>-1922308</v>
          </cell>
          <cell r="BE124">
            <v>1029403</v>
          </cell>
          <cell r="BF124">
            <v>0</v>
          </cell>
          <cell r="BG124">
            <v>-1729231</v>
          </cell>
          <cell r="BH124">
            <v>-43169</v>
          </cell>
          <cell r="BI124">
            <v>-34821</v>
          </cell>
          <cell r="BJ124">
            <v>0</v>
          </cell>
          <cell r="BK124">
            <v>-1266100</v>
          </cell>
          <cell r="BL124">
            <v>-23557</v>
          </cell>
          <cell r="BM124">
            <v>-33902</v>
          </cell>
          <cell r="BN124">
            <v>-10792</v>
          </cell>
          <cell r="BO124">
            <v>-34821</v>
          </cell>
          <cell r="BP124">
            <v>-3933</v>
          </cell>
          <cell r="BQ124">
            <v>0</v>
          </cell>
          <cell r="BR124">
            <v>0</v>
          </cell>
          <cell r="BS124">
            <v>0</v>
          </cell>
          <cell r="BT124">
            <v>39853972</v>
          </cell>
          <cell r="BU124">
            <v>-64903</v>
          </cell>
          <cell r="BV124">
            <v>291093</v>
          </cell>
          <cell r="BW124">
            <v>-510330</v>
          </cell>
          <cell r="BX124">
            <v>855530</v>
          </cell>
          <cell r="BY124">
            <v>-1443497</v>
          </cell>
          <cell r="BZ124">
            <v>39714012</v>
          </cell>
          <cell r="CA124">
            <v>427764</v>
          </cell>
          <cell r="CB124">
            <v>342212</v>
          </cell>
          <cell r="CC124">
            <v>76998</v>
          </cell>
          <cell r="CD124">
            <v>8556</v>
          </cell>
          <cell r="CE124">
            <v>-721748</v>
          </cell>
          <cell r="CF124">
            <v>-577399</v>
          </cell>
          <cell r="CG124">
            <v>-129915</v>
          </cell>
          <cell r="CH124">
            <v>-14435</v>
          </cell>
        </row>
        <row r="125">
          <cell r="A125">
            <v>118</v>
          </cell>
          <cell r="B125" t="str">
            <v>Haringey</v>
          </cell>
          <cell r="C125" t="str">
            <v>E5038</v>
          </cell>
          <cell r="D125">
            <v>309182</v>
          </cell>
          <cell r="H125">
            <v>8304922</v>
          </cell>
          <cell r="I125">
            <v>0</v>
          </cell>
          <cell r="J125">
            <v>309182</v>
          </cell>
          <cell r="K125">
            <v>0</v>
          </cell>
          <cell r="L125">
            <v>0</v>
          </cell>
          <cell r="M125">
            <v>0</v>
          </cell>
          <cell r="N125">
            <v>0</v>
          </cell>
          <cell r="O125">
            <v>0</v>
          </cell>
          <cell r="P125">
            <v>0</v>
          </cell>
          <cell r="Q125">
            <v>0</v>
          </cell>
          <cell r="R125">
            <v>1024279</v>
          </cell>
          <cell r="S125">
            <v>1263278</v>
          </cell>
          <cell r="T125">
            <v>0</v>
          </cell>
          <cell r="U125">
            <v>3504</v>
          </cell>
          <cell r="V125">
            <v>4322</v>
          </cell>
          <cell r="W125">
            <v>0</v>
          </cell>
          <cell r="X125">
            <v>23028</v>
          </cell>
          <cell r="Y125">
            <v>28401</v>
          </cell>
          <cell r="Z125">
            <v>0</v>
          </cell>
          <cell r="AA125">
            <v>6593</v>
          </cell>
          <cell r="AB125">
            <v>8130</v>
          </cell>
          <cell r="AC125">
            <v>0</v>
          </cell>
          <cell r="AD125">
            <v>0</v>
          </cell>
          <cell r="AE125">
            <v>0</v>
          </cell>
          <cell r="AF125">
            <v>0</v>
          </cell>
          <cell r="AG125">
            <v>0</v>
          </cell>
          <cell r="AH125">
            <v>0</v>
          </cell>
          <cell r="AI125">
            <v>0</v>
          </cell>
          <cell r="AM125">
            <v>0</v>
          </cell>
          <cell r="AN125">
            <v>0</v>
          </cell>
          <cell r="AO125">
            <v>0</v>
          </cell>
          <cell r="AP125">
            <v>324967</v>
          </cell>
          <cell r="AQ125">
            <v>400792</v>
          </cell>
          <cell r="AR125">
            <v>0</v>
          </cell>
          <cell r="AS125">
            <v>-2484222.37</v>
          </cell>
          <cell r="AT125">
            <v>-1490534</v>
          </cell>
          <cell r="AU125">
            <v>-993689</v>
          </cell>
          <cell r="AV125">
            <v>0</v>
          </cell>
          <cell r="AW125">
            <v>-4968445.37</v>
          </cell>
          <cell r="AX125">
            <v>-4753463</v>
          </cell>
          <cell r="AY125">
            <v>-2852075</v>
          </cell>
          <cell r="AZ125">
            <v>-1901385</v>
          </cell>
          <cell r="BA125">
            <v>0</v>
          </cell>
          <cell r="BB125">
            <v>-9506923</v>
          </cell>
          <cell r="BC125">
            <v>68173356</v>
          </cell>
          <cell r="BD125">
            <v>-4577107</v>
          </cell>
          <cell r="BE125">
            <v>1569362</v>
          </cell>
          <cell r="BF125">
            <v>0</v>
          </cell>
          <cell r="BG125">
            <v>-5992703</v>
          </cell>
          <cell r="BH125">
            <v>-30277</v>
          </cell>
          <cell r="BI125">
            <v>0</v>
          </cell>
          <cell r="BJ125">
            <v>0</v>
          </cell>
          <cell r="BK125">
            <v>-1419521</v>
          </cell>
          <cell r="BL125">
            <v>-340936</v>
          </cell>
          <cell r="BM125">
            <v>-263875</v>
          </cell>
          <cell r="BN125">
            <v>0</v>
          </cell>
          <cell r="BO125">
            <v>0</v>
          </cell>
          <cell r="BP125">
            <v>0</v>
          </cell>
          <cell r="BQ125">
            <v>0</v>
          </cell>
          <cell r="BR125">
            <v>0</v>
          </cell>
          <cell r="BS125">
            <v>0</v>
          </cell>
          <cell r="BT125">
            <v>66311996</v>
          </cell>
          <cell r="BU125">
            <v>-1504770</v>
          </cell>
          <cell r="BV125">
            <v>8601312</v>
          </cell>
          <cell r="BW125">
            <v>-8994973</v>
          </cell>
          <cell r="BX125">
            <v>1221476.9299999997</v>
          </cell>
          <cell r="BY125">
            <v>1501170</v>
          </cell>
          <cell r="BZ125">
            <v>72111637</v>
          </cell>
          <cell r="CA125">
            <v>610738.9299999997</v>
          </cell>
          <cell r="CB125">
            <v>366443</v>
          </cell>
          <cell r="CC125">
            <v>244295</v>
          </cell>
          <cell r="CD125">
            <v>0</v>
          </cell>
          <cell r="CE125">
            <v>750585</v>
          </cell>
          <cell r="CF125">
            <v>450351</v>
          </cell>
          <cell r="CG125">
            <v>300234</v>
          </cell>
          <cell r="CH125">
            <v>0</v>
          </cell>
        </row>
        <row r="126">
          <cell r="A126">
            <v>119</v>
          </cell>
          <cell r="B126" t="str">
            <v>Harlow</v>
          </cell>
          <cell r="C126" t="str">
            <v>E1538</v>
          </cell>
          <cell r="D126">
            <v>117691</v>
          </cell>
          <cell r="H126">
            <v>-1055700</v>
          </cell>
          <cell r="I126">
            <v>-17366</v>
          </cell>
          <cell r="J126">
            <v>117691</v>
          </cell>
          <cell r="K126">
            <v>0</v>
          </cell>
          <cell r="L126">
            <v>0</v>
          </cell>
          <cell r="M126">
            <v>0</v>
          </cell>
          <cell r="N126">
            <v>0</v>
          </cell>
          <cell r="O126">
            <v>0</v>
          </cell>
          <cell r="P126">
            <v>0</v>
          </cell>
          <cell r="Q126">
            <v>0</v>
          </cell>
          <cell r="R126">
            <v>321562</v>
          </cell>
          <cell r="S126">
            <v>61985</v>
          </cell>
          <cell r="T126">
            <v>6887</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M126">
            <v>0</v>
          </cell>
          <cell r="AN126">
            <v>0</v>
          </cell>
          <cell r="AO126">
            <v>0</v>
          </cell>
          <cell r="AP126">
            <v>273534</v>
          </cell>
          <cell r="AQ126">
            <v>61545</v>
          </cell>
          <cell r="AR126">
            <v>6838</v>
          </cell>
          <cell r="AS126">
            <v>-746499</v>
          </cell>
          <cell r="AT126">
            <v>-597200</v>
          </cell>
          <cell r="AU126">
            <v>-134371</v>
          </cell>
          <cell r="AV126">
            <v>-14930</v>
          </cell>
          <cell r="AW126">
            <v>-1493000</v>
          </cell>
          <cell r="AX126">
            <v>-1318479</v>
          </cell>
          <cell r="AY126">
            <v>-1054782</v>
          </cell>
          <cell r="AZ126">
            <v>-237325</v>
          </cell>
          <cell r="BA126">
            <v>-26368</v>
          </cell>
          <cell r="BB126">
            <v>-2636954</v>
          </cell>
          <cell r="BC126">
            <v>47527831</v>
          </cell>
          <cell r="BD126">
            <v>-1006373</v>
          </cell>
          <cell r="BE126">
            <v>1302965.3499999999</v>
          </cell>
          <cell r="BF126">
            <v>0</v>
          </cell>
          <cell r="BG126">
            <v>-2697251</v>
          </cell>
          <cell r="BH126">
            <v>-58149</v>
          </cell>
          <cell r="BI126">
            <v>0</v>
          </cell>
          <cell r="BJ126">
            <v>-38476</v>
          </cell>
          <cell r="BK126">
            <v>-2329294</v>
          </cell>
          <cell r="BL126">
            <v>-30191</v>
          </cell>
          <cell r="BM126">
            <v>-3436</v>
          </cell>
          <cell r="BN126">
            <v>0</v>
          </cell>
          <cell r="BO126">
            <v>0</v>
          </cell>
          <cell r="BP126">
            <v>0</v>
          </cell>
          <cell r="BQ126">
            <v>-97402</v>
          </cell>
          <cell r="BR126">
            <v>0</v>
          </cell>
          <cell r="BS126">
            <v>0</v>
          </cell>
          <cell r="BT126">
            <v>45515486</v>
          </cell>
          <cell r="BU126">
            <v>-233817</v>
          </cell>
          <cell r="BV126">
            <v>2478472</v>
          </cell>
          <cell r="BW126">
            <v>-2304040</v>
          </cell>
          <cell r="BX126">
            <v>-999739</v>
          </cell>
          <cell r="BY126">
            <v>-2114212</v>
          </cell>
          <cell r="BZ126">
            <v>45523799</v>
          </cell>
          <cell r="CA126">
            <v>-499869</v>
          </cell>
          <cell r="CB126">
            <v>-399896</v>
          </cell>
          <cell r="CC126">
            <v>-89976</v>
          </cell>
          <cell r="CD126">
            <v>-9998</v>
          </cell>
          <cell r="CE126">
            <v>-1057106</v>
          </cell>
          <cell r="CF126">
            <v>-845685</v>
          </cell>
          <cell r="CG126">
            <v>-190279</v>
          </cell>
          <cell r="CH126">
            <v>-21142</v>
          </cell>
        </row>
        <row r="127">
          <cell r="A127">
            <v>120</v>
          </cell>
          <cell r="B127" t="str">
            <v>Harrogate</v>
          </cell>
          <cell r="C127" t="str">
            <v>E2753</v>
          </cell>
          <cell r="D127">
            <v>287118</v>
          </cell>
          <cell r="H127">
            <v>89668</v>
          </cell>
          <cell r="I127">
            <v>0</v>
          </cell>
          <cell r="J127">
            <v>287118</v>
          </cell>
          <cell r="K127">
            <v>0</v>
          </cell>
          <cell r="L127">
            <v>0</v>
          </cell>
          <cell r="M127">
            <v>0</v>
          </cell>
          <cell r="N127">
            <v>0</v>
          </cell>
          <cell r="O127">
            <v>0</v>
          </cell>
          <cell r="P127">
            <v>0</v>
          </cell>
          <cell r="Q127">
            <v>0</v>
          </cell>
          <cell r="R127">
            <v>1339893</v>
          </cell>
          <cell r="S127">
            <v>301476</v>
          </cell>
          <cell r="T127">
            <v>33497</v>
          </cell>
          <cell r="U127">
            <v>0</v>
          </cell>
          <cell r="V127">
            <v>0</v>
          </cell>
          <cell r="W127">
            <v>0</v>
          </cell>
          <cell r="X127">
            <v>3591</v>
          </cell>
          <cell r="Y127">
            <v>808</v>
          </cell>
          <cell r="Z127">
            <v>90</v>
          </cell>
          <cell r="AA127">
            <v>20946</v>
          </cell>
          <cell r="AB127">
            <v>4713</v>
          </cell>
          <cell r="AC127">
            <v>524</v>
          </cell>
          <cell r="AD127">
            <v>0</v>
          </cell>
          <cell r="AE127">
            <v>0</v>
          </cell>
          <cell r="AF127">
            <v>0</v>
          </cell>
          <cell r="AG127">
            <v>0</v>
          </cell>
          <cell r="AH127">
            <v>0</v>
          </cell>
          <cell r="AI127">
            <v>0</v>
          </cell>
          <cell r="AM127">
            <v>0</v>
          </cell>
          <cell r="AN127">
            <v>0</v>
          </cell>
          <cell r="AO127">
            <v>0</v>
          </cell>
          <cell r="AP127">
            <v>365101</v>
          </cell>
          <cell r="AQ127">
            <v>82148</v>
          </cell>
          <cell r="AR127">
            <v>9128</v>
          </cell>
          <cell r="AS127">
            <v>-522501</v>
          </cell>
          <cell r="AT127">
            <v>-418002</v>
          </cell>
          <cell r="AU127">
            <v>-94050</v>
          </cell>
          <cell r="AV127">
            <v>-10450</v>
          </cell>
          <cell r="AW127">
            <v>-1045003</v>
          </cell>
          <cell r="AX127">
            <v>-1517065</v>
          </cell>
          <cell r="AY127">
            <v>-1213651</v>
          </cell>
          <cell r="AZ127">
            <v>-273070</v>
          </cell>
          <cell r="BA127">
            <v>-30341</v>
          </cell>
          <cell r="BB127">
            <v>-3034127</v>
          </cell>
          <cell r="BC127">
            <v>62575151</v>
          </cell>
          <cell r="BD127">
            <v>-5162340</v>
          </cell>
          <cell r="BE127">
            <v>1611030</v>
          </cell>
          <cell r="BF127">
            <v>0</v>
          </cell>
          <cell r="BG127">
            <v>-3196973</v>
          </cell>
          <cell r="BH127">
            <v>-113836</v>
          </cell>
          <cell r="BI127">
            <v>-55850</v>
          </cell>
          <cell r="BJ127">
            <v>-42513</v>
          </cell>
          <cell r="BK127">
            <v>-2111577</v>
          </cell>
          <cell r="BL127">
            <v>-31813</v>
          </cell>
          <cell r="BM127">
            <v>-35503</v>
          </cell>
          <cell r="BN127">
            <v>0</v>
          </cell>
          <cell r="BO127">
            <v>-4706</v>
          </cell>
          <cell r="BP127">
            <v>-3599</v>
          </cell>
          <cell r="BQ127">
            <v>0</v>
          </cell>
          <cell r="BR127">
            <v>0</v>
          </cell>
          <cell r="BS127">
            <v>0</v>
          </cell>
          <cell r="BT127">
            <v>61824988</v>
          </cell>
          <cell r="BU127">
            <v>-454122</v>
          </cell>
          <cell r="BV127">
            <v>1844476</v>
          </cell>
          <cell r="BW127">
            <v>-1812379</v>
          </cell>
          <cell r="BX127">
            <v>655537</v>
          </cell>
          <cell r="BY127">
            <v>262195</v>
          </cell>
          <cell r="BZ127">
            <v>60763164</v>
          </cell>
          <cell r="CA127">
            <v>327769</v>
          </cell>
          <cell r="CB127">
            <v>262214</v>
          </cell>
          <cell r="CC127">
            <v>58998</v>
          </cell>
          <cell r="CD127">
            <v>6556</v>
          </cell>
          <cell r="CE127">
            <v>131097</v>
          </cell>
          <cell r="CF127">
            <v>104878</v>
          </cell>
          <cell r="CG127">
            <v>23598</v>
          </cell>
          <cell r="CH127">
            <v>2622</v>
          </cell>
        </row>
        <row r="128">
          <cell r="A128">
            <v>121</v>
          </cell>
          <cell r="B128" t="str">
            <v>Harrow</v>
          </cell>
          <cell r="C128" t="str">
            <v>E5039</v>
          </cell>
          <cell r="D128">
            <v>243685</v>
          </cell>
          <cell r="H128">
            <v>2661390</v>
          </cell>
          <cell r="I128">
            <v>0</v>
          </cell>
          <cell r="J128">
            <v>243685</v>
          </cell>
          <cell r="K128">
            <v>0</v>
          </cell>
          <cell r="L128">
            <v>0</v>
          </cell>
          <cell r="M128">
            <v>0</v>
          </cell>
          <cell r="N128">
            <v>0</v>
          </cell>
          <cell r="O128">
            <v>0</v>
          </cell>
          <cell r="P128">
            <v>0</v>
          </cell>
          <cell r="Q128">
            <v>0</v>
          </cell>
          <cell r="R128">
            <v>989646</v>
          </cell>
          <cell r="S128">
            <v>1220563</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M128">
            <v>0</v>
          </cell>
          <cell r="AN128">
            <v>0</v>
          </cell>
          <cell r="AO128">
            <v>0</v>
          </cell>
          <cell r="AP128">
            <v>216998</v>
          </cell>
          <cell r="AQ128">
            <v>267630</v>
          </cell>
          <cell r="AR128">
            <v>0</v>
          </cell>
          <cell r="AS128">
            <v>-888385</v>
          </cell>
          <cell r="AT128">
            <v>-533034</v>
          </cell>
          <cell r="AU128">
            <v>-355353</v>
          </cell>
          <cell r="AV128">
            <v>0</v>
          </cell>
          <cell r="AW128">
            <v>-1776772</v>
          </cell>
          <cell r="AX128">
            <v>-3100000</v>
          </cell>
          <cell r="AY128">
            <v>-1860000</v>
          </cell>
          <cell r="AZ128">
            <v>-1240000</v>
          </cell>
          <cell r="BA128">
            <v>0</v>
          </cell>
          <cell r="BB128">
            <v>-6200000</v>
          </cell>
          <cell r="BC128">
            <v>45679930</v>
          </cell>
          <cell r="BD128">
            <v>-3121684</v>
          </cell>
          <cell r="BE128">
            <v>1168574</v>
          </cell>
          <cell r="BF128">
            <v>0</v>
          </cell>
          <cell r="BG128">
            <v>-4858199</v>
          </cell>
          <cell r="BH128">
            <v>-139269</v>
          </cell>
          <cell r="BI128">
            <v>0</v>
          </cell>
          <cell r="BJ128">
            <v>-247380</v>
          </cell>
          <cell r="BK128">
            <v>-1187500</v>
          </cell>
          <cell r="BL128">
            <v>-41443</v>
          </cell>
          <cell r="BM128">
            <v>-11156</v>
          </cell>
          <cell r="BN128">
            <v>0</v>
          </cell>
          <cell r="BO128">
            <v>0</v>
          </cell>
          <cell r="BP128">
            <v>0</v>
          </cell>
          <cell r="BQ128">
            <v>0</v>
          </cell>
          <cell r="BR128">
            <v>0</v>
          </cell>
          <cell r="BS128">
            <v>0</v>
          </cell>
          <cell r="BT128">
            <v>51141888</v>
          </cell>
          <cell r="BU128">
            <v>-1317698</v>
          </cell>
          <cell r="BV128">
            <v>2586065</v>
          </cell>
          <cell r="BW128">
            <v>-353083</v>
          </cell>
          <cell r="BX128">
            <v>4852283</v>
          </cell>
          <cell r="BY128">
            <v>1711812</v>
          </cell>
          <cell r="BZ128">
            <v>48152785</v>
          </cell>
          <cell r="CA128">
            <v>2426142</v>
          </cell>
          <cell r="CB128">
            <v>1455685</v>
          </cell>
          <cell r="CC128">
            <v>970456</v>
          </cell>
          <cell r="CD128">
            <v>0</v>
          </cell>
          <cell r="CE128">
            <v>855906</v>
          </cell>
          <cell r="CF128">
            <v>513544</v>
          </cell>
          <cell r="CG128">
            <v>342362</v>
          </cell>
          <cell r="CH128">
            <v>0</v>
          </cell>
        </row>
        <row r="129">
          <cell r="A129">
            <v>122</v>
          </cell>
          <cell r="B129" t="str">
            <v>Hart</v>
          </cell>
          <cell r="C129" t="str">
            <v>E1736</v>
          </cell>
          <cell r="D129">
            <v>98299</v>
          </cell>
          <cell r="H129">
            <v>556842</v>
          </cell>
          <cell r="I129">
            <v>0</v>
          </cell>
          <cell r="J129">
            <v>98299</v>
          </cell>
          <cell r="K129">
            <v>0</v>
          </cell>
          <cell r="L129">
            <v>0</v>
          </cell>
          <cell r="M129">
            <v>0</v>
          </cell>
          <cell r="N129">
            <v>0</v>
          </cell>
          <cell r="O129">
            <v>0</v>
          </cell>
          <cell r="P129">
            <v>0</v>
          </cell>
          <cell r="Q129">
            <v>0</v>
          </cell>
          <cell r="R129">
            <v>354129</v>
          </cell>
          <cell r="S129">
            <v>79679</v>
          </cell>
          <cell r="T129">
            <v>8853</v>
          </cell>
          <cell r="U129">
            <v>0</v>
          </cell>
          <cell r="V129">
            <v>0</v>
          </cell>
          <cell r="W129">
            <v>0</v>
          </cell>
          <cell r="X129">
            <v>0</v>
          </cell>
          <cell r="Y129">
            <v>0</v>
          </cell>
          <cell r="Z129">
            <v>0</v>
          </cell>
          <cell r="AA129">
            <v>447</v>
          </cell>
          <cell r="AB129">
            <v>100</v>
          </cell>
          <cell r="AC129">
            <v>11</v>
          </cell>
          <cell r="AD129">
            <v>0</v>
          </cell>
          <cell r="AE129">
            <v>0</v>
          </cell>
          <cell r="AF129">
            <v>0</v>
          </cell>
          <cell r="AG129">
            <v>0</v>
          </cell>
          <cell r="AH129">
            <v>0</v>
          </cell>
          <cell r="AI129">
            <v>0</v>
          </cell>
          <cell r="AM129">
            <v>0</v>
          </cell>
          <cell r="AN129">
            <v>0</v>
          </cell>
          <cell r="AO129">
            <v>0</v>
          </cell>
          <cell r="AP129">
            <v>183200</v>
          </cell>
          <cell r="AQ129">
            <v>41220</v>
          </cell>
          <cell r="AR129">
            <v>4580</v>
          </cell>
          <cell r="AS129">
            <v>-235720</v>
          </cell>
          <cell r="AT129">
            <v>-188574</v>
          </cell>
          <cell r="AU129">
            <v>-42429</v>
          </cell>
          <cell r="AV129">
            <v>-4713</v>
          </cell>
          <cell r="AW129">
            <v>-471436</v>
          </cell>
          <cell r="AX129">
            <v>-1039542.3</v>
          </cell>
          <cell r="AY129">
            <v>-831638</v>
          </cell>
          <cell r="AZ129">
            <v>-187119</v>
          </cell>
          <cell r="BA129">
            <v>-20793</v>
          </cell>
          <cell r="BB129">
            <v>-2079092.2999999998</v>
          </cell>
          <cell r="BC129">
            <v>28604112</v>
          </cell>
          <cell r="BD129">
            <v>-1230109</v>
          </cell>
          <cell r="BE129">
            <v>802138</v>
          </cell>
          <cell r="BF129">
            <v>0</v>
          </cell>
          <cell r="BG129">
            <v>-1459096</v>
          </cell>
          <cell r="BH129">
            <v>-6698</v>
          </cell>
          <cell r="BI129">
            <v>-1715</v>
          </cell>
          <cell r="BJ129">
            <v>-47470</v>
          </cell>
          <cell r="BK129">
            <v>-2945482</v>
          </cell>
          <cell r="BL129">
            <v>-91136</v>
          </cell>
          <cell r="BM129">
            <v>-27957</v>
          </cell>
          <cell r="BN129">
            <v>0</v>
          </cell>
          <cell r="BO129">
            <v>-1715</v>
          </cell>
          <cell r="BP129">
            <v>0</v>
          </cell>
          <cell r="BQ129">
            <v>0</v>
          </cell>
          <cell r="BR129">
            <v>0</v>
          </cell>
          <cell r="BS129">
            <v>0</v>
          </cell>
          <cell r="BT129">
            <v>29510874</v>
          </cell>
          <cell r="BU129">
            <v>-308775</v>
          </cell>
          <cell r="BV129">
            <v>1502324</v>
          </cell>
          <cell r="BW129">
            <v>-822944</v>
          </cell>
          <cell r="BX129">
            <v>-3987245</v>
          </cell>
          <cell r="BY129">
            <v>-2325392</v>
          </cell>
          <cell r="BZ129">
            <v>30489687</v>
          </cell>
          <cell r="CA129">
            <v>-1993625</v>
          </cell>
          <cell r="CB129">
            <v>-1594897</v>
          </cell>
          <cell r="CC129">
            <v>-358851</v>
          </cell>
          <cell r="CD129">
            <v>-39872</v>
          </cell>
          <cell r="CE129">
            <v>-1162696</v>
          </cell>
          <cell r="CF129">
            <v>-930157</v>
          </cell>
          <cell r="CG129">
            <v>-209285</v>
          </cell>
          <cell r="CH129">
            <v>-23254</v>
          </cell>
        </row>
        <row r="130">
          <cell r="A130">
            <v>123</v>
          </cell>
          <cell r="B130" t="str">
            <v>Hartlepool</v>
          </cell>
          <cell r="C130" t="str">
            <v>E0701</v>
          </cell>
          <cell r="D130">
            <v>115333</v>
          </cell>
          <cell r="H130">
            <v>-2317884</v>
          </cell>
          <cell r="I130">
            <v>3434</v>
          </cell>
          <cell r="J130">
            <v>115333</v>
          </cell>
          <cell r="K130">
            <v>3434</v>
          </cell>
          <cell r="L130">
            <v>0</v>
          </cell>
          <cell r="M130">
            <v>0</v>
          </cell>
          <cell r="N130">
            <v>122171</v>
          </cell>
          <cell r="O130">
            <v>122171</v>
          </cell>
          <cell r="P130">
            <v>0</v>
          </cell>
          <cell r="Q130">
            <v>0</v>
          </cell>
          <cell r="R130">
            <v>590772</v>
          </cell>
          <cell r="S130">
            <v>0</v>
          </cell>
          <cell r="T130">
            <v>12057</v>
          </cell>
          <cell r="U130">
            <v>5317</v>
          </cell>
          <cell r="V130">
            <v>0</v>
          </cell>
          <cell r="W130">
            <v>109</v>
          </cell>
          <cell r="X130">
            <v>0</v>
          </cell>
          <cell r="Y130">
            <v>0</v>
          </cell>
          <cell r="Z130">
            <v>0</v>
          </cell>
          <cell r="AA130">
            <v>0</v>
          </cell>
          <cell r="AB130">
            <v>0</v>
          </cell>
          <cell r="AC130">
            <v>0</v>
          </cell>
          <cell r="AD130">
            <v>0</v>
          </cell>
          <cell r="AE130">
            <v>0</v>
          </cell>
          <cell r="AF130">
            <v>0</v>
          </cell>
          <cell r="AG130">
            <v>0</v>
          </cell>
          <cell r="AH130">
            <v>0</v>
          </cell>
          <cell r="AI130">
            <v>0</v>
          </cell>
          <cell r="AM130">
            <v>0</v>
          </cell>
          <cell r="AN130">
            <v>0</v>
          </cell>
          <cell r="AO130">
            <v>0</v>
          </cell>
          <cell r="AP130">
            <v>222423</v>
          </cell>
          <cell r="AQ130">
            <v>0</v>
          </cell>
          <cell r="AR130">
            <v>4501</v>
          </cell>
          <cell r="AS130">
            <v>-476736</v>
          </cell>
          <cell r="AT130">
            <v>-467201</v>
          </cell>
          <cell r="AU130">
            <v>0</v>
          </cell>
          <cell r="AV130">
            <v>-9535</v>
          </cell>
          <cell r="AW130">
            <v>-953472</v>
          </cell>
          <cell r="AX130">
            <v>-1070307</v>
          </cell>
          <cell r="AY130">
            <v>-1048903</v>
          </cell>
          <cell r="AZ130">
            <v>0</v>
          </cell>
          <cell r="BA130">
            <v>-21407</v>
          </cell>
          <cell r="BB130">
            <v>-2140617</v>
          </cell>
          <cell r="BC130">
            <v>34423619</v>
          </cell>
          <cell r="BD130">
            <v>-2135445</v>
          </cell>
          <cell r="BE130">
            <v>909337</v>
          </cell>
          <cell r="BF130">
            <v>0</v>
          </cell>
          <cell r="BG130">
            <v>-2172936</v>
          </cell>
          <cell r="BH130">
            <v>-34750</v>
          </cell>
          <cell r="BI130">
            <v>0</v>
          </cell>
          <cell r="BJ130">
            <v>-10912</v>
          </cell>
          <cell r="BK130">
            <v>-926257</v>
          </cell>
          <cell r="BL130">
            <v>-131362</v>
          </cell>
          <cell r="BM130">
            <v>-33406</v>
          </cell>
          <cell r="BN130">
            <v>-3057</v>
          </cell>
          <cell r="BO130">
            <v>0</v>
          </cell>
          <cell r="BP130">
            <v>0</v>
          </cell>
          <cell r="BQ130">
            <v>-126314</v>
          </cell>
          <cell r="BR130">
            <v>-129482</v>
          </cell>
          <cell r="BS130">
            <v>0</v>
          </cell>
          <cell r="BT130">
            <v>32409443</v>
          </cell>
          <cell r="BU130">
            <v>-551604</v>
          </cell>
          <cell r="BV130">
            <v>1911671</v>
          </cell>
          <cell r="BW130">
            <v>-1471285</v>
          </cell>
          <cell r="BX130">
            <v>-2590271</v>
          </cell>
          <cell r="BY130">
            <v>-3581243</v>
          </cell>
          <cell r="BZ130">
            <v>29962088</v>
          </cell>
          <cell r="CA130">
            <v>-1295135</v>
          </cell>
          <cell r="CB130">
            <v>-1269232</v>
          </cell>
          <cell r="CC130">
            <v>0</v>
          </cell>
          <cell r="CD130">
            <v>-25904</v>
          </cell>
          <cell r="CE130">
            <v>-1790622</v>
          </cell>
          <cell r="CF130">
            <v>-1754809</v>
          </cell>
          <cell r="CG130">
            <v>0</v>
          </cell>
          <cell r="CH130">
            <v>-35812</v>
          </cell>
        </row>
        <row r="131">
          <cell r="A131">
            <v>124</v>
          </cell>
          <cell r="B131" t="str">
            <v>Hastings</v>
          </cell>
          <cell r="C131" t="str">
            <v>E1433</v>
          </cell>
          <cell r="D131">
            <v>133508</v>
          </cell>
          <cell r="H131">
            <v>-139692</v>
          </cell>
          <cell r="I131">
            <v>0</v>
          </cell>
          <cell r="J131">
            <v>133508</v>
          </cell>
          <cell r="K131">
            <v>0</v>
          </cell>
          <cell r="L131">
            <v>0</v>
          </cell>
          <cell r="M131">
            <v>0</v>
          </cell>
          <cell r="N131">
            <v>0</v>
          </cell>
          <cell r="O131">
            <v>0</v>
          </cell>
          <cell r="P131">
            <v>0</v>
          </cell>
          <cell r="Q131">
            <v>0</v>
          </cell>
          <cell r="R131">
            <v>669205</v>
          </cell>
          <cell r="S131">
            <v>150571</v>
          </cell>
          <cell r="T131">
            <v>16730</v>
          </cell>
          <cell r="U131">
            <v>0</v>
          </cell>
          <cell r="V131">
            <v>0</v>
          </cell>
          <cell r="W131">
            <v>0</v>
          </cell>
          <cell r="X131">
            <v>7940</v>
          </cell>
          <cell r="Y131">
            <v>1786</v>
          </cell>
          <cell r="Z131">
            <v>198</v>
          </cell>
          <cell r="AA131">
            <v>493</v>
          </cell>
          <cell r="AB131">
            <v>111</v>
          </cell>
          <cell r="AC131">
            <v>12</v>
          </cell>
          <cell r="AD131">
            <v>0</v>
          </cell>
          <cell r="AE131">
            <v>0</v>
          </cell>
          <cell r="AF131">
            <v>0</v>
          </cell>
          <cell r="AG131">
            <v>0</v>
          </cell>
          <cell r="AH131">
            <v>0</v>
          </cell>
          <cell r="AI131">
            <v>0</v>
          </cell>
          <cell r="AM131">
            <v>0</v>
          </cell>
          <cell r="AN131">
            <v>0</v>
          </cell>
          <cell r="AO131">
            <v>0</v>
          </cell>
          <cell r="AP131">
            <v>125123</v>
          </cell>
          <cell r="AQ131">
            <v>28153</v>
          </cell>
          <cell r="AR131">
            <v>3128</v>
          </cell>
          <cell r="AS131">
            <v>-395233</v>
          </cell>
          <cell r="AT131">
            <v>-316189</v>
          </cell>
          <cell r="AU131">
            <v>-71144</v>
          </cell>
          <cell r="AV131">
            <v>-7904</v>
          </cell>
          <cell r="AW131">
            <v>-790470</v>
          </cell>
          <cell r="AX131">
            <v>-1437501</v>
          </cell>
          <cell r="AY131">
            <v>-1149999</v>
          </cell>
          <cell r="AZ131">
            <v>-258750</v>
          </cell>
          <cell r="BA131">
            <v>-28750</v>
          </cell>
          <cell r="BB131">
            <v>-2875000</v>
          </cell>
          <cell r="BC131">
            <v>20844980</v>
          </cell>
          <cell r="BD131">
            <v>-2677484</v>
          </cell>
          <cell r="BE131">
            <v>563569</v>
          </cell>
          <cell r="BF131">
            <v>0</v>
          </cell>
          <cell r="BG131">
            <v>-2612896</v>
          </cell>
          <cell r="BH131">
            <v>-40694</v>
          </cell>
          <cell r="BI131">
            <v>0</v>
          </cell>
          <cell r="BJ131">
            <v>-594</v>
          </cell>
          <cell r="BK131">
            <v>-675922</v>
          </cell>
          <cell r="BL131">
            <v>-107248</v>
          </cell>
          <cell r="BM131">
            <v>-145720</v>
          </cell>
          <cell r="BN131">
            <v>-1243</v>
          </cell>
          <cell r="BO131">
            <v>0</v>
          </cell>
          <cell r="BP131">
            <v>0</v>
          </cell>
          <cell r="BQ131">
            <v>0</v>
          </cell>
          <cell r="BR131">
            <v>0</v>
          </cell>
          <cell r="BS131">
            <v>0</v>
          </cell>
          <cell r="BT131">
            <v>21016062</v>
          </cell>
          <cell r="BU131">
            <v>-310894</v>
          </cell>
          <cell r="BV131">
            <v>1114379</v>
          </cell>
          <cell r="BW131">
            <v>-684556</v>
          </cell>
          <cell r="BX131">
            <v>-780951</v>
          </cell>
          <cell r="BY131">
            <v>-591733</v>
          </cell>
          <cell r="BZ131">
            <v>20824001</v>
          </cell>
          <cell r="CA131">
            <v>-390475</v>
          </cell>
          <cell r="CB131">
            <v>-312380</v>
          </cell>
          <cell r="CC131">
            <v>-70286</v>
          </cell>
          <cell r="CD131">
            <v>-7810</v>
          </cell>
          <cell r="CE131">
            <v>-295867</v>
          </cell>
          <cell r="CF131">
            <v>-236693</v>
          </cell>
          <cell r="CG131">
            <v>-53256</v>
          </cell>
          <cell r="CH131">
            <v>-5917</v>
          </cell>
        </row>
        <row r="132">
          <cell r="A132">
            <v>125</v>
          </cell>
          <cell r="B132" t="str">
            <v>Havant</v>
          </cell>
          <cell r="C132" t="str">
            <v>E1737</v>
          </cell>
          <cell r="D132">
            <v>137942</v>
          </cell>
          <cell r="H132">
            <v>-925380</v>
          </cell>
          <cell r="I132">
            <v>0</v>
          </cell>
          <cell r="J132">
            <v>137942</v>
          </cell>
          <cell r="K132">
            <v>0</v>
          </cell>
          <cell r="L132">
            <v>0</v>
          </cell>
          <cell r="M132">
            <v>0</v>
          </cell>
          <cell r="N132">
            <v>0</v>
          </cell>
          <cell r="O132">
            <v>0</v>
          </cell>
          <cell r="P132">
            <v>0</v>
          </cell>
          <cell r="Q132">
            <v>0</v>
          </cell>
          <cell r="R132">
            <v>587991</v>
          </cell>
          <cell r="S132">
            <v>132298</v>
          </cell>
          <cell r="T132">
            <v>14700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M132">
            <v>0</v>
          </cell>
          <cell r="AN132">
            <v>0</v>
          </cell>
          <cell r="AO132">
            <v>0</v>
          </cell>
          <cell r="AP132">
            <v>208505</v>
          </cell>
          <cell r="AQ132">
            <v>46914</v>
          </cell>
          <cell r="AR132">
            <v>5213</v>
          </cell>
          <cell r="AS132">
            <v>-78256</v>
          </cell>
          <cell r="AT132">
            <v>-62604</v>
          </cell>
          <cell r="AU132">
            <v>-14085</v>
          </cell>
          <cell r="AV132">
            <v>-1565</v>
          </cell>
          <cell r="AW132">
            <v>-156510</v>
          </cell>
          <cell r="AX132">
            <v>-831075</v>
          </cell>
          <cell r="AY132">
            <v>-664858</v>
          </cell>
          <cell r="AZ132">
            <v>-149593</v>
          </cell>
          <cell r="BA132">
            <v>-16621</v>
          </cell>
          <cell r="BB132">
            <v>-1662147</v>
          </cell>
          <cell r="BC132">
            <v>33447369</v>
          </cell>
          <cell r="BD132">
            <v>-2150478</v>
          </cell>
          <cell r="BE132">
            <v>900268</v>
          </cell>
          <cell r="BF132">
            <v>0</v>
          </cell>
          <cell r="BG132">
            <v>-1989927</v>
          </cell>
          <cell r="BH132">
            <v>-9990</v>
          </cell>
          <cell r="BI132">
            <v>-1988</v>
          </cell>
          <cell r="BJ132">
            <v>-17712</v>
          </cell>
          <cell r="BK132">
            <v>-683243</v>
          </cell>
          <cell r="BL132">
            <v>-118727</v>
          </cell>
          <cell r="BM132">
            <v>-86866</v>
          </cell>
          <cell r="BN132">
            <v>-393</v>
          </cell>
          <cell r="BO132">
            <v>-1988</v>
          </cell>
          <cell r="BP132">
            <v>0</v>
          </cell>
          <cell r="BQ132">
            <v>0</v>
          </cell>
          <cell r="BR132">
            <v>0</v>
          </cell>
          <cell r="BS132">
            <v>0</v>
          </cell>
          <cell r="BT132">
            <v>34524688</v>
          </cell>
          <cell r="BU132">
            <v>-134562</v>
          </cell>
          <cell r="BV132">
            <v>631569</v>
          </cell>
          <cell r="BW132">
            <v>-805653</v>
          </cell>
          <cell r="BX132">
            <v>-1643694</v>
          </cell>
          <cell r="BY132">
            <v>-753440</v>
          </cell>
          <cell r="BZ132">
            <v>34701173</v>
          </cell>
          <cell r="CA132">
            <v>-821847</v>
          </cell>
          <cell r="CB132">
            <v>-657477</v>
          </cell>
          <cell r="CC132">
            <v>-147933</v>
          </cell>
          <cell r="CD132">
            <v>-16437</v>
          </cell>
          <cell r="CE132">
            <v>-376720</v>
          </cell>
          <cell r="CF132">
            <v>-301376</v>
          </cell>
          <cell r="CG132">
            <v>-67810</v>
          </cell>
          <cell r="CH132">
            <v>-7534</v>
          </cell>
        </row>
        <row r="133">
          <cell r="A133">
            <v>126</v>
          </cell>
          <cell r="B133" t="str">
            <v>Havering</v>
          </cell>
          <cell r="C133" t="str">
            <v>E5040</v>
          </cell>
          <cell r="D133">
            <v>268121</v>
          </cell>
          <cell r="H133">
            <v>2881073</v>
          </cell>
          <cell r="I133">
            <v>0</v>
          </cell>
          <cell r="J133">
            <v>268121</v>
          </cell>
          <cell r="K133">
            <v>0</v>
          </cell>
          <cell r="L133">
            <v>0</v>
          </cell>
          <cell r="M133">
            <v>0</v>
          </cell>
          <cell r="N133">
            <v>0</v>
          </cell>
          <cell r="O133">
            <v>0</v>
          </cell>
          <cell r="P133">
            <v>0</v>
          </cell>
          <cell r="Q133">
            <v>0</v>
          </cell>
          <cell r="R133">
            <v>780071</v>
          </cell>
          <cell r="S133">
            <v>962088</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M133">
            <v>0</v>
          </cell>
          <cell r="AN133">
            <v>0</v>
          </cell>
          <cell r="AO133">
            <v>0</v>
          </cell>
          <cell r="AP133">
            <v>362015</v>
          </cell>
          <cell r="AQ133">
            <v>446485</v>
          </cell>
          <cell r="AR133">
            <v>0</v>
          </cell>
          <cell r="AS133">
            <v>-990103.39999999991</v>
          </cell>
          <cell r="AT133">
            <v>-594058</v>
          </cell>
          <cell r="AU133">
            <v>-396040</v>
          </cell>
          <cell r="AV133">
            <v>0</v>
          </cell>
          <cell r="AW133">
            <v>-1980201.4</v>
          </cell>
          <cell r="AX133">
            <v>-3372901.4</v>
          </cell>
          <cell r="AY133">
            <v>-2023740</v>
          </cell>
          <cell r="AZ133">
            <v>-1349161</v>
          </cell>
          <cell r="BA133">
            <v>0</v>
          </cell>
          <cell r="BB133">
            <v>-6745802.4000000004</v>
          </cell>
          <cell r="BC133">
            <v>75099125</v>
          </cell>
          <cell r="BD133">
            <v>-3788754</v>
          </cell>
          <cell r="BE133">
            <v>1888861</v>
          </cell>
          <cell r="BF133">
            <v>0</v>
          </cell>
          <cell r="BG133">
            <v>-4682696</v>
          </cell>
          <cell r="BH133">
            <v>-329889</v>
          </cell>
          <cell r="BI133">
            <v>0</v>
          </cell>
          <cell r="BJ133">
            <v>-79140</v>
          </cell>
          <cell r="BK133">
            <v>-2885990</v>
          </cell>
          <cell r="BL133">
            <v>-127019</v>
          </cell>
          <cell r="BM133">
            <v>-10708</v>
          </cell>
          <cell r="BN133">
            <v>-74500</v>
          </cell>
          <cell r="BO133">
            <v>0</v>
          </cell>
          <cell r="BP133">
            <v>0</v>
          </cell>
          <cell r="BQ133">
            <v>0</v>
          </cell>
          <cell r="BR133">
            <v>0</v>
          </cell>
          <cell r="BS133">
            <v>0</v>
          </cell>
          <cell r="BT133">
            <v>75137311</v>
          </cell>
          <cell r="BU133">
            <v>-749486</v>
          </cell>
          <cell r="BV133">
            <v>2299929</v>
          </cell>
          <cell r="BW133">
            <v>-3711877</v>
          </cell>
          <cell r="BX133">
            <v>-455790.82999999821</v>
          </cell>
          <cell r="BY133">
            <v>488766</v>
          </cell>
          <cell r="BZ133">
            <v>80332784</v>
          </cell>
          <cell r="CA133">
            <v>-227895.82999999821</v>
          </cell>
          <cell r="CB133">
            <v>-136736</v>
          </cell>
          <cell r="CC133">
            <v>-91159</v>
          </cell>
          <cell r="CD133">
            <v>0</v>
          </cell>
          <cell r="CE133">
            <v>244383</v>
          </cell>
          <cell r="CF133">
            <v>146630</v>
          </cell>
          <cell r="CG133">
            <v>97753</v>
          </cell>
          <cell r="CH133">
            <v>0</v>
          </cell>
        </row>
        <row r="134">
          <cell r="A134">
            <v>127</v>
          </cell>
          <cell r="B134" t="str">
            <v>Herefordshire</v>
          </cell>
          <cell r="C134" t="str">
            <v>E1801</v>
          </cell>
          <cell r="D134">
            <v>299893</v>
          </cell>
          <cell r="H134">
            <v>0</v>
          </cell>
          <cell r="I134">
            <v>0</v>
          </cell>
          <cell r="J134">
            <v>299893</v>
          </cell>
          <cell r="K134">
            <v>52447</v>
          </cell>
          <cell r="L134">
            <v>100000</v>
          </cell>
          <cell r="M134">
            <v>0</v>
          </cell>
          <cell r="N134">
            <v>481000</v>
          </cell>
          <cell r="O134">
            <v>481000</v>
          </cell>
          <cell r="P134">
            <v>0</v>
          </cell>
          <cell r="Q134">
            <v>0</v>
          </cell>
          <cell r="R134">
            <v>2037014</v>
          </cell>
          <cell r="S134">
            <v>0</v>
          </cell>
          <cell r="T134">
            <v>40862</v>
          </cell>
          <cell r="U134">
            <v>0</v>
          </cell>
          <cell r="V134">
            <v>0</v>
          </cell>
          <cell r="W134">
            <v>0</v>
          </cell>
          <cell r="X134">
            <v>0</v>
          </cell>
          <cell r="Y134">
            <v>0</v>
          </cell>
          <cell r="Z134">
            <v>0</v>
          </cell>
          <cell r="AA134">
            <v>27998</v>
          </cell>
          <cell r="AB134">
            <v>0</v>
          </cell>
          <cell r="AC134">
            <v>571</v>
          </cell>
          <cell r="AD134">
            <v>0</v>
          </cell>
          <cell r="AE134">
            <v>0</v>
          </cell>
          <cell r="AF134">
            <v>0</v>
          </cell>
          <cell r="AG134">
            <v>0</v>
          </cell>
          <cell r="AH134">
            <v>0</v>
          </cell>
          <cell r="AI134">
            <v>0</v>
          </cell>
          <cell r="AM134">
            <v>0</v>
          </cell>
          <cell r="AN134">
            <v>0</v>
          </cell>
          <cell r="AO134">
            <v>0</v>
          </cell>
          <cell r="AP134">
            <v>339751</v>
          </cell>
          <cell r="AQ134">
            <v>0</v>
          </cell>
          <cell r="AR134">
            <v>6740</v>
          </cell>
          <cell r="AS134">
            <v>-274443.42</v>
          </cell>
          <cell r="AT134">
            <v>-268953</v>
          </cell>
          <cell r="AU134">
            <v>0</v>
          </cell>
          <cell r="AV134">
            <v>-5488</v>
          </cell>
          <cell r="AW134">
            <v>-548884.42000000004</v>
          </cell>
          <cell r="AX134">
            <v>-3569564</v>
          </cell>
          <cell r="AY134">
            <v>-3498174</v>
          </cell>
          <cell r="AZ134">
            <v>0</v>
          </cell>
          <cell r="BA134">
            <v>-71392</v>
          </cell>
          <cell r="BB134">
            <v>-7139130</v>
          </cell>
          <cell r="BC134">
            <v>47594029</v>
          </cell>
          <cell r="BD134">
            <v>-5875956</v>
          </cell>
          <cell r="BE134">
            <v>1299901</v>
          </cell>
          <cell r="BF134">
            <v>0</v>
          </cell>
          <cell r="BG134">
            <v>-4422064</v>
          </cell>
          <cell r="BH134">
            <v>-85108</v>
          </cell>
          <cell r="BI134">
            <v>-104183</v>
          </cell>
          <cell r="BJ134">
            <v>-4562</v>
          </cell>
          <cell r="BK134">
            <v>-1781767</v>
          </cell>
          <cell r="BL134">
            <v>-366437</v>
          </cell>
          <cell r="BM134">
            <v>-152658</v>
          </cell>
          <cell r="BN134">
            <v>-12172</v>
          </cell>
          <cell r="BO134">
            <v>-63563</v>
          </cell>
          <cell r="BP134">
            <v>0</v>
          </cell>
          <cell r="BQ134">
            <v>-293304</v>
          </cell>
          <cell r="BR134">
            <v>-310203</v>
          </cell>
          <cell r="BS134">
            <v>0</v>
          </cell>
          <cell r="BT134">
            <v>48968055</v>
          </cell>
          <cell r="BU134">
            <v>-153071</v>
          </cell>
          <cell r="BV134">
            <v>1521568</v>
          </cell>
          <cell r="BW134">
            <v>-1117115</v>
          </cell>
          <cell r="BX134">
            <v>352503</v>
          </cell>
          <cell r="BY134">
            <v>1028910</v>
          </cell>
          <cell r="BZ134">
            <v>44865855</v>
          </cell>
          <cell r="CA134">
            <v>176253</v>
          </cell>
          <cell r="CB134">
            <v>172726</v>
          </cell>
          <cell r="CC134">
            <v>0</v>
          </cell>
          <cell r="CD134">
            <v>3524</v>
          </cell>
          <cell r="CE134">
            <v>514455</v>
          </cell>
          <cell r="CF134">
            <v>504166</v>
          </cell>
          <cell r="CG134">
            <v>0</v>
          </cell>
          <cell r="CH134">
            <v>10289</v>
          </cell>
        </row>
        <row r="135">
          <cell r="A135">
            <v>128</v>
          </cell>
          <cell r="B135" t="str">
            <v>Hertsmere</v>
          </cell>
          <cell r="C135" t="str">
            <v>E1934</v>
          </cell>
          <cell r="D135">
            <v>151151</v>
          </cell>
          <cell r="H135">
            <v>-425087</v>
          </cell>
          <cell r="I135">
            <v>0</v>
          </cell>
          <cell r="J135">
            <v>151151</v>
          </cell>
          <cell r="K135">
            <v>0</v>
          </cell>
          <cell r="L135">
            <v>0</v>
          </cell>
          <cell r="M135">
            <v>0</v>
          </cell>
          <cell r="N135">
            <v>0</v>
          </cell>
          <cell r="O135">
            <v>0</v>
          </cell>
          <cell r="P135">
            <v>0</v>
          </cell>
          <cell r="Q135">
            <v>0</v>
          </cell>
          <cell r="R135">
            <v>728804</v>
          </cell>
          <cell r="S135">
            <v>182201</v>
          </cell>
          <cell r="T135">
            <v>0</v>
          </cell>
          <cell r="U135">
            <v>0</v>
          </cell>
          <cell r="V135">
            <v>0</v>
          </cell>
          <cell r="W135">
            <v>0</v>
          </cell>
          <cell r="X135">
            <v>0</v>
          </cell>
          <cell r="Y135">
            <v>0</v>
          </cell>
          <cell r="Z135">
            <v>0</v>
          </cell>
          <cell r="AA135">
            <v>9502</v>
          </cell>
          <cell r="AB135">
            <v>2375</v>
          </cell>
          <cell r="AC135">
            <v>0</v>
          </cell>
          <cell r="AD135">
            <v>0</v>
          </cell>
          <cell r="AE135">
            <v>0</v>
          </cell>
          <cell r="AF135">
            <v>0</v>
          </cell>
          <cell r="AG135">
            <v>0</v>
          </cell>
          <cell r="AH135">
            <v>0</v>
          </cell>
          <cell r="AI135">
            <v>0</v>
          </cell>
          <cell r="AM135">
            <v>0</v>
          </cell>
          <cell r="AN135">
            <v>0</v>
          </cell>
          <cell r="AO135">
            <v>0</v>
          </cell>
          <cell r="AP135">
            <v>262429</v>
          </cell>
          <cell r="AQ135">
            <v>65607</v>
          </cell>
          <cell r="AR135">
            <v>0</v>
          </cell>
          <cell r="AS135">
            <v>-139602.35</v>
          </cell>
          <cell r="AT135">
            <v>-111681</v>
          </cell>
          <cell r="AU135">
            <v>-27921</v>
          </cell>
          <cell r="AV135">
            <v>0</v>
          </cell>
          <cell r="AW135">
            <v>-279204.34999999998</v>
          </cell>
          <cell r="AX135">
            <v>-1501920</v>
          </cell>
          <cell r="AY135">
            <v>-1201535</v>
          </cell>
          <cell r="AZ135">
            <v>-300382</v>
          </cell>
          <cell r="BA135">
            <v>0</v>
          </cell>
          <cell r="BB135">
            <v>-3003837</v>
          </cell>
          <cell r="BC135">
            <v>49325282</v>
          </cell>
          <cell r="BD135">
            <v>-1676878</v>
          </cell>
          <cell r="BE135">
            <v>1287095</v>
          </cell>
          <cell r="BF135">
            <v>0</v>
          </cell>
          <cell r="BG135">
            <v>-5028802</v>
          </cell>
          <cell r="BH135">
            <v>-59720</v>
          </cell>
          <cell r="BI135">
            <v>0</v>
          </cell>
          <cell r="BJ135">
            <v>0</v>
          </cell>
          <cell r="BK135">
            <v>-649481</v>
          </cell>
          <cell r="BL135">
            <v>-102709</v>
          </cell>
          <cell r="BM135">
            <v>-34861</v>
          </cell>
          <cell r="BN135">
            <v>0</v>
          </cell>
          <cell r="BO135">
            <v>0</v>
          </cell>
          <cell r="BP135">
            <v>0</v>
          </cell>
          <cell r="BQ135">
            <v>0</v>
          </cell>
          <cell r="BR135">
            <v>0</v>
          </cell>
          <cell r="BS135">
            <v>0</v>
          </cell>
          <cell r="BT135">
            <v>46699067</v>
          </cell>
          <cell r="BU135">
            <v>-54092</v>
          </cell>
          <cell r="BV135">
            <v>863336</v>
          </cell>
          <cell r="BW135">
            <v>-2391968</v>
          </cell>
          <cell r="BX135">
            <v>2019952</v>
          </cell>
          <cell r="BY135">
            <v>-3781</v>
          </cell>
          <cell r="BZ135">
            <v>43675694</v>
          </cell>
          <cell r="CA135">
            <v>1009977</v>
          </cell>
          <cell r="CB135">
            <v>807980</v>
          </cell>
          <cell r="CC135">
            <v>201995</v>
          </cell>
          <cell r="CD135">
            <v>0</v>
          </cell>
          <cell r="CE135">
            <v>-1891</v>
          </cell>
          <cell r="CF135">
            <v>-1512</v>
          </cell>
          <cell r="CG135">
            <v>-378</v>
          </cell>
          <cell r="CH135">
            <v>0</v>
          </cell>
        </row>
        <row r="136">
          <cell r="A136">
            <v>129</v>
          </cell>
          <cell r="B136" t="str">
            <v>High Peak</v>
          </cell>
          <cell r="C136" t="str">
            <v>E1037</v>
          </cell>
          <cell r="D136">
            <v>135269</v>
          </cell>
          <cell r="H136">
            <v>1576323</v>
          </cell>
          <cell r="I136">
            <v>0</v>
          </cell>
          <cell r="J136">
            <v>135269</v>
          </cell>
          <cell r="K136">
            <v>0</v>
          </cell>
          <cell r="L136">
            <v>0</v>
          </cell>
          <cell r="M136">
            <v>0</v>
          </cell>
          <cell r="N136">
            <v>0</v>
          </cell>
          <cell r="O136">
            <v>0</v>
          </cell>
          <cell r="P136">
            <v>0</v>
          </cell>
          <cell r="Q136">
            <v>0</v>
          </cell>
          <cell r="R136">
            <v>673127</v>
          </cell>
          <cell r="S136">
            <v>151453</v>
          </cell>
          <cell r="T136">
            <v>16828</v>
          </cell>
          <cell r="U136">
            <v>0</v>
          </cell>
          <cell r="V136">
            <v>0</v>
          </cell>
          <cell r="W136">
            <v>0</v>
          </cell>
          <cell r="X136">
            <v>0</v>
          </cell>
          <cell r="Y136">
            <v>0</v>
          </cell>
          <cell r="Z136">
            <v>0</v>
          </cell>
          <cell r="AA136">
            <v>2368</v>
          </cell>
          <cell r="AB136">
            <v>533</v>
          </cell>
          <cell r="AC136">
            <v>59</v>
          </cell>
          <cell r="AD136">
            <v>0</v>
          </cell>
          <cell r="AE136">
            <v>0</v>
          </cell>
          <cell r="AF136">
            <v>0</v>
          </cell>
          <cell r="AG136">
            <v>0</v>
          </cell>
          <cell r="AH136">
            <v>0</v>
          </cell>
          <cell r="AI136">
            <v>0</v>
          </cell>
          <cell r="AM136">
            <v>0</v>
          </cell>
          <cell r="AN136">
            <v>0</v>
          </cell>
          <cell r="AO136">
            <v>0</v>
          </cell>
          <cell r="AP136">
            <v>161629</v>
          </cell>
          <cell r="AQ136">
            <v>36367</v>
          </cell>
          <cell r="AR136">
            <v>4041</v>
          </cell>
          <cell r="AS136">
            <v>-360855</v>
          </cell>
          <cell r="AT136">
            <v>-288687</v>
          </cell>
          <cell r="AU136">
            <v>-64955</v>
          </cell>
          <cell r="AV136">
            <v>-7218</v>
          </cell>
          <cell r="AW136">
            <v>-721715</v>
          </cell>
          <cell r="AX136">
            <v>-626195</v>
          </cell>
          <cell r="AY136">
            <v>-500957</v>
          </cell>
          <cell r="AZ136">
            <v>-112716</v>
          </cell>
          <cell r="BA136">
            <v>-12525</v>
          </cell>
          <cell r="BB136">
            <v>-1252393</v>
          </cell>
          <cell r="BC136">
            <v>24773815</v>
          </cell>
          <cell r="BD136">
            <v>-2792808</v>
          </cell>
          <cell r="BE136">
            <v>617139</v>
          </cell>
          <cell r="BF136">
            <v>0</v>
          </cell>
          <cell r="BG136">
            <v>-951527</v>
          </cell>
          <cell r="BH136">
            <v>-91080</v>
          </cell>
          <cell r="BI136">
            <v>-14244</v>
          </cell>
          <cell r="BJ136">
            <v>-77965</v>
          </cell>
          <cell r="BK136">
            <v>-492707</v>
          </cell>
          <cell r="BL136">
            <v>-32781</v>
          </cell>
          <cell r="BM136">
            <v>-169857</v>
          </cell>
          <cell r="BN136">
            <v>-145</v>
          </cell>
          <cell r="BO136">
            <v>-5556</v>
          </cell>
          <cell r="BP136">
            <v>0</v>
          </cell>
          <cell r="BQ136">
            <v>0</v>
          </cell>
          <cell r="BR136">
            <v>0</v>
          </cell>
          <cell r="BS136">
            <v>0</v>
          </cell>
          <cell r="BT136">
            <v>24888784</v>
          </cell>
          <cell r="BU136">
            <v>-7611</v>
          </cell>
          <cell r="BV136">
            <v>1140949</v>
          </cell>
          <cell r="BW136">
            <v>-489718</v>
          </cell>
          <cell r="BX136">
            <v>131961</v>
          </cell>
          <cell r="BY136">
            <v>63919</v>
          </cell>
          <cell r="BZ136">
            <v>26899739</v>
          </cell>
          <cell r="CA136">
            <v>65981</v>
          </cell>
          <cell r="CB136">
            <v>52785</v>
          </cell>
          <cell r="CC136">
            <v>11876</v>
          </cell>
          <cell r="CD136">
            <v>1319</v>
          </cell>
          <cell r="CE136">
            <v>31959</v>
          </cell>
          <cell r="CF136">
            <v>25568</v>
          </cell>
          <cell r="CG136">
            <v>5753</v>
          </cell>
          <cell r="CH136">
            <v>639</v>
          </cell>
        </row>
        <row r="137">
          <cell r="A137">
            <v>130</v>
          </cell>
          <cell r="B137" t="str">
            <v>Hillingdon</v>
          </cell>
          <cell r="C137" t="str">
            <v>E5041</v>
          </cell>
          <cell r="D137">
            <v>576004</v>
          </cell>
          <cell r="H137">
            <v>-6724797</v>
          </cell>
          <cell r="I137">
            <v>0</v>
          </cell>
          <cell r="J137">
            <v>576004</v>
          </cell>
          <cell r="K137">
            <v>0</v>
          </cell>
          <cell r="L137">
            <v>0</v>
          </cell>
          <cell r="M137">
            <v>0</v>
          </cell>
          <cell r="N137">
            <v>0</v>
          </cell>
          <cell r="O137">
            <v>0</v>
          </cell>
          <cell r="P137">
            <v>0</v>
          </cell>
          <cell r="Q137">
            <v>0</v>
          </cell>
          <cell r="R137">
            <v>805630</v>
          </cell>
          <cell r="S137">
            <v>993610</v>
          </cell>
          <cell r="T137">
            <v>0</v>
          </cell>
          <cell r="U137">
            <v>0</v>
          </cell>
          <cell r="V137">
            <v>0</v>
          </cell>
          <cell r="W137">
            <v>0</v>
          </cell>
          <cell r="X137">
            <v>0</v>
          </cell>
          <cell r="Y137">
            <v>0</v>
          </cell>
          <cell r="Z137">
            <v>0</v>
          </cell>
          <cell r="AA137">
            <v>30450</v>
          </cell>
          <cell r="AB137">
            <v>37556</v>
          </cell>
          <cell r="AC137">
            <v>0</v>
          </cell>
          <cell r="AD137">
            <v>0</v>
          </cell>
          <cell r="AE137">
            <v>0</v>
          </cell>
          <cell r="AF137">
            <v>0</v>
          </cell>
          <cell r="AG137">
            <v>0</v>
          </cell>
          <cell r="AH137">
            <v>0</v>
          </cell>
          <cell r="AI137">
            <v>0</v>
          </cell>
          <cell r="AM137">
            <v>0</v>
          </cell>
          <cell r="AN137">
            <v>0</v>
          </cell>
          <cell r="AO137">
            <v>0</v>
          </cell>
          <cell r="AP137">
            <v>1585067</v>
          </cell>
          <cell r="AQ137">
            <v>1954916</v>
          </cell>
          <cell r="AR137">
            <v>0</v>
          </cell>
          <cell r="AS137">
            <v>-680097</v>
          </cell>
          <cell r="AT137">
            <v>-408058</v>
          </cell>
          <cell r="AU137">
            <v>-272039</v>
          </cell>
          <cell r="AV137">
            <v>0</v>
          </cell>
          <cell r="AW137">
            <v>-1360194</v>
          </cell>
          <cell r="AX137">
            <v>-2323970</v>
          </cell>
          <cell r="AY137">
            <v>-1394382</v>
          </cell>
          <cell r="AZ137">
            <v>-929589</v>
          </cell>
          <cell r="BA137">
            <v>0</v>
          </cell>
          <cell r="BB137">
            <v>-4647941</v>
          </cell>
          <cell r="BC137">
            <v>375192593</v>
          </cell>
          <cell r="BD137">
            <v>-3614601</v>
          </cell>
          <cell r="BE137">
            <v>9973542</v>
          </cell>
          <cell r="BF137">
            <v>0</v>
          </cell>
          <cell r="BG137">
            <v>-9078055</v>
          </cell>
          <cell r="BH137">
            <v>-61191</v>
          </cell>
          <cell r="BI137">
            <v>0</v>
          </cell>
          <cell r="BJ137">
            <v>-114834</v>
          </cell>
          <cell r="BK137">
            <v>-11538642</v>
          </cell>
          <cell r="BL137">
            <v>-208770</v>
          </cell>
          <cell r="BM137">
            <v>-14179</v>
          </cell>
          <cell r="BN137">
            <v>0</v>
          </cell>
          <cell r="BO137">
            <v>0</v>
          </cell>
          <cell r="BP137">
            <v>0</v>
          </cell>
          <cell r="BQ137">
            <v>0</v>
          </cell>
          <cell r="BR137">
            <v>0</v>
          </cell>
          <cell r="BS137">
            <v>0</v>
          </cell>
          <cell r="BT137">
            <v>376436961</v>
          </cell>
          <cell r="BU137">
            <v>-1196371</v>
          </cell>
          <cell r="BV137">
            <v>12192238</v>
          </cell>
          <cell r="BW137">
            <v>-22588604</v>
          </cell>
          <cell r="BX137">
            <v>1728195</v>
          </cell>
          <cell r="BY137">
            <v>4982000</v>
          </cell>
          <cell r="BZ137">
            <v>351733977</v>
          </cell>
          <cell r="CA137">
            <v>864097</v>
          </cell>
          <cell r="CB137">
            <v>518458</v>
          </cell>
          <cell r="CC137">
            <v>345640</v>
          </cell>
          <cell r="CD137">
            <v>0</v>
          </cell>
          <cell r="CE137">
            <v>2491000</v>
          </cell>
          <cell r="CF137">
            <v>1494600</v>
          </cell>
          <cell r="CG137">
            <v>996400</v>
          </cell>
          <cell r="CH137">
            <v>0</v>
          </cell>
        </row>
        <row r="138">
          <cell r="A138">
            <v>131</v>
          </cell>
          <cell r="B138" t="str">
            <v>Hinckley and Bosworth</v>
          </cell>
          <cell r="C138" t="str">
            <v>E2434</v>
          </cell>
          <cell r="D138">
            <v>127087</v>
          </cell>
          <cell r="H138">
            <v>836527</v>
          </cell>
          <cell r="I138">
            <v>-60074</v>
          </cell>
          <cell r="J138">
            <v>127087</v>
          </cell>
          <cell r="K138">
            <v>76165</v>
          </cell>
          <cell r="L138">
            <v>94708</v>
          </cell>
          <cell r="M138">
            <v>0</v>
          </cell>
          <cell r="N138">
            <v>251424</v>
          </cell>
          <cell r="O138">
            <v>251424</v>
          </cell>
          <cell r="P138">
            <v>0</v>
          </cell>
          <cell r="Q138">
            <v>0</v>
          </cell>
          <cell r="R138">
            <v>618648</v>
          </cell>
          <cell r="S138">
            <v>139196</v>
          </cell>
          <cell r="T138">
            <v>15466</v>
          </cell>
          <cell r="U138">
            <v>988</v>
          </cell>
          <cell r="V138">
            <v>223</v>
          </cell>
          <cell r="W138">
            <v>25</v>
          </cell>
          <cell r="X138">
            <v>47113</v>
          </cell>
          <cell r="Y138">
            <v>10600</v>
          </cell>
          <cell r="Z138">
            <v>1178</v>
          </cell>
          <cell r="AA138">
            <v>0</v>
          </cell>
          <cell r="AB138">
            <v>0</v>
          </cell>
          <cell r="AC138">
            <v>0</v>
          </cell>
          <cell r="AD138">
            <v>0</v>
          </cell>
          <cell r="AE138">
            <v>0</v>
          </cell>
          <cell r="AF138">
            <v>0</v>
          </cell>
          <cell r="AG138">
            <v>0</v>
          </cell>
          <cell r="AH138">
            <v>0</v>
          </cell>
          <cell r="AI138">
            <v>0</v>
          </cell>
          <cell r="AM138">
            <v>0</v>
          </cell>
          <cell r="AN138">
            <v>0</v>
          </cell>
          <cell r="AO138">
            <v>0</v>
          </cell>
          <cell r="AP138">
            <v>195942</v>
          </cell>
          <cell r="AQ138">
            <v>42660</v>
          </cell>
          <cell r="AR138">
            <v>4740</v>
          </cell>
          <cell r="AS138">
            <v>-98766</v>
          </cell>
          <cell r="AT138">
            <v>-79014</v>
          </cell>
          <cell r="AU138">
            <v>-17778</v>
          </cell>
          <cell r="AV138">
            <v>-1975</v>
          </cell>
          <cell r="AW138">
            <v>-197533</v>
          </cell>
          <cell r="AX138">
            <v>-1160360</v>
          </cell>
          <cell r="AY138">
            <v>-928288</v>
          </cell>
          <cell r="AZ138">
            <v>-208866</v>
          </cell>
          <cell r="BA138">
            <v>-23206</v>
          </cell>
          <cell r="BB138">
            <v>-2320720</v>
          </cell>
          <cell r="BC138">
            <v>31834169</v>
          </cell>
          <cell r="BD138">
            <v>-2459249</v>
          </cell>
          <cell r="BE138">
            <v>846065</v>
          </cell>
          <cell r="BF138">
            <v>0</v>
          </cell>
          <cell r="BG138">
            <v>-1934254</v>
          </cell>
          <cell r="BH138">
            <v>-6203</v>
          </cell>
          <cell r="BI138">
            <v>-10486</v>
          </cell>
          <cell r="BJ138">
            <v>0</v>
          </cell>
          <cell r="BK138">
            <v>-616861</v>
          </cell>
          <cell r="BL138">
            <v>-95584</v>
          </cell>
          <cell r="BM138">
            <v>-91697</v>
          </cell>
          <cell r="BN138">
            <v>-1551</v>
          </cell>
          <cell r="BO138">
            <v>0</v>
          </cell>
          <cell r="BP138">
            <v>0</v>
          </cell>
          <cell r="BQ138">
            <v>-144368</v>
          </cell>
          <cell r="BR138">
            <v>-380450</v>
          </cell>
          <cell r="BS138">
            <v>0</v>
          </cell>
          <cell r="BT138">
            <v>33550359</v>
          </cell>
          <cell r="BU138">
            <v>-184273</v>
          </cell>
          <cell r="BV138">
            <v>303954</v>
          </cell>
          <cell r="BW138">
            <v>-223077</v>
          </cell>
          <cell r="BX138">
            <v>-1062521</v>
          </cell>
          <cell r="BY138">
            <v>-926719</v>
          </cell>
          <cell r="BZ138">
            <v>31554630</v>
          </cell>
          <cell r="CA138">
            <v>-531261</v>
          </cell>
          <cell r="CB138">
            <v>-425008</v>
          </cell>
          <cell r="CC138">
            <v>-95627</v>
          </cell>
          <cell r="CD138">
            <v>-10625</v>
          </cell>
          <cell r="CE138">
            <v>-463359</v>
          </cell>
          <cell r="CF138">
            <v>-370688</v>
          </cell>
          <cell r="CG138">
            <v>-83405</v>
          </cell>
          <cell r="CH138">
            <v>-9267</v>
          </cell>
        </row>
        <row r="139">
          <cell r="A139">
            <v>132</v>
          </cell>
          <cell r="B139" t="str">
            <v>Horsham</v>
          </cell>
          <cell r="C139" t="str">
            <v>E3835</v>
          </cell>
          <cell r="D139">
            <v>179932</v>
          </cell>
          <cell r="H139">
            <v>861307</v>
          </cell>
          <cell r="I139">
            <v>0</v>
          </cell>
          <cell r="J139">
            <v>179932</v>
          </cell>
          <cell r="K139">
            <v>0</v>
          </cell>
          <cell r="L139">
            <v>0</v>
          </cell>
          <cell r="M139">
            <v>0</v>
          </cell>
          <cell r="N139">
            <v>0</v>
          </cell>
          <cell r="O139">
            <v>0</v>
          </cell>
          <cell r="P139">
            <v>0</v>
          </cell>
          <cell r="Q139">
            <v>0</v>
          </cell>
          <cell r="R139">
            <v>789483</v>
          </cell>
          <cell r="S139">
            <v>197371</v>
          </cell>
          <cell r="T139">
            <v>0</v>
          </cell>
          <cell r="U139">
            <v>1284</v>
          </cell>
          <cell r="V139">
            <v>321</v>
          </cell>
          <cell r="W139">
            <v>0</v>
          </cell>
          <cell r="X139">
            <v>57062</v>
          </cell>
          <cell r="Y139">
            <v>14266</v>
          </cell>
          <cell r="Z139">
            <v>0</v>
          </cell>
          <cell r="AA139">
            <v>2842</v>
          </cell>
          <cell r="AB139">
            <v>710</v>
          </cell>
          <cell r="AC139">
            <v>0</v>
          </cell>
          <cell r="AD139">
            <v>0</v>
          </cell>
          <cell r="AE139">
            <v>0</v>
          </cell>
          <cell r="AF139">
            <v>0</v>
          </cell>
          <cell r="AG139">
            <v>0</v>
          </cell>
          <cell r="AH139">
            <v>0</v>
          </cell>
          <cell r="AI139">
            <v>0</v>
          </cell>
          <cell r="AM139">
            <v>0</v>
          </cell>
          <cell r="AN139">
            <v>0</v>
          </cell>
          <cell r="AO139">
            <v>0</v>
          </cell>
          <cell r="AP139">
            <v>252617</v>
          </cell>
          <cell r="AQ139">
            <v>63154</v>
          </cell>
          <cell r="AR139">
            <v>0</v>
          </cell>
          <cell r="AS139">
            <v>-771936</v>
          </cell>
          <cell r="AT139">
            <v>-617548</v>
          </cell>
          <cell r="AU139">
            <v>-154387</v>
          </cell>
          <cell r="AV139">
            <v>0</v>
          </cell>
          <cell r="AW139">
            <v>-1543871</v>
          </cell>
          <cell r="AX139">
            <v>-2660486</v>
          </cell>
          <cell r="AY139">
            <v>-2128387</v>
          </cell>
          <cell r="AZ139">
            <v>-532096</v>
          </cell>
          <cell r="BA139">
            <v>0</v>
          </cell>
          <cell r="BB139">
            <v>-5320969</v>
          </cell>
          <cell r="BC139">
            <v>41253278</v>
          </cell>
          <cell r="BD139">
            <v>-3049852</v>
          </cell>
          <cell r="BE139">
            <v>1088980</v>
          </cell>
          <cell r="BF139">
            <v>0</v>
          </cell>
          <cell r="BG139">
            <v>-2854846</v>
          </cell>
          <cell r="BH139">
            <v>-56996</v>
          </cell>
          <cell r="BI139">
            <v>-16588</v>
          </cell>
          <cell r="BJ139">
            <v>-3671</v>
          </cell>
          <cell r="BK139">
            <v>-995761</v>
          </cell>
          <cell r="BL139">
            <v>-61859</v>
          </cell>
          <cell r="BM139">
            <v>-457915</v>
          </cell>
          <cell r="BN139">
            <v>-4201</v>
          </cell>
          <cell r="BO139">
            <v>-4548</v>
          </cell>
          <cell r="BP139">
            <v>0</v>
          </cell>
          <cell r="BQ139">
            <v>0</v>
          </cell>
          <cell r="BR139">
            <v>0</v>
          </cell>
          <cell r="BS139">
            <v>0</v>
          </cell>
          <cell r="BT139">
            <v>42230361</v>
          </cell>
          <cell r="BU139">
            <v>-308856</v>
          </cell>
          <cell r="BV139">
            <v>2812217</v>
          </cell>
          <cell r="BW139">
            <v>-2056975</v>
          </cell>
          <cell r="BX139">
            <v>89729</v>
          </cell>
          <cell r="BY139">
            <v>700000</v>
          </cell>
          <cell r="BZ139">
            <v>42042700</v>
          </cell>
          <cell r="CA139">
            <v>44865</v>
          </cell>
          <cell r="CB139">
            <v>35891</v>
          </cell>
          <cell r="CC139">
            <v>8973</v>
          </cell>
          <cell r="CD139">
            <v>0</v>
          </cell>
          <cell r="CE139">
            <v>350000</v>
          </cell>
          <cell r="CF139">
            <v>280000</v>
          </cell>
          <cell r="CG139">
            <v>70000</v>
          </cell>
          <cell r="CH139">
            <v>0</v>
          </cell>
        </row>
        <row r="140">
          <cell r="A140">
            <v>133</v>
          </cell>
          <cell r="B140" t="str">
            <v>Hounslow</v>
          </cell>
          <cell r="C140" t="str">
            <v>E5042</v>
          </cell>
          <cell r="D140">
            <v>415076</v>
          </cell>
          <cell r="H140">
            <v>14505064</v>
          </cell>
          <cell r="I140">
            <v>0</v>
          </cell>
          <cell r="J140">
            <v>415076</v>
          </cell>
          <cell r="K140">
            <v>0</v>
          </cell>
          <cell r="L140">
            <v>0</v>
          </cell>
          <cell r="M140">
            <v>0</v>
          </cell>
          <cell r="N140">
            <v>0</v>
          </cell>
          <cell r="O140">
            <v>0</v>
          </cell>
          <cell r="P140">
            <v>0</v>
          </cell>
          <cell r="Q140">
            <v>0</v>
          </cell>
          <cell r="R140">
            <v>630580</v>
          </cell>
          <cell r="S140">
            <v>777716</v>
          </cell>
          <cell r="T140">
            <v>0</v>
          </cell>
          <cell r="U140">
            <v>0</v>
          </cell>
          <cell r="V140">
            <v>0</v>
          </cell>
          <cell r="W140">
            <v>0</v>
          </cell>
          <cell r="X140">
            <v>0</v>
          </cell>
          <cell r="Y140">
            <v>0</v>
          </cell>
          <cell r="Z140">
            <v>0</v>
          </cell>
          <cell r="AA140">
            <v>6904</v>
          </cell>
          <cell r="AB140">
            <v>8515</v>
          </cell>
          <cell r="AC140">
            <v>0</v>
          </cell>
          <cell r="AD140">
            <v>0</v>
          </cell>
          <cell r="AE140">
            <v>0</v>
          </cell>
          <cell r="AF140">
            <v>0</v>
          </cell>
          <cell r="AG140">
            <v>0</v>
          </cell>
          <cell r="AH140">
            <v>0</v>
          </cell>
          <cell r="AI140">
            <v>0</v>
          </cell>
          <cell r="AM140">
            <v>0</v>
          </cell>
          <cell r="AN140">
            <v>0</v>
          </cell>
          <cell r="AO140">
            <v>0</v>
          </cell>
          <cell r="AP140">
            <v>828276</v>
          </cell>
          <cell r="AQ140">
            <v>1021540</v>
          </cell>
          <cell r="AR140">
            <v>0</v>
          </cell>
          <cell r="AS140">
            <v>-1750001</v>
          </cell>
          <cell r="AT140">
            <v>-1049999</v>
          </cell>
          <cell r="AU140">
            <v>-700000</v>
          </cell>
          <cell r="AV140">
            <v>0</v>
          </cell>
          <cell r="AW140">
            <v>-3500000</v>
          </cell>
          <cell r="AX140">
            <v>-14450000</v>
          </cell>
          <cell r="AY140">
            <v>-8670000</v>
          </cell>
          <cell r="AZ140">
            <v>-5780000</v>
          </cell>
          <cell r="BA140">
            <v>0</v>
          </cell>
          <cell r="BB140">
            <v>-28900000</v>
          </cell>
          <cell r="BC140">
            <v>149894494</v>
          </cell>
          <cell r="BD140">
            <v>-3116264</v>
          </cell>
          <cell r="BE140">
            <v>4394314</v>
          </cell>
          <cell r="BF140">
            <v>0</v>
          </cell>
          <cell r="BG140">
            <v>-5499902</v>
          </cell>
          <cell r="BH140">
            <v>-46559</v>
          </cell>
          <cell r="BI140">
            <v>0</v>
          </cell>
          <cell r="BJ140">
            <v>-610204</v>
          </cell>
          <cell r="BK140">
            <v>-8291004</v>
          </cell>
          <cell r="BL140">
            <v>-291233</v>
          </cell>
          <cell r="BM140">
            <v>-528435</v>
          </cell>
          <cell r="BN140">
            <v>-1541</v>
          </cell>
          <cell r="BO140">
            <v>0</v>
          </cell>
          <cell r="BP140">
            <v>0</v>
          </cell>
          <cell r="BQ140">
            <v>0</v>
          </cell>
          <cell r="BR140">
            <v>0</v>
          </cell>
          <cell r="BS140">
            <v>0</v>
          </cell>
          <cell r="BT140">
            <v>162842777</v>
          </cell>
          <cell r="BU140">
            <v>-2317752</v>
          </cell>
          <cell r="BV140">
            <v>9461897</v>
          </cell>
          <cell r="BW140">
            <v>-12742442</v>
          </cell>
          <cell r="BX140">
            <v>-11774953</v>
          </cell>
          <cell r="BY140">
            <v>-1034345</v>
          </cell>
          <cell r="BZ140">
            <v>183798333</v>
          </cell>
          <cell r="CA140">
            <v>-5887477</v>
          </cell>
          <cell r="CB140">
            <v>-3532486</v>
          </cell>
          <cell r="CC140">
            <v>-2354990</v>
          </cell>
          <cell r="CD140">
            <v>0</v>
          </cell>
          <cell r="CE140">
            <v>-517172</v>
          </cell>
          <cell r="CF140">
            <v>-310304</v>
          </cell>
          <cell r="CG140">
            <v>-206869</v>
          </cell>
          <cell r="CH140">
            <v>0</v>
          </cell>
        </row>
        <row r="141">
          <cell r="A141">
            <v>134</v>
          </cell>
          <cell r="B141" t="str">
            <v>Huntingdonshire</v>
          </cell>
          <cell r="C141" t="str">
            <v>E0551</v>
          </cell>
          <cell r="D141">
            <v>217080</v>
          </cell>
          <cell r="H141">
            <v>-1745285</v>
          </cell>
          <cell r="I141">
            <v>62367</v>
          </cell>
          <cell r="J141">
            <v>217080</v>
          </cell>
          <cell r="K141">
            <v>0</v>
          </cell>
          <cell r="L141">
            <v>864030</v>
          </cell>
          <cell r="M141">
            <v>0</v>
          </cell>
          <cell r="N141">
            <v>200238</v>
          </cell>
          <cell r="O141">
            <v>200238</v>
          </cell>
          <cell r="P141">
            <v>0</v>
          </cell>
          <cell r="Q141">
            <v>0</v>
          </cell>
          <cell r="R141">
            <v>1406077</v>
          </cell>
          <cell r="S141">
            <v>316368</v>
          </cell>
          <cell r="T141">
            <v>35152</v>
          </cell>
          <cell r="U141">
            <v>2513</v>
          </cell>
          <cell r="V141">
            <v>565</v>
          </cell>
          <cell r="W141">
            <v>63</v>
          </cell>
          <cell r="X141">
            <v>0</v>
          </cell>
          <cell r="Y141">
            <v>0</v>
          </cell>
          <cell r="Z141">
            <v>0</v>
          </cell>
          <cell r="AA141">
            <v>0</v>
          </cell>
          <cell r="AB141">
            <v>0</v>
          </cell>
          <cell r="AC141">
            <v>0</v>
          </cell>
          <cell r="AD141">
            <v>0</v>
          </cell>
          <cell r="AE141">
            <v>0</v>
          </cell>
          <cell r="AF141">
            <v>0</v>
          </cell>
          <cell r="AG141">
            <v>0</v>
          </cell>
          <cell r="AH141">
            <v>0</v>
          </cell>
          <cell r="AI141">
            <v>0</v>
          </cell>
          <cell r="AM141">
            <v>0</v>
          </cell>
          <cell r="AN141">
            <v>0</v>
          </cell>
          <cell r="AO141">
            <v>0</v>
          </cell>
          <cell r="AP141">
            <v>331834</v>
          </cell>
          <cell r="AQ141">
            <v>71066</v>
          </cell>
          <cell r="AR141">
            <v>7896</v>
          </cell>
          <cell r="AS141">
            <v>311548</v>
          </cell>
          <cell r="AT141">
            <v>249238</v>
          </cell>
          <cell r="AU141">
            <v>56078</v>
          </cell>
          <cell r="AV141">
            <v>6230</v>
          </cell>
          <cell r="AW141">
            <v>623094</v>
          </cell>
          <cell r="AX141">
            <v>-1603535</v>
          </cell>
          <cell r="AY141">
            <v>-1282828</v>
          </cell>
          <cell r="AZ141">
            <v>-288637</v>
          </cell>
          <cell r="BA141">
            <v>-32070</v>
          </cell>
          <cell r="BB141">
            <v>-3207070</v>
          </cell>
          <cell r="BC141">
            <v>61215220</v>
          </cell>
          <cell r="BD141">
            <v>-3232847</v>
          </cell>
          <cell r="BE141">
            <v>1569264</v>
          </cell>
          <cell r="BF141">
            <v>0</v>
          </cell>
          <cell r="BG141">
            <v>-2741865</v>
          </cell>
          <cell r="BH141">
            <v>-193376</v>
          </cell>
          <cell r="BI141">
            <v>-44613</v>
          </cell>
          <cell r="BJ141">
            <v>0</v>
          </cell>
          <cell r="BK141">
            <v>-1992066</v>
          </cell>
          <cell r="BL141">
            <v>-1670</v>
          </cell>
          <cell r="BM141">
            <v>-45407</v>
          </cell>
          <cell r="BN141">
            <v>0</v>
          </cell>
          <cell r="BO141">
            <v>-21257</v>
          </cell>
          <cell r="BP141">
            <v>0</v>
          </cell>
          <cell r="BQ141">
            <v>-198329</v>
          </cell>
          <cell r="BR141">
            <v>-204880</v>
          </cell>
          <cell r="BS141">
            <v>0</v>
          </cell>
          <cell r="BT141">
            <v>59979641</v>
          </cell>
          <cell r="BU141">
            <v>-189147</v>
          </cell>
          <cell r="BV141">
            <v>286868</v>
          </cell>
          <cell r="BW141">
            <v>-137765</v>
          </cell>
          <cell r="BX141">
            <v>3122978</v>
          </cell>
          <cell r="BY141">
            <v>3784348</v>
          </cell>
          <cell r="BZ141">
            <v>52566050</v>
          </cell>
          <cell r="CA141">
            <v>1561489</v>
          </cell>
          <cell r="CB141">
            <v>1249191</v>
          </cell>
          <cell r="CC141">
            <v>281068</v>
          </cell>
          <cell r="CD141">
            <v>31230</v>
          </cell>
          <cell r="CE141">
            <v>1892175</v>
          </cell>
          <cell r="CF141">
            <v>1513739</v>
          </cell>
          <cell r="CG141">
            <v>340591</v>
          </cell>
          <cell r="CH141">
            <v>37843</v>
          </cell>
        </row>
        <row r="142">
          <cell r="A142">
            <v>135</v>
          </cell>
          <cell r="B142" t="str">
            <v>Hyndburn</v>
          </cell>
          <cell r="C142" t="str">
            <v>E2336</v>
          </cell>
          <cell r="D142">
            <v>125909</v>
          </cell>
          <cell r="H142">
            <v>-1427239</v>
          </cell>
          <cell r="I142">
            <v>0</v>
          </cell>
          <cell r="J142">
            <v>125909</v>
          </cell>
          <cell r="K142">
            <v>0</v>
          </cell>
          <cell r="L142">
            <v>0</v>
          </cell>
          <cell r="M142">
            <v>0</v>
          </cell>
          <cell r="N142">
            <v>0</v>
          </cell>
          <cell r="O142">
            <v>0</v>
          </cell>
          <cell r="P142">
            <v>0</v>
          </cell>
          <cell r="Q142">
            <v>0</v>
          </cell>
          <cell r="R142">
            <v>596549</v>
          </cell>
          <cell r="S142">
            <v>134223</v>
          </cell>
          <cell r="T142">
            <v>14914</v>
          </cell>
          <cell r="U142">
            <v>3590</v>
          </cell>
          <cell r="V142">
            <v>808</v>
          </cell>
          <cell r="W142">
            <v>90</v>
          </cell>
          <cell r="X142">
            <v>0</v>
          </cell>
          <cell r="Y142">
            <v>0</v>
          </cell>
          <cell r="Z142">
            <v>0</v>
          </cell>
          <cell r="AA142">
            <v>1395</v>
          </cell>
          <cell r="AB142">
            <v>314</v>
          </cell>
          <cell r="AC142">
            <v>35</v>
          </cell>
          <cell r="AD142">
            <v>0</v>
          </cell>
          <cell r="AE142">
            <v>0</v>
          </cell>
          <cell r="AF142">
            <v>0</v>
          </cell>
          <cell r="AG142">
            <v>0</v>
          </cell>
          <cell r="AH142">
            <v>0</v>
          </cell>
          <cell r="AI142">
            <v>0</v>
          </cell>
          <cell r="AM142">
            <v>0</v>
          </cell>
          <cell r="AN142">
            <v>0</v>
          </cell>
          <cell r="AO142">
            <v>0</v>
          </cell>
          <cell r="AP142">
            <v>101176</v>
          </cell>
          <cell r="AQ142">
            <v>22765</v>
          </cell>
          <cell r="AR142">
            <v>2529</v>
          </cell>
          <cell r="AS142">
            <v>-1525075</v>
          </cell>
          <cell r="AT142">
            <v>-1220059</v>
          </cell>
          <cell r="AU142">
            <v>-274513</v>
          </cell>
          <cell r="AV142">
            <v>-30502</v>
          </cell>
          <cell r="AW142">
            <v>-3050149</v>
          </cell>
          <cell r="AX142">
            <v>-1793746.2</v>
          </cell>
          <cell r="AY142">
            <v>-1434997</v>
          </cell>
          <cell r="AZ142">
            <v>-322875</v>
          </cell>
          <cell r="BA142">
            <v>-35875</v>
          </cell>
          <cell r="BB142">
            <v>-3587493.2</v>
          </cell>
          <cell r="BC142">
            <v>21096614</v>
          </cell>
          <cell r="BD142">
            <v>-2641702</v>
          </cell>
          <cell r="BE142">
            <v>622641</v>
          </cell>
          <cell r="BF142">
            <v>0</v>
          </cell>
          <cell r="BG142">
            <v>-1453211</v>
          </cell>
          <cell r="BH142">
            <v>-41314</v>
          </cell>
          <cell r="BI142">
            <v>0</v>
          </cell>
          <cell r="BJ142">
            <v>-70778</v>
          </cell>
          <cell r="BK142">
            <v>-1714673</v>
          </cell>
          <cell r="BL142">
            <v>-131998</v>
          </cell>
          <cell r="BM142">
            <v>-65122</v>
          </cell>
          <cell r="BN142">
            <v>-2361</v>
          </cell>
          <cell r="BO142">
            <v>0</v>
          </cell>
          <cell r="BP142">
            <v>0</v>
          </cell>
          <cell r="BQ142">
            <v>0</v>
          </cell>
          <cell r="BR142">
            <v>0</v>
          </cell>
          <cell r="BS142">
            <v>0</v>
          </cell>
          <cell r="BT142">
            <v>23394027</v>
          </cell>
          <cell r="BU142">
            <v>-879395</v>
          </cell>
          <cell r="BV142">
            <v>4347090</v>
          </cell>
          <cell r="BW142">
            <v>-1077161</v>
          </cell>
          <cell r="BX142">
            <v>1464566</v>
          </cell>
          <cell r="BY142">
            <v>1767158</v>
          </cell>
          <cell r="BZ142">
            <v>16838515</v>
          </cell>
          <cell r="CA142">
            <v>732281</v>
          </cell>
          <cell r="CB142">
            <v>585828</v>
          </cell>
          <cell r="CC142">
            <v>131811</v>
          </cell>
          <cell r="CD142">
            <v>14646</v>
          </cell>
          <cell r="CE142">
            <v>883579</v>
          </cell>
          <cell r="CF142">
            <v>706863</v>
          </cell>
          <cell r="CG142">
            <v>159044</v>
          </cell>
          <cell r="CH142">
            <v>17672</v>
          </cell>
        </row>
        <row r="143">
          <cell r="A143">
            <v>136</v>
          </cell>
          <cell r="B143" t="str">
            <v>Ipswich</v>
          </cell>
          <cell r="C143" t="str">
            <v>E3533</v>
          </cell>
          <cell r="D143">
            <v>187343</v>
          </cell>
          <cell r="H143">
            <v>-2960226</v>
          </cell>
          <cell r="I143">
            <v>0</v>
          </cell>
          <cell r="J143">
            <v>187343</v>
          </cell>
          <cell r="K143">
            <v>169882</v>
          </cell>
          <cell r="L143">
            <v>2073</v>
          </cell>
          <cell r="M143">
            <v>0</v>
          </cell>
          <cell r="N143">
            <v>33600</v>
          </cell>
          <cell r="O143">
            <v>33600</v>
          </cell>
          <cell r="P143">
            <v>0</v>
          </cell>
          <cell r="Q143">
            <v>0</v>
          </cell>
          <cell r="R143">
            <v>704297</v>
          </cell>
          <cell r="S143">
            <v>174927</v>
          </cell>
          <cell r="T143">
            <v>0</v>
          </cell>
          <cell r="U143">
            <v>8523</v>
          </cell>
          <cell r="V143">
            <v>2131</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M143">
            <v>0</v>
          </cell>
          <cell r="AN143">
            <v>0</v>
          </cell>
          <cell r="AO143">
            <v>0</v>
          </cell>
          <cell r="AP143">
            <v>320364</v>
          </cell>
          <cell r="AQ143">
            <v>79319</v>
          </cell>
          <cell r="AR143">
            <v>0</v>
          </cell>
          <cell r="AS143">
            <v>-391100</v>
          </cell>
          <cell r="AT143">
            <v>-312880</v>
          </cell>
          <cell r="AU143">
            <v>-78221</v>
          </cell>
          <cell r="AV143">
            <v>0</v>
          </cell>
          <cell r="AW143">
            <v>-782201</v>
          </cell>
          <cell r="AX143">
            <v>-1175222</v>
          </cell>
          <cell r="AY143">
            <v>-940177</v>
          </cell>
          <cell r="AZ143">
            <v>-235046</v>
          </cell>
          <cell r="BA143">
            <v>0</v>
          </cell>
          <cell r="BB143">
            <v>-2350445</v>
          </cell>
          <cell r="BC143">
            <v>57269694</v>
          </cell>
          <cell r="BD143">
            <v>-2526049</v>
          </cell>
          <cell r="BE143">
            <v>1534855</v>
          </cell>
          <cell r="BF143">
            <v>0</v>
          </cell>
          <cell r="BG143">
            <v>-3781566</v>
          </cell>
          <cell r="BH143">
            <v>-90255</v>
          </cell>
          <cell r="BI143">
            <v>0</v>
          </cell>
          <cell r="BJ143">
            <v>-12080</v>
          </cell>
          <cell r="BK143">
            <v>-1939937</v>
          </cell>
          <cell r="BL143">
            <v>-129342</v>
          </cell>
          <cell r="BM143">
            <v>-57611</v>
          </cell>
          <cell r="BN143">
            <v>0</v>
          </cell>
          <cell r="BO143">
            <v>0</v>
          </cell>
          <cell r="BP143">
            <v>0</v>
          </cell>
          <cell r="BQ143">
            <v>0</v>
          </cell>
          <cell r="BR143">
            <v>0</v>
          </cell>
          <cell r="BS143">
            <v>0</v>
          </cell>
          <cell r="BT143">
            <v>56321935</v>
          </cell>
          <cell r="BU143">
            <v>-385825</v>
          </cell>
          <cell r="BV143">
            <v>1475797</v>
          </cell>
          <cell r="BW143">
            <v>-238366</v>
          </cell>
          <cell r="BX143">
            <v>-2542574</v>
          </cell>
          <cell r="BY143">
            <v>-1708994</v>
          </cell>
          <cell r="BZ143">
            <v>52803817</v>
          </cell>
          <cell r="CA143">
            <v>-1271287</v>
          </cell>
          <cell r="CB143">
            <v>-1017030</v>
          </cell>
          <cell r="CC143">
            <v>-254257</v>
          </cell>
          <cell r="CD143">
            <v>0</v>
          </cell>
          <cell r="CE143">
            <v>-854497</v>
          </cell>
          <cell r="CF143">
            <v>-683598</v>
          </cell>
          <cell r="CG143">
            <v>-170899</v>
          </cell>
          <cell r="CH143">
            <v>0</v>
          </cell>
        </row>
        <row r="144">
          <cell r="A144">
            <v>137</v>
          </cell>
          <cell r="B144" t="str">
            <v>Isle of Wight Council</v>
          </cell>
          <cell r="C144" t="str">
            <v>E2101</v>
          </cell>
          <cell r="D144">
            <v>263045</v>
          </cell>
          <cell r="H144">
            <v>2395904</v>
          </cell>
          <cell r="I144">
            <v>0</v>
          </cell>
          <cell r="J144">
            <v>263045</v>
          </cell>
          <cell r="K144">
            <v>0</v>
          </cell>
          <cell r="L144">
            <v>215490</v>
          </cell>
          <cell r="M144">
            <v>0</v>
          </cell>
          <cell r="N144">
            <v>0</v>
          </cell>
          <cell r="O144">
            <v>0</v>
          </cell>
          <cell r="P144">
            <v>0</v>
          </cell>
          <cell r="Q144">
            <v>0</v>
          </cell>
          <cell r="R144">
            <v>1629336</v>
          </cell>
          <cell r="S144">
            <v>0</v>
          </cell>
          <cell r="T144">
            <v>0</v>
          </cell>
          <cell r="U144">
            <v>3561</v>
          </cell>
          <cell r="V144">
            <v>0</v>
          </cell>
          <cell r="W144">
            <v>0</v>
          </cell>
          <cell r="X144">
            <v>2538</v>
          </cell>
          <cell r="Y144">
            <v>0</v>
          </cell>
          <cell r="Z144">
            <v>0</v>
          </cell>
          <cell r="AA144">
            <v>7613</v>
          </cell>
          <cell r="AB144">
            <v>0</v>
          </cell>
          <cell r="AC144">
            <v>0</v>
          </cell>
          <cell r="AD144">
            <v>0</v>
          </cell>
          <cell r="AE144">
            <v>0</v>
          </cell>
          <cell r="AF144">
            <v>0</v>
          </cell>
          <cell r="AG144">
            <v>0</v>
          </cell>
          <cell r="AH144">
            <v>0</v>
          </cell>
          <cell r="AI144">
            <v>0</v>
          </cell>
          <cell r="AM144">
            <v>0</v>
          </cell>
          <cell r="AN144">
            <v>0</v>
          </cell>
          <cell r="AO144">
            <v>0</v>
          </cell>
          <cell r="AP144">
            <v>279425</v>
          </cell>
          <cell r="AQ144">
            <v>0</v>
          </cell>
          <cell r="AR144">
            <v>0</v>
          </cell>
          <cell r="AS144">
            <v>-223566</v>
          </cell>
          <cell r="AT144">
            <v>-223566</v>
          </cell>
          <cell r="AU144">
            <v>0</v>
          </cell>
          <cell r="AV144">
            <v>0</v>
          </cell>
          <cell r="AW144">
            <v>-447132</v>
          </cell>
          <cell r="AX144">
            <v>-2060593</v>
          </cell>
          <cell r="AY144">
            <v>-2060595</v>
          </cell>
          <cell r="AZ144">
            <v>0</v>
          </cell>
          <cell r="BA144">
            <v>0</v>
          </cell>
          <cell r="BB144">
            <v>-4121188</v>
          </cell>
          <cell r="BC144">
            <v>34709896</v>
          </cell>
          <cell r="BD144">
            <v>-5405438</v>
          </cell>
          <cell r="BE144">
            <v>899312</v>
          </cell>
          <cell r="BF144">
            <v>0</v>
          </cell>
          <cell r="BG144">
            <v>-3013341</v>
          </cell>
          <cell r="BH144">
            <v>-96786</v>
          </cell>
          <cell r="BI144">
            <v>-10635</v>
          </cell>
          <cell r="BJ144">
            <v>-545</v>
          </cell>
          <cell r="BK144">
            <v>-945537</v>
          </cell>
          <cell r="BL144">
            <v>-101130</v>
          </cell>
          <cell r="BM144">
            <v>-63565</v>
          </cell>
          <cell r="BN144">
            <v>-944</v>
          </cell>
          <cell r="BO144">
            <v>-6080</v>
          </cell>
          <cell r="BP144">
            <v>0</v>
          </cell>
          <cell r="BQ144">
            <v>0</v>
          </cell>
          <cell r="BR144">
            <v>0</v>
          </cell>
          <cell r="BS144">
            <v>0</v>
          </cell>
          <cell r="BT144">
            <v>35627851</v>
          </cell>
          <cell r="BU144">
            <v>-413451</v>
          </cell>
          <cell r="BV144">
            <v>1093814</v>
          </cell>
          <cell r="BW144">
            <v>-419417</v>
          </cell>
          <cell r="BX144">
            <v>-1441020</v>
          </cell>
          <cell r="BY144">
            <v>-1800000</v>
          </cell>
          <cell r="BZ144">
            <v>36772407</v>
          </cell>
          <cell r="CA144">
            <v>-720510</v>
          </cell>
          <cell r="CB144">
            <v>-720510</v>
          </cell>
          <cell r="CC144">
            <v>0</v>
          </cell>
          <cell r="CD144">
            <v>0</v>
          </cell>
          <cell r="CE144">
            <v>-900000</v>
          </cell>
          <cell r="CF144">
            <v>-900000</v>
          </cell>
          <cell r="CG144">
            <v>0</v>
          </cell>
          <cell r="CH144">
            <v>0</v>
          </cell>
        </row>
        <row r="145">
          <cell r="A145">
            <v>138</v>
          </cell>
          <cell r="B145" t="str">
            <v>Isles of Scilly</v>
          </cell>
          <cell r="C145" t="str">
            <v>E4001</v>
          </cell>
          <cell r="D145">
            <v>24246</v>
          </cell>
          <cell r="H145">
            <v>31029</v>
          </cell>
          <cell r="I145">
            <v>0</v>
          </cell>
          <cell r="J145">
            <v>24246</v>
          </cell>
          <cell r="K145">
            <v>0</v>
          </cell>
          <cell r="L145">
            <v>0</v>
          </cell>
          <cell r="M145">
            <v>0</v>
          </cell>
          <cell r="N145">
            <v>0</v>
          </cell>
          <cell r="O145">
            <v>0</v>
          </cell>
          <cell r="P145">
            <v>0</v>
          </cell>
          <cell r="Q145">
            <v>0</v>
          </cell>
          <cell r="R145">
            <v>119983</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M145">
            <v>0</v>
          </cell>
          <cell r="AN145">
            <v>0</v>
          </cell>
          <cell r="AO145">
            <v>0</v>
          </cell>
          <cell r="AP145">
            <v>10809</v>
          </cell>
          <cell r="AQ145">
            <v>0</v>
          </cell>
          <cell r="AR145">
            <v>0</v>
          </cell>
          <cell r="AS145">
            <v>-24026</v>
          </cell>
          <cell r="AT145">
            <v>-24026</v>
          </cell>
          <cell r="AU145">
            <v>0</v>
          </cell>
          <cell r="AV145">
            <v>0</v>
          </cell>
          <cell r="AW145">
            <v>-48052</v>
          </cell>
          <cell r="AX145">
            <v>-56739</v>
          </cell>
          <cell r="AY145">
            <v>-56740</v>
          </cell>
          <cell r="AZ145">
            <v>0</v>
          </cell>
          <cell r="BA145">
            <v>0</v>
          </cell>
          <cell r="BB145">
            <v>-113479</v>
          </cell>
          <cell r="BC145">
            <v>1439312</v>
          </cell>
          <cell r="BD145">
            <v>-368332</v>
          </cell>
          <cell r="BE145">
            <v>0</v>
          </cell>
          <cell r="BF145">
            <v>0</v>
          </cell>
          <cell r="BG145">
            <v>-16441</v>
          </cell>
          <cell r="BH145">
            <v>-6570</v>
          </cell>
          <cell r="BI145">
            <v>-1814</v>
          </cell>
          <cell r="BJ145">
            <v>0</v>
          </cell>
          <cell r="BK145">
            <v>-709</v>
          </cell>
          <cell r="BL145">
            <v>-2475</v>
          </cell>
          <cell r="BM145">
            <v>-4641</v>
          </cell>
          <cell r="BN145">
            <v>-1446</v>
          </cell>
          <cell r="BO145">
            <v>-1267</v>
          </cell>
          <cell r="BP145">
            <v>0</v>
          </cell>
          <cell r="BQ145">
            <v>0</v>
          </cell>
          <cell r="BR145">
            <v>0</v>
          </cell>
          <cell r="BS145">
            <v>0</v>
          </cell>
          <cell r="BT145">
            <v>1493046</v>
          </cell>
          <cell r="BU145">
            <v>0</v>
          </cell>
          <cell r="BV145">
            <v>62725</v>
          </cell>
          <cell r="BW145">
            <v>-29213</v>
          </cell>
          <cell r="BX145">
            <v>-583387</v>
          </cell>
          <cell r="BY145">
            <v>-240000</v>
          </cell>
          <cell r="BZ145">
            <v>1439075</v>
          </cell>
          <cell r="CA145">
            <v>-291693</v>
          </cell>
          <cell r="CB145">
            <v>-291694</v>
          </cell>
          <cell r="CC145">
            <v>0</v>
          </cell>
          <cell r="CD145">
            <v>0</v>
          </cell>
          <cell r="CE145">
            <v>-120000</v>
          </cell>
          <cell r="CF145">
            <v>-120000</v>
          </cell>
          <cell r="CG145">
            <v>0</v>
          </cell>
          <cell r="CH145">
            <v>0</v>
          </cell>
        </row>
        <row r="146">
          <cell r="A146">
            <v>139</v>
          </cell>
          <cell r="B146" t="str">
            <v>Islington</v>
          </cell>
          <cell r="C146" t="str">
            <v>E5015</v>
          </cell>
          <cell r="D146">
            <v>703757</v>
          </cell>
          <cell r="H146">
            <v>38124629</v>
          </cell>
          <cell r="I146">
            <v>0</v>
          </cell>
          <cell r="J146">
            <v>703757</v>
          </cell>
          <cell r="K146">
            <v>0</v>
          </cell>
          <cell r="L146">
            <v>74351</v>
          </cell>
          <cell r="M146">
            <v>0</v>
          </cell>
          <cell r="N146">
            <v>0</v>
          </cell>
          <cell r="O146">
            <v>0</v>
          </cell>
          <cell r="P146">
            <v>0</v>
          </cell>
          <cell r="Q146">
            <v>0</v>
          </cell>
          <cell r="R146">
            <v>796751</v>
          </cell>
          <cell r="S146">
            <v>982660</v>
          </cell>
          <cell r="T146">
            <v>0</v>
          </cell>
          <cell r="U146">
            <v>0</v>
          </cell>
          <cell r="V146">
            <v>0</v>
          </cell>
          <cell r="W146">
            <v>0</v>
          </cell>
          <cell r="X146">
            <v>100383</v>
          </cell>
          <cell r="Y146">
            <v>123806</v>
          </cell>
          <cell r="Z146">
            <v>0</v>
          </cell>
          <cell r="AA146">
            <v>95</v>
          </cell>
          <cell r="AB146">
            <v>118</v>
          </cell>
          <cell r="AC146">
            <v>0</v>
          </cell>
          <cell r="AD146">
            <v>0</v>
          </cell>
          <cell r="AE146">
            <v>0</v>
          </cell>
          <cell r="AF146">
            <v>0</v>
          </cell>
          <cell r="AG146">
            <v>0</v>
          </cell>
          <cell r="AH146">
            <v>0</v>
          </cell>
          <cell r="AI146">
            <v>0</v>
          </cell>
          <cell r="AM146">
            <v>0</v>
          </cell>
          <cell r="AN146">
            <v>0</v>
          </cell>
          <cell r="AO146">
            <v>0</v>
          </cell>
          <cell r="AP146">
            <v>1176831</v>
          </cell>
          <cell r="AQ146">
            <v>1450047</v>
          </cell>
          <cell r="AR146">
            <v>0</v>
          </cell>
          <cell r="AS146">
            <v>-7933119.5999999996</v>
          </cell>
          <cell r="AT146">
            <v>-4759868</v>
          </cell>
          <cell r="AU146">
            <v>-3173246</v>
          </cell>
          <cell r="AV146">
            <v>0</v>
          </cell>
          <cell r="AW146">
            <v>-15866233</v>
          </cell>
          <cell r="AX146">
            <v>-9921789</v>
          </cell>
          <cell r="AY146">
            <v>-5953074</v>
          </cell>
          <cell r="AZ146">
            <v>-3968714</v>
          </cell>
          <cell r="BA146">
            <v>0</v>
          </cell>
          <cell r="BB146">
            <v>-19843577</v>
          </cell>
          <cell r="BC146">
            <v>198899844</v>
          </cell>
          <cell r="BD146">
            <v>-3498282</v>
          </cell>
          <cell r="BE146">
            <v>5547610</v>
          </cell>
          <cell r="BF146">
            <v>0</v>
          </cell>
          <cell r="BG146">
            <v>-18864310</v>
          </cell>
          <cell r="BH146">
            <v>0</v>
          </cell>
          <cell r="BI146">
            <v>0</v>
          </cell>
          <cell r="BJ146">
            <v>-314489</v>
          </cell>
          <cell r="BK146">
            <v>-6923757</v>
          </cell>
          <cell r="BL146">
            <v>-681994</v>
          </cell>
          <cell r="BM146">
            <v>-322204</v>
          </cell>
          <cell r="BN146">
            <v>0</v>
          </cell>
          <cell r="BO146">
            <v>0</v>
          </cell>
          <cell r="BP146">
            <v>0</v>
          </cell>
          <cell r="BQ146">
            <v>0</v>
          </cell>
          <cell r="BR146">
            <v>0</v>
          </cell>
          <cell r="BS146">
            <v>0</v>
          </cell>
          <cell r="BT146">
            <v>209251142</v>
          </cell>
          <cell r="BU146">
            <v>-2018305</v>
          </cell>
          <cell r="BV146">
            <v>18879468</v>
          </cell>
          <cell r="BW146">
            <v>-13732407</v>
          </cell>
          <cell r="BX146">
            <v>6358343</v>
          </cell>
          <cell r="BY146">
            <v>6199156</v>
          </cell>
          <cell r="BZ146">
            <v>260896510</v>
          </cell>
          <cell r="CA146">
            <v>3179172</v>
          </cell>
          <cell r="CB146">
            <v>1907502</v>
          </cell>
          <cell r="CC146">
            <v>1271669</v>
          </cell>
          <cell r="CD146">
            <v>0</v>
          </cell>
          <cell r="CE146">
            <v>3099578</v>
          </cell>
          <cell r="CF146">
            <v>1859747</v>
          </cell>
          <cell r="CG146">
            <v>1239831</v>
          </cell>
          <cell r="CH146">
            <v>0</v>
          </cell>
        </row>
        <row r="147">
          <cell r="A147">
            <v>140</v>
          </cell>
          <cell r="B147" t="str">
            <v>Kensington and Chelsea</v>
          </cell>
          <cell r="C147" t="str">
            <v>E5016</v>
          </cell>
          <cell r="D147">
            <v>649577</v>
          </cell>
          <cell r="H147">
            <v>19775110</v>
          </cell>
          <cell r="I147">
            <v>0</v>
          </cell>
          <cell r="J147">
            <v>649577</v>
          </cell>
          <cell r="K147">
            <v>0</v>
          </cell>
          <cell r="L147">
            <v>0</v>
          </cell>
          <cell r="M147">
            <v>0</v>
          </cell>
          <cell r="N147">
            <v>0</v>
          </cell>
          <cell r="O147">
            <v>0</v>
          </cell>
          <cell r="P147">
            <v>0</v>
          </cell>
          <cell r="Q147">
            <v>0</v>
          </cell>
          <cell r="R147">
            <v>389313</v>
          </cell>
          <cell r="S147">
            <v>480154</v>
          </cell>
          <cell r="T147">
            <v>0</v>
          </cell>
          <cell r="U147">
            <v>0</v>
          </cell>
          <cell r="V147">
            <v>0</v>
          </cell>
          <cell r="W147">
            <v>0</v>
          </cell>
          <cell r="X147">
            <v>0</v>
          </cell>
          <cell r="Y147">
            <v>0</v>
          </cell>
          <cell r="Z147">
            <v>0</v>
          </cell>
          <cell r="AA147">
            <v>13829</v>
          </cell>
          <cell r="AB147">
            <v>17055</v>
          </cell>
          <cell r="AC147">
            <v>0</v>
          </cell>
          <cell r="AD147">
            <v>0</v>
          </cell>
          <cell r="AE147">
            <v>0</v>
          </cell>
          <cell r="AF147">
            <v>0</v>
          </cell>
          <cell r="AG147">
            <v>0</v>
          </cell>
          <cell r="AH147">
            <v>0</v>
          </cell>
          <cell r="AI147">
            <v>0</v>
          </cell>
          <cell r="AM147">
            <v>0</v>
          </cell>
          <cell r="AN147">
            <v>0</v>
          </cell>
          <cell r="AO147">
            <v>0</v>
          </cell>
          <cell r="AP147">
            <v>1448137</v>
          </cell>
          <cell r="AQ147">
            <v>1786035</v>
          </cell>
          <cell r="AR147">
            <v>0</v>
          </cell>
          <cell r="AS147">
            <v>-1680829</v>
          </cell>
          <cell r="AT147">
            <v>-1008498</v>
          </cell>
          <cell r="AU147">
            <v>-672332</v>
          </cell>
          <cell r="AV147">
            <v>0</v>
          </cell>
          <cell r="AW147">
            <v>-3361659</v>
          </cell>
          <cell r="AX147">
            <v>-12056581.199999999</v>
          </cell>
          <cell r="AY147">
            <v>-7233949</v>
          </cell>
          <cell r="AZ147">
            <v>-4822631</v>
          </cell>
          <cell r="BA147">
            <v>0</v>
          </cell>
          <cell r="BB147">
            <v>-24113161</v>
          </cell>
          <cell r="BC147">
            <v>280208446</v>
          </cell>
          <cell r="BD147">
            <v>-1908026</v>
          </cell>
          <cell r="BE147">
            <v>7828364</v>
          </cell>
          <cell r="BF147">
            <v>0</v>
          </cell>
          <cell r="BG147">
            <v>-16637896</v>
          </cell>
          <cell r="BH147">
            <v>0</v>
          </cell>
          <cell r="BI147">
            <v>0</v>
          </cell>
          <cell r="BJ147">
            <v>-3719</v>
          </cell>
          <cell r="BK147">
            <v>-8804926</v>
          </cell>
          <cell r="BL147">
            <v>-73452</v>
          </cell>
          <cell r="BM147">
            <v>-84050</v>
          </cell>
          <cell r="BN147">
            <v>0</v>
          </cell>
          <cell r="BO147">
            <v>0</v>
          </cell>
          <cell r="BP147">
            <v>0</v>
          </cell>
          <cell r="BQ147">
            <v>0</v>
          </cell>
          <cell r="BR147">
            <v>0</v>
          </cell>
          <cell r="BS147">
            <v>0</v>
          </cell>
          <cell r="BT147">
            <v>284936593</v>
          </cell>
          <cell r="BU147">
            <v>-1972876</v>
          </cell>
          <cell r="BV147">
            <v>8527556</v>
          </cell>
          <cell r="BW147">
            <v>-7687751</v>
          </cell>
          <cell r="BX147">
            <v>-1166366</v>
          </cell>
          <cell r="BY147">
            <v>-4717005</v>
          </cell>
          <cell r="BZ147">
            <v>321348416</v>
          </cell>
          <cell r="CA147">
            <v>-583182</v>
          </cell>
          <cell r="CB147">
            <v>-349910</v>
          </cell>
          <cell r="CC147">
            <v>-233274</v>
          </cell>
          <cell r="CD147">
            <v>0</v>
          </cell>
          <cell r="CE147">
            <v>-2358502</v>
          </cell>
          <cell r="CF147">
            <v>-1415102</v>
          </cell>
          <cell r="CG147">
            <v>-943401</v>
          </cell>
          <cell r="CH147">
            <v>0</v>
          </cell>
        </row>
        <row r="148">
          <cell r="A148">
            <v>141</v>
          </cell>
          <cell r="B148" t="str">
            <v>Kettering</v>
          </cell>
          <cell r="C148" t="str">
            <v>E2834</v>
          </cell>
          <cell r="D148">
            <v>110062</v>
          </cell>
          <cell r="H148">
            <v>-1638962</v>
          </cell>
          <cell r="I148">
            <v>0</v>
          </cell>
          <cell r="J148">
            <v>110062</v>
          </cell>
          <cell r="K148">
            <v>0</v>
          </cell>
          <cell r="L148">
            <v>289400</v>
          </cell>
          <cell r="M148">
            <v>0</v>
          </cell>
          <cell r="N148">
            <v>0</v>
          </cell>
          <cell r="O148">
            <v>0</v>
          </cell>
          <cell r="P148">
            <v>0</v>
          </cell>
          <cell r="Q148">
            <v>0</v>
          </cell>
          <cell r="R148">
            <v>574609</v>
          </cell>
          <cell r="S148">
            <v>143652</v>
          </cell>
          <cell r="T148">
            <v>0</v>
          </cell>
          <cell r="U148">
            <v>0</v>
          </cell>
          <cell r="V148">
            <v>0</v>
          </cell>
          <cell r="W148">
            <v>0</v>
          </cell>
          <cell r="X148">
            <v>3630</v>
          </cell>
          <cell r="Y148">
            <v>908</v>
          </cell>
          <cell r="Z148">
            <v>0</v>
          </cell>
          <cell r="AA148">
            <v>0</v>
          </cell>
          <cell r="AB148">
            <v>0</v>
          </cell>
          <cell r="AC148">
            <v>0</v>
          </cell>
          <cell r="AD148">
            <v>0</v>
          </cell>
          <cell r="AE148">
            <v>0</v>
          </cell>
          <cell r="AF148">
            <v>0</v>
          </cell>
          <cell r="AG148">
            <v>0</v>
          </cell>
          <cell r="AH148">
            <v>0</v>
          </cell>
          <cell r="AI148">
            <v>0</v>
          </cell>
          <cell r="AM148">
            <v>0</v>
          </cell>
          <cell r="AN148">
            <v>0</v>
          </cell>
          <cell r="AO148">
            <v>0</v>
          </cell>
          <cell r="AP148">
            <v>182678</v>
          </cell>
          <cell r="AQ148">
            <v>44583</v>
          </cell>
          <cell r="AR148">
            <v>0</v>
          </cell>
          <cell r="AS148">
            <v>-51784</v>
          </cell>
          <cell r="AT148">
            <v>-41425</v>
          </cell>
          <cell r="AU148">
            <v>-10356</v>
          </cell>
          <cell r="AV148">
            <v>0</v>
          </cell>
          <cell r="AW148">
            <v>-103565</v>
          </cell>
          <cell r="AX148">
            <v>-1767021</v>
          </cell>
          <cell r="AY148">
            <v>-1413616</v>
          </cell>
          <cell r="AZ148">
            <v>-353403</v>
          </cell>
          <cell r="BA148">
            <v>0</v>
          </cell>
          <cell r="BB148">
            <v>-3534040</v>
          </cell>
          <cell r="BC148">
            <v>30481849</v>
          </cell>
          <cell r="BD148">
            <v>-1773459</v>
          </cell>
          <cell r="BE148">
            <v>874342</v>
          </cell>
          <cell r="BF148">
            <v>0</v>
          </cell>
          <cell r="BG148">
            <v>-2762201</v>
          </cell>
          <cell r="BH148">
            <v>-69341</v>
          </cell>
          <cell r="BI148">
            <v>-5287</v>
          </cell>
          <cell r="BJ148">
            <v>0</v>
          </cell>
          <cell r="BK148">
            <v>-447423</v>
          </cell>
          <cell r="BL148">
            <v>-9861</v>
          </cell>
          <cell r="BM148">
            <v>-44536</v>
          </cell>
          <cell r="BN148">
            <v>-2090</v>
          </cell>
          <cell r="BO148">
            <v>-1342</v>
          </cell>
          <cell r="BP148">
            <v>0</v>
          </cell>
          <cell r="BQ148">
            <v>0</v>
          </cell>
          <cell r="BR148">
            <v>0</v>
          </cell>
          <cell r="BS148">
            <v>0</v>
          </cell>
          <cell r="BT148">
            <v>31514923</v>
          </cell>
          <cell r="BU148">
            <v>-89022</v>
          </cell>
          <cell r="BV148">
            <v>368427</v>
          </cell>
          <cell r="BW148">
            <v>-849827</v>
          </cell>
          <cell r="BX148">
            <v>-2882371</v>
          </cell>
          <cell r="BY148">
            <v>-1469571</v>
          </cell>
          <cell r="BZ148">
            <v>29679389</v>
          </cell>
          <cell r="CA148">
            <v>-1441186</v>
          </cell>
          <cell r="CB148">
            <v>-1152948</v>
          </cell>
          <cell r="CC148">
            <v>-288237</v>
          </cell>
          <cell r="CD148">
            <v>0</v>
          </cell>
          <cell r="CE148">
            <v>-734786</v>
          </cell>
          <cell r="CF148">
            <v>-587828</v>
          </cell>
          <cell r="CG148">
            <v>-146957</v>
          </cell>
          <cell r="CH148">
            <v>0</v>
          </cell>
        </row>
        <row r="149">
          <cell r="A149">
            <v>142</v>
          </cell>
          <cell r="B149" t="str">
            <v>Kings Lynn and West Norfolk</v>
          </cell>
          <cell r="C149" t="str">
            <v>E2634</v>
          </cell>
          <cell r="D149">
            <v>220343</v>
          </cell>
          <cell r="H149">
            <v>-1717486</v>
          </cell>
          <cell r="I149">
            <v>0</v>
          </cell>
          <cell r="J149">
            <v>220343</v>
          </cell>
          <cell r="K149">
            <v>0</v>
          </cell>
          <cell r="L149">
            <v>1108598</v>
          </cell>
          <cell r="M149">
            <v>0</v>
          </cell>
          <cell r="N149">
            <v>84077</v>
          </cell>
          <cell r="O149">
            <v>84077</v>
          </cell>
          <cell r="P149">
            <v>0</v>
          </cell>
          <cell r="Q149">
            <v>0</v>
          </cell>
          <cell r="R149">
            <v>870424</v>
          </cell>
          <cell r="S149">
            <v>217275</v>
          </cell>
          <cell r="T149">
            <v>0</v>
          </cell>
          <cell r="U149">
            <v>11191</v>
          </cell>
          <cell r="V149">
            <v>2798</v>
          </cell>
          <cell r="W149">
            <v>0</v>
          </cell>
          <cell r="X149">
            <v>5965</v>
          </cell>
          <cell r="Y149">
            <v>1491</v>
          </cell>
          <cell r="Z149">
            <v>0</v>
          </cell>
          <cell r="AA149">
            <v>103</v>
          </cell>
          <cell r="AB149">
            <v>26</v>
          </cell>
          <cell r="AC149">
            <v>0</v>
          </cell>
          <cell r="AD149">
            <v>0</v>
          </cell>
          <cell r="AE149">
            <v>0</v>
          </cell>
          <cell r="AF149">
            <v>0</v>
          </cell>
          <cell r="AG149">
            <v>0</v>
          </cell>
          <cell r="AH149">
            <v>0</v>
          </cell>
          <cell r="AI149">
            <v>0</v>
          </cell>
          <cell r="AM149">
            <v>0</v>
          </cell>
          <cell r="AN149">
            <v>0</v>
          </cell>
          <cell r="AO149">
            <v>0</v>
          </cell>
          <cell r="AP149">
            <v>265566</v>
          </cell>
          <cell r="AQ149">
            <v>61913</v>
          </cell>
          <cell r="AR149">
            <v>0</v>
          </cell>
          <cell r="AS149">
            <v>-256109</v>
          </cell>
          <cell r="AT149">
            <v>-204885</v>
          </cell>
          <cell r="AU149">
            <v>-51222</v>
          </cell>
          <cell r="AV149">
            <v>0</v>
          </cell>
          <cell r="AW149">
            <v>-512216</v>
          </cell>
          <cell r="AX149">
            <v>-2095320.5999999996</v>
          </cell>
          <cell r="AY149">
            <v>-1676256</v>
          </cell>
          <cell r="AZ149">
            <v>-419064</v>
          </cell>
          <cell r="BA149">
            <v>0</v>
          </cell>
          <cell r="BB149">
            <v>-4190640.5999999996</v>
          </cell>
          <cell r="BC149">
            <v>46127370</v>
          </cell>
          <cell r="BD149">
            <v>-3694430</v>
          </cell>
          <cell r="BE149">
            <v>1204944</v>
          </cell>
          <cell r="BF149">
            <v>0</v>
          </cell>
          <cell r="BG149">
            <v>-2910141</v>
          </cell>
          <cell r="BH149">
            <v>-33261</v>
          </cell>
          <cell r="BI149">
            <v>-81341</v>
          </cell>
          <cell r="BJ149">
            <v>-17867</v>
          </cell>
          <cell r="BK149">
            <v>-1143296</v>
          </cell>
          <cell r="BL149">
            <v>-206891</v>
          </cell>
          <cell r="BM149">
            <v>-58533</v>
          </cell>
          <cell r="BN149">
            <v>-324</v>
          </cell>
          <cell r="BO149">
            <v>-29210</v>
          </cell>
          <cell r="BP149">
            <v>-20024</v>
          </cell>
          <cell r="BQ149">
            <v>-71513</v>
          </cell>
          <cell r="BR149">
            <v>-71513</v>
          </cell>
          <cell r="BS149">
            <v>0</v>
          </cell>
          <cell r="BT149">
            <v>46653109</v>
          </cell>
          <cell r="BU149">
            <v>-223685</v>
          </cell>
          <cell r="BV149">
            <v>1039150</v>
          </cell>
          <cell r="BW149">
            <v>-461080</v>
          </cell>
          <cell r="BX149">
            <v>2575518</v>
          </cell>
          <cell r="BY149">
            <v>-542793</v>
          </cell>
          <cell r="BZ149">
            <v>41216067</v>
          </cell>
          <cell r="CA149">
            <v>1287760</v>
          </cell>
          <cell r="CB149">
            <v>1030207</v>
          </cell>
          <cell r="CC149">
            <v>257551</v>
          </cell>
          <cell r="CD149">
            <v>0</v>
          </cell>
          <cell r="CE149">
            <v>-271397</v>
          </cell>
          <cell r="CF149">
            <v>-217117</v>
          </cell>
          <cell r="CG149">
            <v>-54279</v>
          </cell>
          <cell r="CH149">
            <v>0</v>
          </cell>
        </row>
        <row r="150">
          <cell r="A150">
            <v>143</v>
          </cell>
          <cell r="B150" t="str">
            <v>Kingston upon Hull</v>
          </cell>
          <cell r="C150" t="str">
            <v>E2002</v>
          </cell>
          <cell r="D150">
            <v>356488</v>
          </cell>
          <cell r="H150">
            <v>6777337</v>
          </cell>
          <cell r="I150">
            <v>0</v>
          </cell>
          <cell r="J150">
            <v>361488</v>
          </cell>
          <cell r="K150">
            <v>1536655</v>
          </cell>
          <cell r="L150">
            <v>0</v>
          </cell>
          <cell r="M150">
            <v>0</v>
          </cell>
          <cell r="N150">
            <v>0</v>
          </cell>
          <cell r="O150">
            <v>0</v>
          </cell>
          <cell r="P150">
            <v>0</v>
          </cell>
          <cell r="Q150">
            <v>0</v>
          </cell>
          <cell r="R150">
            <v>2324137</v>
          </cell>
          <cell r="S150">
            <v>0</v>
          </cell>
          <cell r="T150">
            <v>47431</v>
          </cell>
          <cell r="U150">
            <v>0</v>
          </cell>
          <cell r="V150">
            <v>0</v>
          </cell>
          <cell r="W150">
            <v>0</v>
          </cell>
          <cell r="X150">
            <v>0</v>
          </cell>
          <cell r="Y150">
            <v>0</v>
          </cell>
          <cell r="Z150">
            <v>0</v>
          </cell>
          <cell r="AA150">
            <v>18277</v>
          </cell>
          <cell r="AB150">
            <v>0</v>
          </cell>
          <cell r="AC150">
            <v>373</v>
          </cell>
          <cell r="AD150">
            <v>0</v>
          </cell>
          <cell r="AE150">
            <v>0</v>
          </cell>
          <cell r="AF150">
            <v>0</v>
          </cell>
          <cell r="AG150">
            <v>0</v>
          </cell>
          <cell r="AH150">
            <v>0</v>
          </cell>
          <cell r="AI150">
            <v>0</v>
          </cell>
          <cell r="AM150">
            <v>0</v>
          </cell>
          <cell r="AN150">
            <v>0</v>
          </cell>
          <cell r="AO150">
            <v>0</v>
          </cell>
          <cell r="AP150">
            <v>616723</v>
          </cell>
          <cell r="AQ150">
            <v>0</v>
          </cell>
          <cell r="AR150">
            <v>12115</v>
          </cell>
          <cell r="AS150">
            <v>-625000</v>
          </cell>
          <cell r="AT150">
            <v>-612501</v>
          </cell>
          <cell r="AU150">
            <v>0</v>
          </cell>
          <cell r="AV150">
            <v>-12499</v>
          </cell>
          <cell r="AW150">
            <v>-1250000</v>
          </cell>
          <cell r="AX150">
            <v>-885000</v>
          </cell>
          <cell r="AY150">
            <v>-867300</v>
          </cell>
          <cell r="AZ150">
            <v>0</v>
          </cell>
          <cell r="BA150">
            <v>-17700</v>
          </cell>
          <cell r="BB150">
            <v>-1770000</v>
          </cell>
          <cell r="BC150">
            <v>84794787</v>
          </cell>
          <cell r="BD150">
            <v>-6173553</v>
          </cell>
          <cell r="BE150">
            <v>2497230</v>
          </cell>
          <cell r="BF150">
            <v>0</v>
          </cell>
          <cell r="BG150">
            <v>-7772494</v>
          </cell>
          <cell r="BH150">
            <v>-17096</v>
          </cell>
          <cell r="BI150">
            <v>0</v>
          </cell>
          <cell r="BJ150">
            <v>0</v>
          </cell>
          <cell r="BK150">
            <v>-4069927</v>
          </cell>
          <cell r="BL150">
            <v>-5135</v>
          </cell>
          <cell r="BM150">
            <v>-939695</v>
          </cell>
          <cell r="BN150">
            <v>0</v>
          </cell>
          <cell r="BO150">
            <v>0</v>
          </cell>
          <cell r="BP150">
            <v>0</v>
          </cell>
          <cell r="BQ150">
            <v>-98644</v>
          </cell>
          <cell r="BR150">
            <v>-98644</v>
          </cell>
          <cell r="BS150">
            <v>0</v>
          </cell>
          <cell r="BT150">
            <v>82807895</v>
          </cell>
          <cell r="BU150">
            <v>-1251731</v>
          </cell>
          <cell r="BV150">
            <v>4831072</v>
          </cell>
          <cell r="BW150">
            <v>-500289</v>
          </cell>
          <cell r="BX150">
            <v>-18560638</v>
          </cell>
          <cell r="BY150">
            <v>-17901867</v>
          </cell>
          <cell r="BZ150">
            <v>80652034</v>
          </cell>
          <cell r="CA150">
            <v>-9280320</v>
          </cell>
          <cell r="CB150">
            <v>-9094712</v>
          </cell>
          <cell r="CC150">
            <v>0</v>
          </cell>
          <cell r="CD150">
            <v>-185606</v>
          </cell>
          <cell r="CE150">
            <v>-8950933</v>
          </cell>
          <cell r="CF150">
            <v>-8771915</v>
          </cell>
          <cell r="CG150">
            <v>0</v>
          </cell>
          <cell r="CH150">
            <v>-179019</v>
          </cell>
        </row>
        <row r="151">
          <cell r="A151">
            <v>144</v>
          </cell>
          <cell r="B151" t="str">
            <v>Kingston upon Thames</v>
          </cell>
          <cell r="C151" t="str">
            <v>E5043</v>
          </cell>
          <cell r="D151">
            <v>243188</v>
          </cell>
          <cell r="H151">
            <v>802411</v>
          </cell>
          <cell r="I151">
            <v>0</v>
          </cell>
          <cell r="J151">
            <v>243188</v>
          </cell>
          <cell r="K151">
            <v>0</v>
          </cell>
          <cell r="L151">
            <v>0</v>
          </cell>
          <cell r="M151">
            <v>0</v>
          </cell>
          <cell r="N151">
            <v>0</v>
          </cell>
          <cell r="O151">
            <v>0</v>
          </cell>
          <cell r="P151">
            <v>0</v>
          </cell>
          <cell r="Q151">
            <v>0</v>
          </cell>
          <cell r="R151">
            <v>509905</v>
          </cell>
          <cell r="S151">
            <v>628883</v>
          </cell>
          <cell r="T151">
            <v>0</v>
          </cell>
          <cell r="U151">
            <v>1522</v>
          </cell>
          <cell r="V151">
            <v>1878</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M151">
            <v>0</v>
          </cell>
          <cell r="AN151">
            <v>0</v>
          </cell>
          <cell r="AO151">
            <v>0</v>
          </cell>
          <cell r="AP151">
            <v>383863</v>
          </cell>
          <cell r="AQ151">
            <v>473432</v>
          </cell>
          <cell r="AR151">
            <v>0</v>
          </cell>
          <cell r="AS151">
            <v>-2811568.5</v>
          </cell>
          <cell r="AT151">
            <v>-1686943.9</v>
          </cell>
          <cell r="AU151">
            <v>-1124627.6000000001</v>
          </cell>
          <cell r="AV151">
            <v>0</v>
          </cell>
          <cell r="AW151">
            <v>-5623140</v>
          </cell>
          <cell r="AX151">
            <v>-2991455</v>
          </cell>
          <cell r="AY151">
            <v>-1794872</v>
          </cell>
          <cell r="AZ151">
            <v>-1196581</v>
          </cell>
          <cell r="BA151">
            <v>0</v>
          </cell>
          <cell r="BB151">
            <v>-5982908</v>
          </cell>
          <cell r="BC151">
            <v>82759020</v>
          </cell>
          <cell r="BD151">
            <v>-2383951</v>
          </cell>
          <cell r="BE151">
            <v>2277629</v>
          </cell>
          <cell r="BF151">
            <v>0</v>
          </cell>
          <cell r="BG151">
            <v>-6290436</v>
          </cell>
          <cell r="BH151">
            <v>-124807</v>
          </cell>
          <cell r="BI151">
            <v>0</v>
          </cell>
          <cell r="BJ151">
            <v>-109347</v>
          </cell>
          <cell r="BK151">
            <v>-2718214</v>
          </cell>
          <cell r="BL151">
            <v>-53507</v>
          </cell>
          <cell r="BM151">
            <v>-395959</v>
          </cell>
          <cell r="BN151">
            <v>0</v>
          </cell>
          <cell r="BO151">
            <v>0</v>
          </cell>
          <cell r="BP151">
            <v>0</v>
          </cell>
          <cell r="BQ151">
            <v>0</v>
          </cell>
          <cell r="BR151">
            <v>0</v>
          </cell>
          <cell r="BS151">
            <v>0</v>
          </cell>
          <cell r="BT151">
            <v>84249752</v>
          </cell>
          <cell r="BU151">
            <v>-25521</v>
          </cell>
          <cell r="BV151">
            <v>5230397</v>
          </cell>
          <cell r="BW151">
            <v>-1106373</v>
          </cell>
          <cell r="BX151">
            <v>-2850244</v>
          </cell>
          <cell r="BY151">
            <v>-5427000</v>
          </cell>
          <cell r="BZ151">
            <v>85181129</v>
          </cell>
          <cell r="CA151">
            <v>-1425122</v>
          </cell>
          <cell r="CB151">
            <v>-855073</v>
          </cell>
          <cell r="CC151">
            <v>-570049</v>
          </cell>
          <cell r="CD151">
            <v>0</v>
          </cell>
          <cell r="CE151">
            <v>-2713500</v>
          </cell>
          <cell r="CF151">
            <v>-1628100</v>
          </cell>
          <cell r="CG151">
            <v>-1085400</v>
          </cell>
          <cell r="CH151">
            <v>0</v>
          </cell>
        </row>
        <row r="152">
          <cell r="A152">
            <v>145</v>
          </cell>
          <cell r="B152" t="str">
            <v>Kirklees</v>
          </cell>
          <cell r="C152" t="str">
            <v>E4703</v>
          </cell>
          <cell r="D152">
            <v>600133</v>
          </cell>
          <cell r="H152">
            <v>-3167716</v>
          </cell>
          <cell r="I152">
            <v>0</v>
          </cell>
          <cell r="J152">
            <v>600133</v>
          </cell>
          <cell r="K152">
            <v>55000</v>
          </cell>
          <cell r="L152">
            <v>0</v>
          </cell>
          <cell r="M152">
            <v>0</v>
          </cell>
          <cell r="N152">
            <v>0</v>
          </cell>
          <cell r="O152">
            <v>0</v>
          </cell>
          <cell r="P152">
            <v>0</v>
          </cell>
          <cell r="Q152">
            <v>0</v>
          </cell>
          <cell r="R152">
            <v>4041594</v>
          </cell>
          <cell r="S152">
            <v>0</v>
          </cell>
          <cell r="T152">
            <v>82481</v>
          </cell>
          <cell r="U152">
            <v>23918</v>
          </cell>
          <cell r="V152">
            <v>0</v>
          </cell>
          <cell r="W152">
            <v>488</v>
          </cell>
          <cell r="X152">
            <v>0</v>
          </cell>
          <cell r="Y152">
            <v>0</v>
          </cell>
          <cell r="Z152">
            <v>0</v>
          </cell>
          <cell r="AA152">
            <v>8475</v>
          </cell>
          <cell r="AB152">
            <v>0</v>
          </cell>
          <cell r="AC152">
            <v>173</v>
          </cell>
          <cell r="AD152">
            <v>0</v>
          </cell>
          <cell r="AE152">
            <v>0</v>
          </cell>
          <cell r="AF152">
            <v>0</v>
          </cell>
          <cell r="AG152">
            <v>0</v>
          </cell>
          <cell r="AH152">
            <v>0</v>
          </cell>
          <cell r="AI152">
            <v>0</v>
          </cell>
          <cell r="AM152">
            <v>0</v>
          </cell>
          <cell r="AN152">
            <v>0</v>
          </cell>
          <cell r="AO152">
            <v>0</v>
          </cell>
          <cell r="AP152">
            <v>716509</v>
          </cell>
          <cell r="AQ152">
            <v>0</v>
          </cell>
          <cell r="AR152">
            <v>14606</v>
          </cell>
          <cell r="AS152">
            <v>-1394508</v>
          </cell>
          <cell r="AT152">
            <v>-1366618</v>
          </cell>
          <cell r="AU152">
            <v>0</v>
          </cell>
          <cell r="AV152">
            <v>-27890</v>
          </cell>
          <cell r="AW152">
            <v>-2789016</v>
          </cell>
          <cell r="AX152">
            <v>-4252755</v>
          </cell>
          <cell r="AY152">
            <v>-4167699</v>
          </cell>
          <cell r="AZ152">
            <v>0</v>
          </cell>
          <cell r="BA152">
            <v>-85055</v>
          </cell>
          <cell r="BB152">
            <v>-8505509</v>
          </cell>
          <cell r="BC152">
            <v>103976129</v>
          </cell>
          <cell r="BD152">
            <v>-13008589</v>
          </cell>
          <cell r="BE152">
            <v>2869870</v>
          </cell>
          <cell r="BF152">
            <v>0</v>
          </cell>
          <cell r="BG152">
            <v>-7810009</v>
          </cell>
          <cell r="BH152">
            <v>-138269</v>
          </cell>
          <cell r="BI152">
            <v>-8556</v>
          </cell>
          <cell r="BJ152">
            <v>-38697</v>
          </cell>
          <cell r="BK152">
            <v>-5444635</v>
          </cell>
          <cell r="BL152">
            <v>-313209</v>
          </cell>
          <cell r="BM152">
            <v>-91525</v>
          </cell>
          <cell r="BN152">
            <v>0</v>
          </cell>
          <cell r="BO152">
            <v>-2967</v>
          </cell>
          <cell r="BP152">
            <v>-115912</v>
          </cell>
          <cell r="BQ152">
            <v>0</v>
          </cell>
          <cell r="BR152">
            <v>0</v>
          </cell>
          <cell r="BS152">
            <v>0</v>
          </cell>
          <cell r="BT152">
            <v>106406539</v>
          </cell>
          <cell r="BU152">
            <v>-1356243</v>
          </cell>
          <cell r="BV152">
            <v>5111685</v>
          </cell>
          <cell r="BW152">
            <v>-886476</v>
          </cell>
          <cell r="BX152">
            <v>-2689173</v>
          </cell>
          <cell r="BY152">
            <v>-3845389</v>
          </cell>
          <cell r="BZ152">
            <v>97232650</v>
          </cell>
          <cell r="CA152">
            <v>-1344587</v>
          </cell>
          <cell r="CB152">
            <v>-1317694</v>
          </cell>
          <cell r="CC152">
            <v>0</v>
          </cell>
          <cell r="CD152">
            <v>-26892</v>
          </cell>
          <cell r="CE152">
            <v>-1922694</v>
          </cell>
          <cell r="CF152">
            <v>-1884241</v>
          </cell>
          <cell r="CG152">
            <v>0</v>
          </cell>
          <cell r="CH152">
            <v>-38454</v>
          </cell>
        </row>
        <row r="153">
          <cell r="A153">
            <v>146</v>
          </cell>
          <cell r="B153" t="str">
            <v>Knowsley</v>
          </cell>
          <cell r="C153" t="str">
            <v>E4301</v>
          </cell>
          <cell r="D153">
            <v>143792</v>
          </cell>
          <cell r="H153">
            <v>1756386</v>
          </cell>
          <cell r="I153">
            <v>0</v>
          </cell>
          <cell r="J153">
            <v>143792</v>
          </cell>
          <cell r="K153">
            <v>0</v>
          </cell>
          <cell r="L153">
            <v>0</v>
          </cell>
          <cell r="M153">
            <v>0</v>
          </cell>
          <cell r="N153">
            <v>0</v>
          </cell>
          <cell r="O153">
            <v>0</v>
          </cell>
          <cell r="P153">
            <v>0</v>
          </cell>
          <cell r="Q153">
            <v>0</v>
          </cell>
          <cell r="R153">
            <v>1400978</v>
          </cell>
          <cell r="S153">
            <v>0</v>
          </cell>
          <cell r="T153">
            <v>14151</v>
          </cell>
          <cell r="U153">
            <v>6965</v>
          </cell>
          <cell r="V153">
            <v>0</v>
          </cell>
          <cell r="W153">
            <v>70</v>
          </cell>
          <cell r="X153">
            <v>2070</v>
          </cell>
          <cell r="Y153">
            <v>0</v>
          </cell>
          <cell r="Z153">
            <v>21</v>
          </cell>
          <cell r="AA153">
            <v>15294</v>
          </cell>
          <cell r="AB153">
            <v>0</v>
          </cell>
          <cell r="AC153">
            <v>154</v>
          </cell>
          <cell r="AD153">
            <v>0</v>
          </cell>
          <cell r="AE153">
            <v>0</v>
          </cell>
          <cell r="AF153">
            <v>0</v>
          </cell>
          <cell r="AG153">
            <v>0</v>
          </cell>
          <cell r="AH153">
            <v>0</v>
          </cell>
          <cell r="AI153">
            <v>0</v>
          </cell>
          <cell r="AM153">
            <v>0</v>
          </cell>
          <cell r="AN153">
            <v>0</v>
          </cell>
          <cell r="AO153">
            <v>0</v>
          </cell>
          <cell r="AP153">
            <v>667689</v>
          </cell>
          <cell r="AQ153">
            <v>0</v>
          </cell>
          <cell r="AR153">
            <v>6744</v>
          </cell>
          <cell r="AS153">
            <v>-882164.26</v>
          </cell>
          <cell r="AT153">
            <v>-864521</v>
          </cell>
          <cell r="AU153">
            <v>0</v>
          </cell>
          <cell r="AV153">
            <v>-17643</v>
          </cell>
          <cell r="AW153">
            <v>-1764328.26</v>
          </cell>
          <cell r="AX153">
            <v>-4764588.5</v>
          </cell>
          <cell r="AY153">
            <v>-4669297</v>
          </cell>
          <cell r="AZ153">
            <v>0</v>
          </cell>
          <cell r="BA153">
            <v>-95291</v>
          </cell>
          <cell r="BB153">
            <v>-9529176</v>
          </cell>
          <cell r="BC153">
            <v>42626814</v>
          </cell>
          <cell r="BD153">
            <v>-1998893</v>
          </cell>
          <cell r="BE153">
            <v>1195449</v>
          </cell>
          <cell r="BF153">
            <v>0</v>
          </cell>
          <cell r="BG153">
            <v>-2299244</v>
          </cell>
          <cell r="BH153">
            <v>-15864</v>
          </cell>
          <cell r="BI153">
            <v>0</v>
          </cell>
          <cell r="BJ153">
            <v>0</v>
          </cell>
          <cell r="BK153">
            <v>-1375729</v>
          </cell>
          <cell r="BL153">
            <v>-199828</v>
          </cell>
          <cell r="BM153">
            <v>-751422</v>
          </cell>
          <cell r="BN153">
            <v>0</v>
          </cell>
          <cell r="BO153">
            <v>0</v>
          </cell>
          <cell r="BP153">
            <v>0</v>
          </cell>
          <cell r="BQ153">
            <v>0</v>
          </cell>
          <cell r="BR153">
            <v>0</v>
          </cell>
          <cell r="BS153">
            <v>0</v>
          </cell>
          <cell r="BT153">
            <v>43560598</v>
          </cell>
          <cell r="BU153">
            <v>-16763</v>
          </cell>
          <cell r="BV153">
            <v>4303577</v>
          </cell>
          <cell r="BW153">
            <v>-1268677</v>
          </cell>
          <cell r="BX153">
            <v>13185449</v>
          </cell>
          <cell r="BY153">
            <v>3404974</v>
          </cell>
          <cell r="BZ153">
            <v>44898000</v>
          </cell>
          <cell r="CA153">
            <v>6592725</v>
          </cell>
          <cell r="CB153">
            <v>6460870</v>
          </cell>
          <cell r="CC153">
            <v>0</v>
          </cell>
          <cell r="CD153">
            <v>131854</v>
          </cell>
          <cell r="CE153">
            <v>1702487</v>
          </cell>
          <cell r="CF153">
            <v>1668437</v>
          </cell>
          <cell r="CG153">
            <v>0</v>
          </cell>
          <cell r="CH153">
            <v>34050</v>
          </cell>
        </row>
        <row r="154">
          <cell r="A154">
            <v>147</v>
          </cell>
          <cell r="B154" t="str">
            <v>Lambeth</v>
          </cell>
          <cell r="C154" t="str">
            <v>E5017</v>
          </cell>
          <cell r="D154">
            <v>507754</v>
          </cell>
          <cell r="H154">
            <v>19584877</v>
          </cell>
          <cell r="I154">
            <v>17913</v>
          </cell>
          <cell r="J154">
            <v>507754</v>
          </cell>
          <cell r="K154">
            <v>0</v>
          </cell>
          <cell r="L154">
            <v>0</v>
          </cell>
          <cell r="M154">
            <v>0</v>
          </cell>
          <cell r="N154">
            <v>0</v>
          </cell>
          <cell r="O154">
            <v>0</v>
          </cell>
          <cell r="P154">
            <v>0</v>
          </cell>
          <cell r="Q154">
            <v>0</v>
          </cell>
          <cell r="R154">
            <v>1002943</v>
          </cell>
          <cell r="S154">
            <v>1236962</v>
          </cell>
          <cell r="T154">
            <v>0</v>
          </cell>
          <cell r="U154">
            <v>0</v>
          </cell>
          <cell r="V154">
            <v>0</v>
          </cell>
          <cell r="W154">
            <v>0</v>
          </cell>
          <cell r="X154">
            <v>0</v>
          </cell>
          <cell r="Y154">
            <v>0</v>
          </cell>
          <cell r="Z154">
            <v>0</v>
          </cell>
          <cell r="AA154">
            <v>249</v>
          </cell>
          <cell r="AB154">
            <v>307</v>
          </cell>
          <cell r="AC154">
            <v>0</v>
          </cell>
          <cell r="AD154">
            <v>0</v>
          </cell>
          <cell r="AE154">
            <v>0</v>
          </cell>
          <cell r="AF154">
            <v>0</v>
          </cell>
          <cell r="AG154">
            <v>0</v>
          </cell>
          <cell r="AH154">
            <v>0</v>
          </cell>
          <cell r="AI154">
            <v>0</v>
          </cell>
          <cell r="AM154">
            <v>0</v>
          </cell>
          <cell r="AN154">
            <v>0</v>
          </cell>
          <cell r="AO154">
            <v>0</v>
          </cell>
          <cell r="AP154">
            <v>745352</v>
          </cell>
          <cell r="AQ154">
            <v>919267</v>
          </cell>
          <cell r="AR154">
            <v>0</v>
          </cell>
          <cell r="AS154">
            <v>-1644588</v>
          </cell>
          <cell r="AT154">
            <v>-986753</v>
          </cell>
          <cell r="AU154">
            <v>-657834</v>
          </cell>
          <cell r="AV154">
            <v>0</v>
          </cell>
          <cell r="AW154">
            <v>-3289175</v>
          </cell>
          <cell r="AX154">
            <v>-10855848</v>
          </cell>
          <cell r="AY154">
            <v>-6513508</v>
          </cell>
          <cell r="AZ154">
            <v>-4342339</v>
          </cell>
          <cell r="BA154">
            <v>0</v>
          </cell>
          <cell r="BB154">
            <v>-21711695</v>
          </cell>
          <cell r="BC154">
            <v>115383944</v>
          </cell>
          <cell r="BD154">
            <v>-5919213</v>
          </cell>
          <cell r="BE154">
            <v>3369740</v>
          </cell>
          <cell r="BF154">
            <v>0</v>
          </cell>
          <cell r="BG154">
            <v>-16691337</v>
          </cell>
          <cell r="BH154">
            <v>-7853</v>
          </cell>
          <cell r="BI154">
            <v>0</v>
          </cell>
          <cell r="BJ154">
            <v>0</v>
          </cell>
          <cell r="BK154">
            <v>-3586003</v>
          </cell>
          <cell r="BL154">
            <v>-221394</v>
          </cell>
          <cell r="BM154">
            <v>-303145</v>
          </cell>
          <cell r="BN154">
            <v>0</v>
          </cell>
          <cell r="BO154">
            <v>0</v>
          </cell>
          <cell r="BP154">
            <v>0</v>
          </cell>
          <cell r="BQ154">
            <v>0</v>
          </cell>
          <cell r="BR154">
            <v>0</v>
          </cell>
          <cell r="BS154">
            <v>0</v>
          </cell>
          <cell r="BT154">
            <v>120240569</v>
          </cell>
          <cell r="BU154">
            <v>-1186248</v>
          </cell>
          <cell r="BV154">
            <v>4300368</v>
          </cell>
          <cell r="BW154">
            <v>-8884592</v>
          </cell>
          <cell r="BX154">
            <v>-2485621</v>
          </cell>
          <cell r="BY154">
            <v>-35186659</v>
          </cell>
          <cell r="BZ154">
            <v>165397153</v>
          </cell>
          <cell r="CA154">
            <v>-1242811</v>
          </cell>
          <cell r="CB154">
            <v>-745687</v>
          </cell>
          <cell r="CC154">
            <v>-497123</v>
          </cell>
          <cell r="CD154">
            <v>0</v>
          </cell>
          <cell r="CE154">
            <v>-17593329</v>
          </cell>
          <cell r="CF154">
            <v>-10555998</v>
          </cell>
          <cell r="CG154">
            <v>-7037332</v>
          </cell>
          <cell r="CH154">
            <v>0</v>
          </cell>
        </row>
        <row r="155">
          <cell r="A155">
            <v>148</v>
          </cell>
          <cell r="B155" t="str">
            <v>Lancaster</v>
          </cell>
          <cell r="C155" t="str">
            <v>E2337</v>
          </cell>
          <cell r="D155">
            <v>217329</v>
          </cell>
          <cell r="H155">
            <v>-958268</v>
          </cell>
          <cell r="I155">
            <v>0</v>
          </cell>
          <cell r="J155">
            <v>217329</v>
          </cell>
          <cell r="K155">
            <v>0</v>
          </cell>
          <cell r="L155">
            <v>938564</v>
          </cell>
          <cell r="M155">
            <v>0</v>
          </cell>
          <cell r="N155">
            <v>0</v>
          </cell>
          <cell r="O155">
            <v>0</v>
          </cell>
          <cell r="P155">
            <v>0</v>
          </cell>
          <cell r="Q155">
            <v>0</v>
          </cell>
          <cell r="R155">
            <v>880686</v>
          </cell>
          <cell r="S155">
            <v>198154</v>
          </cell>
          <cell r="T155">
            <v>22017</v>
          </cell>
          <cell r="U155">
            <v>12050</v>
          </cell>
          <cell r="V155">
            <v>2711</v>
          </cell>
          <cell r="W155">
            <v>301</v>
          </cell>
          <cell r="X155">
            <v>0</v>
          </cell>
          <cell r="Y155">
            <v>0</v>
          </cell>
          <cell r="Z155">
            <v>0</v>
          </cell>
          <cell r="AA155">
            <v>1007</v>
          </cell>
          <cell r="AB155">
            <v>227</v>
          </cell>
          <cell r="AC155">
            <v>25</v>
          </cell>
          <cell r="AD155">
            <v>0</v>
          </cell>
          <cell r="AE155">
            <v>0</v>
          </cell>
          <cell r="AF155">
            <v>0</v>
          </cell>
          <cell r="AG155">
            <v>0</v>
          </cell>
          <cell r="AH155">
            <v>0</v>
          </cell>
          <cell r="AI155">
            <v>0</v>
          </cell>
          <cell r="AM155">
            <v>0</v>
          </cell>
          <cell r="AN155">
            <v>0</v>
          </cell>
          <cell r="AO155">
            <v>0</v>
          </cell>
          <cell r="AP155">
            <v>354292</v>
          </cell>
          <cell r="AQ155">
            <v>76544</v>
          </cell>
          <cell r="AR155">
            <v>8505</v>
          </cell>
          <cell r="AS155">
            <v>-221314</v>
          </cell>
          <cell r="AT155">
            <v>-177052</v>
          </cell>
          <cell r="AU155">
            <v>-39836</v>
          </cell>
          <cell r="AV155">
            <v>-4427</v>
          </cell>
          <cell r="AW155">
            <v>-442629</v>
          </cell>
          <cell r="AX155">
            <v>-2587995</v>
          </cell>
          <cell r="AY155">
            <v>-2070394</v>
          </cell>
          <cell r="AZ155">
            <v>-465839</v>
          </cell>
          <cell r="BA155">
            <v>-51759</v>
          </cell>
          <cell r="BB155">
            <v>-5175987</v>
          </cell>
          <cell r="BC155">
            <v>84101154</v>
          </cell>
          <cell r="BD155">
            <v>-3535938</v>
          </cell>
          <cell r="BE155">
            <v>1769040</v>
          </cell>
          <cell r="BF155">
            <v>0</v>
          </cell>
          <cell r="BG155">
            <v>-3667120</v>
          </cell>
          <cell r="BH155">
            <v>-44322</v>
          </cell>
          <cell r="BI155">
            <v>-24768</v>
          </cell>
          <cell r="BJ155">
            <v>0</v>
          </cell>
          <cell r="BK155">
            <v>-1534416</v>
          </cell>
          <cell r="BL155">
            <v>-98475</v>
          </cell>
          <cell r="BM155">
            <v>-57935</v>
          </cell>
          <cell r="BN155">
            <v>-2410</v>
          </cell>
          <cell r="BO155">
            <v>-6435</v>
          </cell>
          <cell r="BP155">
            <v>0</v>
          </cell>
          <cell r="BQ155">
            <v>0</v>
          </cell>
          <cell r="BR155">
            <v>0</v>
          </cell>
          <cell r="BS155">
            <v>0</v>
          </cell>
          <cell r="BT155">
            <v>59869764</v>
          </cell>
          <cell r="BU155">
            <v>0</v>
          </cell>
          <cell r="BV155">
            <v>877592</v>
          </cell>
          <cell r="BW155">
            <v>-493142</v>
          </cell>
          <cell r="BX155">
            <v>-1785178</v>
          </cell>
          <cell r="BY155">
            <v>-6964438</v>
          </cell>
          <cell r="BZ155">
            <v>56617938</v>
          </cell>
          <cell r="CA155">
            <v>-892591</v>
          </cell>
          <cell r="CB155">
            <v>-714071</v>
          </cell>
          <cell r="CC155">
            <v>-160665</v>
          </cell>
          <cell r="CD155">
            <v>-17851</v>
          </cell>
          <cell r="CE155">
            <v>-3482220</v>
          </cell>
          <cell r="CF155">
            <v>-2785775</v>
          </cell>
          <cell r="CG155">
            <v>-626799</v>
          </cell>
          <cell r="CH155">
            <v>-69644</v>
          </cell>
        </row>
        <row r="156">
          <cell r="A156">
            <v>149</v>
          </cell>
          <cell r="B156" t="str">
            <v>Leeds</v>
          </cell>
          <cell r="C156" t="str">
            <v>E4704</v>
          </cell>
          <cell r="D156">
            <v>1204810</v>
          </cell>
          <cell r="H156">
            <v>-21085094</v>
          </cell>
          <cell r="I156">
            <v>-58280</v>
          </cell>
          <cell r="J156">
            <v>1204810</v>
          </cell>
          <cell r="K156">
            <v>884150</v>
          </cell>
          <cell r="L156">
            <v>151163</v>
          </cell>
          <cell r="M156">
            <v>0</v>
          </cell>
          <cell r="N156">
            <v>440000</v>
          </cell>
          <cell r="O156">
            <v>440000</v>
          </cell>
          <cell r="P156">
            <v>0</v>
          </cell>
          <cell r="Q156">
            <v>0</v>
          </cell>
          <cell r="R156">
            <v>5789928</v>
          </cell>
          <cell r="S156">
            <v>0</v>
          </cell>
          <cell r="T156">
            <v>118162</v>
          </cell>
          <cell r="U156">
            <v>9947</v>
          </cell>
          <cell r="V156">
            <v>0</v>
          </cell>
          <cell r="W156">
            <v>203</v>
          </cell>
          <cell r="X156">
            <v>815</v>
          </cell>
          <cell r="Y156">
            <v>0</v>
          </cell>
          <cell r="Z156">
            <v>17</v>
          </cell>
          <cell r="AA156">
            <v>23448</v>
          </cell>
          <cell r="AB156">
            <v>0</v>
          </cell>
          <cell r="AC156">
            <v>479</v>
          </cell>
          <cell r="AD156">
            <v>0</v>
          </cell>
          <cell r="AE156">
            <v>0</v>
          </cell>
          <cell r="AF156">
            <v>0</v>
          </cell>
          <cell r="AG156">
            <v>0</v>
          </cell>
          <cell r="AH156">
            <v>0</v>
          </cell>
          <cell r="AI156">
            <v>0</v>
          </cell>
          <cell r="AM156">
            <v>0</v>
          </cell>
          <cell r="AN156">
            <v>0</v>
          </cell>
          <cell r="AO156">
            <v>0</v>
          </cell>
          <cell r="AP156">
            <v>2696995</v>
          </cell>
          <cell r="AQ156">
            <v>0</v>
          </cell>
          <cell r="AR156">
            <v>54588</v>
          </cell>
          <cell r="AS156">
            <v>-3288320</v>
          </cell>
          <cell r="AT156">
            <v>-3222552</v>
          </cell>
          <cell r="AU156">
            <v>0</v>
          </cell>
          <cell r="AV156">
            <v>-65766</v>
          </cell>
          <cell r="AW156">
            <v>-6576638</v>
          </cell>
          <cell r="AX156">
            <v>-11479017</v>
          </cell>
          <cell r="AY156">
            <v>-11249437</v>
          </cell>
          <cell r="AZ156">
            <v>0</v>
          </cell>
          <cell r="BA156">
            <v>-229580</v>
          </cell>
          <cell r="BB156">
            <v>-22958034</v>
          </cell>
          <cell r="BC156">
            <v>365960246</v>
          </cell>
          <cell r="BD156">
            <v>-17437674</v>
          </cell>
          <cell r="BE156">
            <v>10615555</v>
          </cell>
          <cell r="BF156">
            <v>0</v>
          </cell>
          <cell r="BG156">
            <v>-25661862</v>
          </cell>
          <cell r="BH156">
            <v>-350316</v>
          </cell>
          <cell r="BI156">
            <v>-12214</v>
          </cell>
          <cell r="BJ156">
            <v>-242785</v>
          </cell>
          <cell r="BK156">
            <v>-20809865</v>
          </cell>
          <cell r="BL156">
            <v>-54759</v>
          </cell>
          <cell r="BM156">
            <v>-462707</v>
          </cell>
          <cell r="BN156">
            <v>-53200</v>
          </cell>
          <cell r="BO156">
            <v>-4150</v>
          </cell>
          <cell r="BP156">
            <v>-5023</v>
          </cell>
          <cell r="BQ156">
            <v>-820098</v>
          </cell>
          <cell r="BR156">
            <v>-576331</v>
          </cell>
          <cell r="BS156">
            <v>0</v>
          </cell>
          <cell r="BT156">
            <v>373635530</v>
          </cell>
          <cell r="BU156">
            <v>-4375991</v>
          </cell>
          <cell r="BV156">
            <v>12934457</v>
          </cell>
          <cell r="BW156">
            <v>-9389378</v>
          </cell>
          <cell r="BX156">
            <v>-53189994</v>
          </cell>
          <cell r="BY156">
            <v>-44415053</v>
          </cell>
          <cell r="BZ156">
            <v>363403039</v>
          </cell>
          <cell r="CA156">
            <v>-26594996</v>
          </cell>
          <cell r="CB156">
            <v>-26063097</v>
          </cell>
          <cell r="CC156">
            <v>0</v>
          </cell>
          <cell r="CD156">
            <v>-531901</v>
          </cell>
          <cell r="CE156">
            <v>-22207526</v>
          </cell>
          <cell r="CF156">
            <v>-21763376</v>
          </cell>
          <cell r="CG156">
            <v>0</v>
          </cell>
          <cell r="CH156">
            <v>-444151</v>
          </cell>
        </row>
        <row r="157">
          <cell r="A157">
            <v>150</v>
          </cell>
          <cell r="B157" t="str">
            <v>Leicester</v>
          </cell>
          <cell r="C157" t="str">
            <v>E2401</v>
          </cell>
          <cell r="D157">
            <v>491838</v>
          </cell>
          <cell r="H157">
            <v>8275266</v>
          </cell>
          <cell r="I157">
            <v>187075</v>
          </cell>
          <cell r="J157">
            <v>491838</v>
          </cell>
          <cell r="K157">
            <v>0</v>
          </cell>
          <cell r="L157">
            <v>0</v>
          </cell>
          <cell r="M157">
            <v>0</v>
          </cell>
          <cell r="N157">
            <v>0</v>
          </cell>
          <cell r="O157">
            <v>0</v>
          </cell>
          <cell r="P157">
            <v>0</v>
          </cell>
          <cell r="Q157">
            <v>0</v>
          </cell>
          <cell r="R157">
            <v>2848315</v>
          </cell>
          <cell r="S157">
            <v>0</v>
          </cell>
          <cell r="T157">
            <v>53864</v>
          </cell>
          <cell r="U157">
            <v>25365</v>
          </cell>
          <cell r="V157">
            <v>0</v>
          </cell>
          <cell r="W157">
            <v>518</v>
          </cell>
          <cell r="X157">
            <v>0</v>
          </cell>
          <cell r="Y157">
            <v>0</v>
          </cell>
          <cell r="Z157">
            <v>0</v>
          </cell>
          <cell r="AA157">
            <v>16403</v>
          </cell>
          <cell r="AB157">
            <v>0</v>
          </cell>
          <cell r="AC157">
            <v>335</v>
          </cell>
          <cell r="AD157">
            <v>0</v>
          </cell>
          <cell r="AE157">
            <v>0</v>
          </cell>
          <cell r="AF157">
            <v>0</v>
          </cell>
          <cell r="AG157">
            <v>0</v>
          </cell>
          <cell r="AH157">
            <v>0</v>
          </cell>
          <cell r="AI157">
            <v>0</v>
          </cell>
          <cell r="AM157">
            <v>0</v>
          </cell>
          <cell r="AN157">
            <v>0</v>
          </cell>
          <cell r="AO157">
            <v>0</v>
          </cell>
          <cell r="AP157">
            <v>799795</v>
          </cell>
          <cell r="AQ157">
            <v>0</v>
          </cell>
          <cell r="AR157">
            <v>16322</v>
          </cell>
          <cell r="AS157">
            <v>-2007034</v>
          </cell>
          <cell r="AT157">
            <v>-1966892</v>
          </cell>
          <cell r="AU157">
            <v>0</v>
          </cell>
          <cell r="AV157">
            <v>-40140</v>
          </cell>
          <cell r="AW157">
            <v>-4014066</v>
          </cell>
          <cell r="AX157">
            <v>-2551774</v>
          </cell>
          <cell r="AY157">
            <v>-2500737</v>
          </cell>
          <cell r="AZ157">
            <v>0</v>
          </cell>
          <cell r="BA157">
            <v>-51035</v>
          </cell>
          <cell r="BB157">
            <v>-5103546</v>
          </cell>
          <cell r="BC157">
            <v>105684926</v>
          </cell>
          <cell r="BD157">
            <v>-9020191</v>
          </cell>
          <cell r="BE157">
            <v>2836593</v>
          </cell>
          <cell r="BF157">
            <v>0</v>
          </cell>
          <cell r="BG157">
            <v>-9015409</v>
          </cell>
          <cell r="BH157">
            <v>-50016</v>
          </cell>
          <cell r="BI157">
            <v>0</v>
          </cell>
          <cell r="BJ157">
            <v>-24094</v>
          </cell>
          <cell r="BK157">
            <v>-4214168</v>
          </cell>
          <cell r="BL157">
            <v>-364114</v>
          </cell>
          <cell r="BM157">
            <v>-163880</v>
          </cell>
          <cell r="BN157">
            <v>0</v>
          </cell>
          <cell r="BO157">
            <v>0</v>
          </cell>
          <cell r="BP157">
            <v>0</v>
          </cell>
          <cell r="BQ157">
            <v>-170281</v>
          </cell>
          <cell r="BR157">
            <v>0</v>
          </cell>
          <cell r="BS157">
            <v>0</v>
          </cell>
          <cell r="BT157">
            <v>105436621</v>
          </cell>
          <cell r="BU157">
            <v>-855691</v>
          </cell>
          <cell r="BV157">
            <v>9655630</v>
          </cell>
          <cell r="BW157">
            <v>-2382978</v>
          </cell>
          <cell r="BX157">
            <v>-391125</v>
          </cell>
          <cell r="BY157">
            <v>-1534035</v>
          </cell>
          <cell r="BZ157">
            <v>108660224</v>
          </cell>
          <cell r="CA157">
            <v>-195562</v>
          </cell>
          <cell r="CB157">
            <v>-191651</v>
          </cell>
          <cell r="CC157">
            <v>0</v>
          </cell>
          <cell r="CD157">
            <v>-3912</v>
          </cell>
          <cell r="CE157">
            <v>-767018</v>
          </cell>
          <cell r="CF157">
            <v>-751677</v>
          </cell>
          <cell r="CG157">
            <v>0</v>
          </cell>
          <cell r="CH157">
            <v>-15340</v>
          </cell>
        </row>
        <row r="158">
          <cell r="A158">
            <v>151</v>
          </cell>
          <cell r="B158" t="str">
            <v>Lewes</v>
          </cell>
          <cell r="C158" t="str">
            <v>E1435</v>
          </cell>
          <cell r="D158">
            <v>130669</v>
          </cell>
          <cell r="H158">
            <v>649166</v>
          </cell>
          <cell r="I158">
            <v>-62027</v>
          </cell>
          <cell r="J158">
            <v>130669</v>
          </cell>
          <cell r="K158">
            <v>80300</v>
          </cell>
          <cell r="L158">
            <v>0</v>
          </cell>
          <cell r="M158">
            <v>0</v>
          </cell>
          <cell r="N158">
            <v>0</v>
          </cell>
          <cell r="O158">
            <v>0</v>
          </cell>
          <cell r="P158">
            <v>0</v>
          </cell>
          <cell r="Q158">
            <v>0</v>
          </cell>
          <cell r="R158">
            <v>770827</v>
          </cell>
          <cell r="S158">
            <v>134782</v>
          </cell>
          <cell r="T158">
            <v>14976</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M158">
            <v>0</v>
          </cell>
          <cell r="AN158">
            <v>0</v>
          </cell>
          <cell r="AO158">
            <v>0</v>
          </cell>
          <cell r="AP158">
            <v>148149</v>
          </cell>
          <cell r="AQ158">
            <v>33062</v>
          </cell>
          <cell r="AR158">
            <v>3674</v>
          </cell>
          <cell r="AS158">
            <v>-152501</v>
          </cell>
          <cell r="AT158">
            <v>-121999</v>
          </cell>
          <cell r="AU158">
            <v>-27450</v>
          </cell>
          <cell r="AV158">
            <v>-3050</v>
          </cell>
          <cell r="AW158">
            <v>-305000</v>
          </cell>
          <cell r="AX158">
            <v>-900000</v>
          </cell>
          <cell r="AY158">
            <v>-720000</v>
          </cell>
          <cell r="AZ158">
            <v>-162000</v>
          </cell>
          <cell r="BA158">
            <v>-18000</v>
          </cell>
          <cell r="BB158">
            <v>-1800000</v>
          </cell>
          <cell r="BC158">
            <v>24646255</v>
          </cell>
          <cell r="BD158">
            <v>-2620589</v>
          </cell>
          <cell r="BE158">
            <v>658197</v>
          </cell>
          <cell r="BF158">
            <v>0</v>
          </cell>
          <cell r="BG158">
            <v>-2536575</v>
          </cell>
          <cell r="BH158">
            <v>-84281</v>
          </cell>
          <cell r="BI158">
            <v>-9985</v>
          </cell>
          <cell r="BJ158">
            <v>-22283</v>
          </cell>
          <cell r="BK158">
            <v>-795524</v>
          </cell>
          <cell r="BL158">
            <v>-161412</v>
          </cell>
          <cell r="BM158">
            <v>-29570</v>
          </cell>
          <cell r="BN158">
            <v>-547</v>
          </cell>
          <cell r="BO158">
            <v>0</v>
          </cell>
          <cell r="BP158">
            <v>0</v>
          </cell>
          <cell r="BQ158">
            <v>-3510</v>
          </cell>
          <cell r="BR158">
            <v>0</v>
          </cell>
          <cell r="BS158">
            <v>0</v>
          </cell>
          <cell r="BT158">
            <v>24851458</v>
          </cell>
          <cell r="BU158">
            <v>-67064</v>
          </cell>
          <cell r="BV158">
            <v>1134690</v>
          </cell>
          <cell r="BW158">
            <v>-670406</v>
          </cell>
          <cell r="BX158">
            <v>-1597622</v>
          </cell>
          <cell r="BY158">
            <v>-1386311</v>
          </cell>
          <cell r="BZ158">
            <v>24455418</v>
          </cell>
          <cell r="CA158">
            <v>-798811</v>
          </cell>
          <cell r="CB158">
            <v>-639048</v>
          </cell>
          <cell r="CC158">
            <v>-143787</v>
          </cell>
          <cell r="CD158">
            <v>-15976</v>
          </cell>
          <cell r="CE158">
            <v>-693156</v>
          </cell>
          <cell r="CF158">
            <v>-554524</v>
          </cell>
          <cell r="CG158">
            <v>-124768</v>
          </cell>
          <cell r="CH158">
            <v>-13863</v>
          </cell>
        </row>
        <row r="159">
          <cell r="A159">
            <v>152</v>
          </cell>
          <cell r="B159" t="str">
            <v>Lewisham</v>
          </cell>
          <cell r="C159" t="str">
            <v>E5018</v>
          </cell>
          <cell r="D159">
            <v>306514</v>
          </cell>
          <cell r="H159">
            <v>14122157</v>
          </cell>
          <cell r="I159">
            <v>0</v>
          </cell>
          <cell r="J159">
            <v>331514</v>
          </cell>
          <cell r="K159">
            <v>0</v>
          </cell>
          <cell r="L159">
            <v>0</v>
          </cell>
          <cell r="M159">
            <v>0</v>
          </cell>
          <cell r="N159">
            <v>0</v>
          </cell>
          <cell r="O159">
            <v>0</v>
          </cell>
          <cell r="P159">
            <v>0</v>
          </cell>
          <cell r="Q159">
            <v>0</v>
          </cell>
          <cell r="R159">
            <v>934971</v>
          </cell>
          <cell r="S159">
            <v>1153131</v>
          </cell>
          <cell r="T159">
            <v>0</v>
          </cell>
          <cell r="U159">
            <v>0</v>
          </cell>
          <cell r="V159">
            <v>0</v>
          </cell>
          <cell r="W159">
            <v>0</v>
          </cell>
          <cell r="X159">
            <v>3982</v>
          </cell>
          <cell r="Y159">
            <v>4910</v>
          </cell>
          <cell r="Z159">
            <v>0</v>
          </cell>
          <cell r="AA159">
            <v>187</v>
          </cell>
          <cell r="AB159">
            <v>231</v>
          </cell>
          <cell r="AC159">
            <v>0</v>
          </cell>
          <cell r="AD159">
            <v>0</v>
          </cell>
          <cell r="AE159">
            <v>0</v>
          </cell>
          <cell r="AF159">
            <v>0</v>
          </cell>
          <cell r="AG159">
            <v>0</v>
          </cell>
          <cell r="AH159">
            <v>0</v>
          </cell>
          <cell r="AI159">
            <v>0</v>
          </cell>
          <cell r="AM159">
            <v>0</v>
          </cell>
          <cell r="AN159">
            <v>0</v>
          </cell>
          <cell r="AO159">
            <v>0</v>
          </cell>
          <cell r="AP159">
            <v>321912</v>
          </cell>
          <cell r="AQ159">
            <v>397025</v>
          </cell>
          <cell r="AR159">
            <v>0</v>
          </cell>
          <cell r="AS159">
            <v>-1169191.5</v>
          </cell>
          <cell r="AT159">
            <v>-701515</v>
          </cell>
          <cell r="AU159">
            <v>-467676</v>
          </cell>
          <cell r="AV159">
            <v>0</v>
          </cell>
          <cell r="AW159">
            <v>-2338382.5</v>
          </cell>
          <cell r="AX159">
            <v>-1536445</v>
          </cell>
          <cell r="AY159">
            <v>-921869</v>
          </cell>
          <cell r="AZ159">
            <v>-614579</v>
          </cell>
          <cell r="BA159">
            <v>0</v>
          </cell>
          <cell r="BB159">
            <v>-3072893</v>
          </cell>
          <cell r="BC159">
            <v>52183872</v>
          </cell>
          <cell r="BD159">
            <v>-5025505</v>
          </cell>
          <cell r="BE159">
            <v>1367665</v>
          </cell>
          <cell r="BF159">
            <v>0</v>
          </cell>
          <cell r="BG159">
            <v>-7016340</v>
          </cell>
          <cell r="BH159">
            <v>0</v>
          </cell>
          <cell r="BI159">
            <v>0</v>
          </cell>
          <cell r="BJ159">
            <v>0</v>
          </cell>
          <cell r="BK159">
            <v>-997982</v>
          </cell>
          <cell r="BL159">
            <v>-364915</v>
          </cell>
          <cell r="BM159">
            <v>0</v>
          </cell>
          <cell r="BN159">
            <v>0</v>
          </cell>
          <cell r="BO159">
            <v>0</v>
          </cell>
          <cell r="BP159">
            <v>0</v>
          </cell>
          <cell r="BQ159">
            <v>-3269</v>
          </cell>
          <cell r="BR159">
            <v>0</v>
          </cell>
          <cell r="BS159">
            <v>0</v>
          </cell>
          <cell r="BT159">
            <v>53723650</v>
          </cell>
          <cell r="BU159">
            <v>-806775</v>
          </cell>
          <cell r="BV159">
            <v>3931027</v>
          </cell>
          <cell r="BW159">
            <v>-7230830</v>
          </cell>
          <cell r="BX159">
            <v>-5819998</v>
          </cell>
          <cell r="BY159">
            <v>-3816010</v>
          </cell>
          <cell r="BZ159">
            <v>71433913</v>
          </cell>
          <cell r="CA159">
            <v>-2909999</v>
          </cell>
          <cell r="CB159">
            <v>-1745999</v>
          </cell>
          <cell r="CC159">
            <v>-1164000</v>
          </cell>
          <cell r="CD159">
            <v>0</v>
          </cell>
          <cell r="CE159">
            <v>-1908005</v>
          </cell>
          <cell r="CF159">
            <v>-1144803</v>
          </cell>
          <cell r="CG159">
            <v>-763202</v>
          </cell>
          <cell r="CH159">
            <v>0</v>
          </cell>
        </row>
        <row r="160">
          <cell r="A160">
            <v>153</v>
          </cell>
          <cell r="B160" t="str">
            <v>Lichfield</v>
          </cell>
          <cell r="C160" t="str">
            <v>E3433</v>
          </cell>
          <cell r="D160">
            <v>121519</v>
          </cell>
          <cell r="H160">
            <v>419786</v>
          </cell>
          <cell r="I160">
            <v>0</v>
          </cell>
          <cell r="J160">
            <v>121519</v>
          </cell>
          <cell r="K160">
            <v>0</v>
          </cell>
          <cell r="L160">
            <v>0</v>
          </cell>
          <cell r="M160">
            <v>0</v>
          </cell>
          <cell r="N160">
            <v>0</v>
          </cell>
          <cell r="O160">
            <v>0</v>
          </cell>
          <cell r="P160">
            <v>0</v>
          </cell>
          <cell r="Q160">
            <v>0</v>
          </cell>
          <cell r="R160">
            <v>481336</v>
          </cell>
          <cell r="S160">
            <v>108300</v>
          </cell>
          <cell r="T160">
            <v>12033</v>
          </cell>
          <cell r="U160">
            <v>1193</v>
          </cell>
          <cell r="V160">
            <v>268</v>
          </cell>
          <cell r="W160">
            <v>30</v>
          </cell>
          <cell r="X160">
            <v>0</v>
          </cell>
          <cell r="Y160">
            <v>0</v>
          </cell>
          <cell r="Z160">
            <v>0</v>
          </cell>
          <cell r="AA160">
            <v>9208</v>
          </cell>
          <cell r="AB160">
            <v>2072</v>
          </cell>
          <cell r="AC160">
            <v>230</v>
          </cell>
          <cell r="AD160">
            <v>0</v>
          </cell>
          <cell r="AE160">
            <v>0</v>
          </cell>
          <cell r="AF160">
            <v>0</v>
          </cell>
          <cell r="AG160">
            <v>0</v>
          </cell>
          <cell r="AH160">
            <v>0</v>
          </cell>
          <cell r="AI160">
            <v>0</v>
          </cell>
          <cell r="AM160">
            <v>0</v>
          </cell>
          <cell r="AN160">
            <v>0</v>
          </cell>
          <cell r="AO160">
            <v>0</v>
          </cell>
          <cell r="AP160">
            <v>200933</v>
          </cell>
          <cell r="AQ160">
            <v>45210</v>
          </cell>
          <cell r="AR160">
            <v>5023</v>
          </cell>
          <cell r="AS160">
            <v>-174407.6</v>
          </cell>
          <cell r="AT160">
            <v>-139523</v>
          </cell>
          <cell r="AU160">
            <v>-31392</v>
          </cell>
          <cell r="AV160">
            <v>-3487</v>
          </cell>
          <cell r="AW160">
            <v>-348809.6</v>
          </cell>
          <cell r="AX160">
            <v>-1949999</v>
          </cell>
          <cell r="AY160">
            <v>-1560000</v>
          </cell>
          <cell r="AZ160">
            <v>-351000</v>
          </cell>
          <cell r="BA160">
            <v>-39001</v>
          </cell>
          <cell r="BB160">
            <v>-3900000</v>
          </cell>
          <cell r="BC160">
            <v>35263697</v>
          </cell>
          <cell r="BD160">
            <v>-1831749</v>
          </cell>
          <cell r="BE160">
            <v>915260</v>
          </cell>
          <cell r="BF160">
            <v>0</v>
          </cell>
          <cell r="BG160">
            <v>-1488747</v>
          </cell>
          <cell r="BH160">
            <v>-57189</v>
          </cell>
          <cell r="BI160">
            <v>-8150</v>
          </cell>
          <cell r="BJ160">
            <v>-42423</v>
          </cell>
          <cell r="BK160">
            <v>-1337939</v>
          </cell>
          <cell r="BL160">
            <v>-35615</v>
          </cell>
          <cell r="BM160">
            <v>-34153</v>
          </cell>
          <cell r="BN160">
            <v>0</v>
          </cell>
          <cell r="BO160">
            <v>-2795</v>
          </cell>
          <cell r="BP160">
            <v>-1764</v>
          </cell>
          <cell r="BQ160">
            <v>0</v>
          </cell>
          <cell r="BR160">
            <v>0</v>
          </cell>
          <cell r="BS160">
            <v>0</v>
          </cell>
          <cell r="BT160">
            <v>35520312</v>
          </cell>
          <cell r="BU160">
            <v>-448052</v>
          </cell>
          <cell r="BV160">
            <v>1208399</v>
          </cell>
          <cell r="BW160">
            <v>-1100382</v>
          </cell>
          <cell r="BX160">
            <v>2701123</v>
          </cell>
          <cell r="BY160">
            <v>1971742</v>
          </cell>
          <cell r="BZ160">
            <v>33441000</v>
          </cell>
          <cell r="CA160">
            <v>1350561</v>
          </cell>
          <cell r="CB160">
            <v>1080449</v>
          </cell>
          <cell r="CC160">
            <v>243102</v>
          </cell>
          <cell r="CD160">
            <v>27011</v>
          </cell>
          <cell r="CE160">
            <v>985871</v>
          </cell>
          <cell r="CF160">
            <v>788697</v>
          </cell>
          <cell r="CG160">
            <v>177457</v>
          </cell>
          <cell r="CH160">
            <v>19717</v>
          </cell>
        </row>
        <row r="161">
          <cell r="A161">
            <v>154</v>
          </cell>
          <cell r="B161" t="str">
            <v>Lincoln</v>
          </cell>
          <cell r="C161" t="str">
            <v>E2533</v>
          </cell>
          <cell r="D161">
            <v>145092</v>
          </cell>
          <cell r="H161">
            <v>-504694</v>
          </cell>
          <cell r="I161">
            <v>0</v>
          </cell>
          <cell r="J161">
            <v>145092</v>
          </cell>
          <cell r="K161">
            <v>0</v>
          </cell>
          <cell r="L161">
            <v>0</v>
          </cell>
          <cell r="M161">
            <v>0</v>
          </cell>
          <cell r="N161">
            <v>0</v>
          </cell>
          <cell r="O161">
            <v>0</v>
          </cell>
          <cell r="P161">
            <v>0</v>
          </cell>
          <cell r="Q161">
            <v>0</v>
          </cell>
          <cell r="R161">
            <v>538882</v>
          </cell>
          <cell r="S161">
            <v>134720</v>
          </cell>
          <cell r="T161">
            <v>0</v>
          </cell>
          <cell r="U161">
            <v>8566</v>
          </cell>
          <cell r="V161">
            <v>2141</v>
          </cell>
          <cell r="W161">
            <v>0</v>
          </cell>
          <cell r="X161">
            <v>3916</v>
          </cell>
          <cell r="Y161">
            <v>979</v>
          </cell>
          <cell r="Z161">
            <v>0</v>
          </cell>
          <cell r="AA161">
            <v>2255</v>
          </cell>
          <cell r="AB161">
            <v>564</v>
          </cell>
          <cell r="AC161">
            <v>0</v>
          </cell>
          <cell r="AD161">
            <v>0</v>
          </cell>
          <cell r="AE161">
            <v>0</v>
          </cell>
          <cell r="AF161">
            <v>0</v>
          </cell>
          <cell r="AG161">
            <v>0</v>
          </cell>
          <cell r="AH161">
            <v>0</v>
          </cell>
          <cell r="AI161">
            <v>0</v>
          </cell>
          <cell r="AM161">
            <v>0</v>
          </cell>
          <cell r="AN161">
            <v>0</v>
          </cell>
          <cell r="AO161">
            <v>0</v>
          </cell>
          <cell r="AP161">
            <v>244772</v>
          </cell>
          <cell r="AQ161">
            <v>61193</v>
          </cell>
          <cell r="AR161">
            <v>0</v>
          </cell>
          <cell r="AS161">
            <v>-232498</v>
          </cell>
          <cell r="AT161">
            <v>-186000</v>
          </cell>
          <cell r="AU161">
            <v>-46501</v>
          </cell>
          <cell r="AV161">
            <v>0</v>
          </cell>
          <cell r="AW161">
            <v>-464999</v>
          </cell>
          <cell r="AX161">
            <v>-4142344</v>
          </cell>
          <cell r="AY161">
            <v>-3313874</v>
          </cell>
          <cell r="AZ161">
            <v>-828469</v>
          </cell>
          <cell r="BA161">
            <v>0</v>
          </cell>
          <cell r="BB161">
            <v>-8284687</v>
          </cell>
          <cell r="BC161">
            <v>41155716</v>
          </cell>
          <cell r="BD161">
            <v>-1999791</v>
          </cell>
          <cell r="BE161">
            <v>1194808</v>
          </cell>
          <cell r="BF161">
            <v>0</v>
          </cell>
          <cell r="BG161">
            <v>-4213393</v>
          </cell>
          <cell r="BH161">
            <v>-65960</v>
          </cell>
          <cell r="BI161">
            <v>0</v>
          </cell>
          <cell r="BJ161">
            <v>-1523</v>
          </cell>
          <cell r="BK161">
            <v>-1608815</v>
          </cell>
          <cell r="BL161">
            <v>-39498</v>
          </cell>
          <cell r="BM161">
            <v>-4413</v>
          </cell>
          <cell r="BN161">
            <v>-4008</v>
          </cell>
          <cell r="BO161">
            <v>0</v>
          </cell>
          <cell r="BP161">
            <v>0</v>
          </cell>
          <cell r="BQ161">
            <v>0</v>
          </cell>
          <cell r="BR161">
            <v>0</v>
          </cell>
          <cell r="BS161">
            <v>0</v>
          </cell>
          <cell r="BT161">
            <v>43135815</v>
          </cell>
          <cell r="BU161">
            <v>-255421</v>
          </cell>
          <cell r="BV161">
            <v>1011684</v>
          </cell>
          <cell r="BW161">
            <v>-2029449</v>
          </cell>
          <cell r="BX161">
            <v>-3272634</v>
          </cell>
          <cell r="BY161">
            <v>-3073560</v>
          </cell>
          <cell r="BZ161">
            <v>40737095</v>
          </cell>
          <cell r="CA161">
            <v>-1636317</v>
          </cell>
          <cell r="CB161">
            <v>-1309054</v>
          </cell>
          <cell r="CC161">
            <v>-327263</v>
          </cell>
          <cell r="CD161">
            <v>0</v>
          </cell>
          <cell r="CE161">
            <v>-1536780</v>
          </cell>
          <cell r="CF161">
            <v>-1229424</v>
          </cell>
          <cell r="CG161">
            <v>-307356</v>
          </cell>
          <cell r="CH161">
            <v>0</v>
          </cell>
        </row>
        <row r="162">
          <cell r="A162">
            <v>155</v>
          </cell>
          <cell r="B162" t="str">
            <v>Liverpool</v>
          </cell>
          <cell r="C162" t="str">
            <v>E4302</v>
          </cell>
          <cell r="D162">
            <v>760155</v>
          </cell>
          <cell r="H162">
            <v>-5002039</v>
          </cell>
          <cell r="I162">
            <v>-2270001</v>
          </cell>
          <cell r="J162">
            <v>760155</v>
          </cell>
          <cell r="K162">
            <v>0</v>
          </cell>
          <cell r="L162">
            <v>0</v>
          </cell>
          <cell r="M162">
            <v>0</v>
          </cell>
          <cell r="N162">
            <v>0</v>
          </cell>
          <cell r="O162">
            <v>0</v>
          </cell>
          <cell r="P162">
            <v>0</v>
          </cell>
          <cell r="Q162">
            <v>0</v>
          </cell>
          <cell r="R162">
            <v>5830744</v>
          </cell>
          <cell r="S162">
            <v>0</v>
          </cell>
          <cell r="T162">
            <v>54549</v>
          </cell>
          <cell r="U162">
            <v>117793</v>
          </cell>
          <cell r="V162">
            <v>0</v>
          </cell>
          <cell r="W162">
            <v>1102</v>
          </cell>
          <cell r="X162">
            <v>0</v>
          </cell>
          <cell r="Y162">
            <v>0</v>
          </cell>
          <cell r="Z162">
            <v>0</v>
          </cell>
          <cell r="AA162">
            <v>50321</v>
          </cell>
          <cell r="AB162">
            <v>0</v>
          </cell>
          <cell r="AC162">
            <v>508</v>
          </cell>
          <cell r="AD162">
            <v>0</v>
          </cell>
          <cell r="AE162">
            <v>0</v>
          </cell>
          <cell r="AF162">
            <v>0</v>
          </cell>
          <cell r="AG162">
            <v>0</v>
          </cell>
          <cell r="AH162">
            <v>0</v>
          </cell>
          <cell r="AI162">
            <v>0</v>
          </cell>
          <cell r="AM162">
            <v>0</v>
          </cell>
          <cell r="AN162">
            <v>0</v>
          </cell>
          <cell r="AO162">
            <v>0</v>
          </cell>
          <cell r="AP162">
            <v>2798228</v>
          </cell>
          <cell r="AQ162">
            <v>0</v>
          </cell>
          <cell r="AR162">
            <v>28265</v>
          </cell>
          <cell r="AS162">
            <v>-20764385</v>
          </cell>
          <cell r="AT162">
            <v>-20318437</v>
          </cell>
          <cell r="AU162">
            <v>0</v>
          </cell>
          <cell r="AV162">
            <v>-383375</v>
          </cell>
          <cell r="AW162">
            <v>-41466197</v>
          </cell>
          <cell r="AX162">
            <v>-11138474</v>
          </cell>
          <cell r="AY162">
            <v>-10915704</v>
          </cell>
          <cell r="AZ162">
            <v>0</v>
          </cell>
          <cell r="BA162">
            <v>-222771</v>
          </cell>
          <cell r="BB162">
            <v>-22276949</v>
          </cell>
          <cell r="BC162">
            <v>177525936</v>
          </cell>
          <cell r="BD162">
            <v>-9656328</v>
          </cell>
          <cell r="BE162">
            <v>5888126</v>
          </cell>
          <cell r="BF162">
            <v>0</v>
          </cell>
          <cell r="BG162">
            <v>-17984758</v>
          </cell>
          <cell r="BH162">
            <v>-4831</v>
          </cell>
          <cell r="BI162">
            <v>0</v>
          </cell>
          <cell r="BJ162">
            <v>0</v>
          </cell>
          <cell r="BK162">
            <v>-16641246</v>
          </cell>
          <cell r="BL162">
            <v>-72986</v>
          </cell>
          <cell r="BM162">
            <v>-13416</v>
          </cell>
          <cell r="BN162">
            <v>0</v>
          </cell>
          <cell r="BO162">
            <v>0</v>
          </cell>
          <cell r="BP162">
            <v>0</v>
          </cell>
          <cell r="BQ162">
            <v>-236253</v>
          </cell>
          <cell r="BR162">
            <v>-253697</v>
          </cell>
          <cell r="BS162">
            <v>0</v>
          </cell>
          <cell r="BT162">
            <v>199920257</v>
          </cell>
          <cell r="BU162">
            <v>-32799151</v>
          </cell>
          <cell r="BV162">
            <v>48445860</v>
          </cell>
          <cell r="BW162">
            <v>-2326672</v>
          </cell>
          <cell r="BX162">
            <v>-21194254</v>
          </cell>
          <cell r="BY162">
            <v>-21495704</v>
          </cell>
          <cell r="BZ162">
            <v>188163677</v>
          </cell>
          <cell r="CA162">
            <v>-10597128</v>
          </cell>
          <cell r="CB162">
            <v>-10385184</v>
          </cell>
          <cell r="CC162">
            <v>0</v>
          </cell>
          <cell r="CD162">
            <v>-211942</v>
          </cell>
          <cell r="CE162">
            <v>-10747852</v>
          </cell>
          <cell r="CF162">
            <v>-10532895</v>
          </cell>
          <cell r="CG162">
            <v>0</v>
          </cell>
          <cell r="CH162">
            <v>-214957</v>
          </cell>
        </row>
        <row r="163">
          <cell r="A163">
            <v>156</v>
          </cell>
          <cell r="B163" t="str">
            <v>Luton</v>
          </cell>
          <cell r="C163" t="str">
            <v>E0201</v>
          </cell>
          <cell r="D163">
            <v>246453</v>
          </cell>
          <cell r="H163">
            <v>170639</v>
          </cell>
          <cell r="I163">
            <v>-192751</v>
          </cell>
          <cell r="J163">
            <v>246453</v>
          </cell>
          <cell r="K163">
            <v>0</v>
          </cell>
          <cell r="L163">
            <v>0</v>
          </cell>
          <cell r="M163">
            <v>0</v>
          </cell>
          <cell r="N163">
            <v>0</v>
          </cell>
          <cell r="O163">
            <v>0</v>
          </cell>
          <cell r="P163">
            <v>0</v>
          </cell>
          <cell r="Q163">
            <v>0</v>
          </cell>
          <cell r="R163">
            <v>1085748</v>
          </cell>
          <cell r="S163">
            <v>0</v>
          </cell>
          <cell r="T163">
            <v>22158</v>
          </cell>
          <cell r="U163">
            <v>0</v>
          </cell>
          <cell r="V163">
            <v>0</v>
          </cell>
          <cell r="W163">
            <v>0</v>
          </cell>
          <cell r="X163">
            <v>0</v>
          </cell>
          <cell r="Y163">
            <v>0</v>
          </cell>
          <cell r="Z163">
            <v>0</v>
          </cell>
          <cell r="AA163">
            <v>45797</v>
          </cell>
          <cell r="AB163">
            <v>0</v>
          </cell>
          <cell r="AC163">
            <v>935</v>
          </cell>
          <cell r="AD163">
            <v>0</v>
          </cell>
          <cell r="AE163">
            <v>0</v>
          </cell>
          <cell r="AF163">
            <v>0</v>
          </cell>
          <cell r="AG163">
            <v>0</v>
          </cell>
          <cell r="AH163">
            <v>0</v>
          </cell>
          <cell r="AI163">
            <v>0</v>
          </cell>
          <cell r="AM163">
            <v>0</v>
          </cell>
          <cell r="AN163">
            <v>0</v>
          </cell>
          <cell r="AO163">
            <v>0</v>
          </cell>
          <cell r="AP163">
            <v>477890</v>
          </cell>
          <cell r="AQ163">
            <v>0</v>
          </cell>
          <cell r="AR163">
            <v>9753</v>
          </cell>
          <cell r="AS163">
            <v>-3768163.5</v>
          </cell>
          <cell r="AT163">
            <v>-3692802.17</v>
          </cell>
          <cell r="AU163">
            <v>0</v>
          </cell>
          <cell r="AV163">
            <v>-75364.33</v>
          </cell>
          <cell r="AW163">
            <v>-7536330</v>
          </cell>
          <cell r="AX163">
            <v>-4748331.8</v>
          </cell>
          <cell r="AY163">
            <v>-4653363</v>
          </cell>
          <cell r="AZ163">
            <v>0</v>
          </cell>
          <cell r="BA163">
            <v>-94966</v>
          </cell>
          <cell r="BB163">
            <v>-9496660</v>
          </cell>
          <cell r="BC163">
            <v>73111120</v>
          </cell>
          <cell r="BD163">
            <v>-3173673</v>
          </cell>
          <cell r="BE163">
            <v>1870949</v>
          </cell>
          <cell r="BF163">
            <v>0</v>
          </cell>
          <cell r="BG163">
            <v>-5242617</v>
          </cell>
          <cell r="BH163">
            <v>-43895</v>
          </cell>
          <cell r="BI163">
            <v>0</v>
          </cell>
          <cell r="BJ163">
            <v>-25371</v>
          </cell>
          <cell r="BK163">
            <v>-2087873</v>
          </cell>
          <cell r="BL163">
            <v>-139288</v>
          </cell>
          <cell r="BM163">
            <v>-55206</v>
          </cell>
          <cell r="BN163">
            <v>-56</v>
          </cell>
          <cell r="BO163">
            <v>0</v>
          </cell>
          <cell r="BP163">
            <v>0</v>
          </cell>
          <cell r="BQ163">
            <v>-9876</v>
          </cell>
          <cell r="BR163">
            <v>0</v>
          </cell>
          <cell r="BS163">
            <v>0</v>
          </cell>
          <cell r="BT163">
            <v>68591062</v>
          </cell>
          <cell r="BU163">
            <v>-380514</v>
          </cell>
          <cell r="BV163">
            <v>12710654</v>
          </cell>
          <cell r="BW163">
            <v>-4305198</v>
          </cell>
          <cell r="BX163">
            <v>-3598805</v>
          </cell>
          <cell r="BY163">
            <v>-5869297</v>
          </cell>
          <cell r="BZ163">
            <v>64926114</v>
          </cell>
          <cell r="CA163">
            <v>-1799402</v>
          </cell>
          <cell r="CB163">
            <v>-1763415</v>
          </cell>
          <cell r="CC163">
            <v>0</v>
          </cell>
          <cell r="CD163">
            <v>-35988</v>
          </cell>
          <cell r="CE163">
            <v>-2934648</v>
          </cell>
          <cell r="CF163">
            <v>-2875956</v>
          </cell>
          <cell r="CG163">
            <v>0</v>
          </cell>
          <cell r="CH163">
            <v>-58693</v>
          </cell>
        </row>
        <row r="164">
          <cell r="A164">
            <v>157</v>
          </cell>
          <cell r="B164" t="str">
            <v>Maidstone</v>
          </cell>
          <cell r="C164" t="str">
            <v>E2237</v>
          </cell>
          <cell r="D164">
            <v>203668</v>
          </cell>
          <cell r="H164">
            <v>-2470839</v>
          </cell>
          <cell r="I164">
            <v>0</v>
          </cell>
          <cell r="J164">
            <v>203668</v>
          </cell>
          <cell r="K164">
            <v>60192</v>
          </cell>
          <cell r="L164">
            <v>0</v>
          </cell>
          <cell r="M164">
            <v>0</v>
          </cell>
          <cell r="N164">
            <v>55000</v>
          </cell>
          <cell r="O164">
            <v>55000</v>
          </cell>
          <cell r="P164">
            <v>0</v>
          </cell>
          <cell r="Q164">
            <v>0</v>
          </cell>
          <cell r="R164">
            <v>635335</v>
          </cell>
          <cell r="S164">
            <v>142950</v>
          </cell>
          <cell r="T164">
            <v>15883</v>
          </cell>
          <cell r="U164">
            <v>1703</v>
          </cell>
          <cell r="V164">
            <v>383</v>
          </cell>
          <cell r="W164">
            <v>43</v>
          </cell>
          <cell r="X164">
            <v>0</v>
          </cell>
          <cell r="Y164">
            <v>0</v>
          </cell>
          <cell r="Z164">
            <v>0</v>
          </cell>
          <cell r="AA164">
            <v>10418</v>
          </cell>
          <cell r="AB164">
            <v>2344</v>
          </cell>
          <cell r="AC164">
            <v>260</v>
          </cell>
          <cell r="AD164">
            <v>0</v>
          </cell>
          <cell r="AE164">
            <v>0</v>
          </cell>
          <cell r="AF164">
            <v>0</v>
          </cell>
          <cell r="AG164">
            <v>0</v>
          </cell>
          <cell r="AH164">
            <v>0</v>
          </cell>
          <cell r="AI164">
            <v>0</v>
          </cell>
          <cell r="AM164">
            <v>0</v>
          </cell>
          <cell r="AN164">
            <v>0</v>
          </cell>
          <cell r="AO164">
            <v>0</v>
          </cell>
          <cell r="AP164">
            <v>342956</v>
          </cell>
          <cell r="AQ164">
            <v>76776</v>
          </cell>
          <cell r="AR164">
            <v>8531</v>
          </cell>
          <cell r="AS164">
            <v>-918247.91</v>
          </cell>
          <cell r="AT164">
            <v>-734596</v>
          </cell>
          <cell r="AU164">
            <v>-165284</v>
          </cell>
          <cell r="AV164">
            <v>-18365</v>
          </cell>
          <cell r="AW164">
            <v>-1836492.9</v>
          </cell>
          <cell r="AX164">
            <v>-3807004</v>
          </cell>
          <cell r="AY164">
            <v>-3045603</v>
          </cell>
          <cell r="AZ164">
            <v>-685260</v>
          </cell>
          <cell r="BA164">
            <v>-76141</v>
          </cell>
          <cell r="BB164">
            <v>-7614008</v>
          </cell>
          <cell r="BC164">
            <v>56922458</v>
          </cell>
          <cell r="BD164">
            <v>-2375158</v>
          </cell>
          <cell r="BE164">
            <v>1606038</v>
          </cell>
          <cell r="BF164">
            <v>0</v>
          </cell>
          <cell r="BG164">
            <v>-4220245</v>
          </cell>
          <cell r="BH164">
            <v>-105324</v>
          </cell>
          <cell r="BI164">
            <v>-3149</v>
          </cell>
          <cell r="BJ164">
            <v>-6798</v>
          </cell>
          <cell r="BK164">
            <v>-2514093</v>
          </cell>
          <cell r="BL164">
            <v>-143082</v>
          </cell>
          <cell r="BM164">
            <v>-7844</v>
          </cell>
          <cell r="BN164">
            <v>-7803</v>
          </cell>
          <cell r="BO164">
            <v>-2683</v>
          </cell>
          <cell r="BP164">
            <v>0</v>
          </cell>
          <cell r="BQ164">
            <v>0</v>
          </cell>
          <cell r="BR164">
            <v>0</v>
          </cell>
          <cell r="BS164">
            <v>0</v>
          </cell>
          <cell r="BT164">
            <v>60507372</v>
          </cell>
          <cell r="BU164">
            <v>-816543</v>
          </cell>
          <cell r="BV164">
            <v>4102122</v>
          </cell>
          <cell r="BW164">
            <v>-1146381</v>
          </cell>
          <cell r="BX164">
            <v>-12756410</v>
          </cell>
          <cell r="BY164">
            <v>-7166927</v>
          </cell>
          <cell r="BZ164">
            <v>56789676</v>
          </cell>
          <cell r="CA164">
            <v>-6378206</v>
          </cell>
          <cell r="CB164">
            <v>-5102564</v>
          </cell>
          <cell r="CC164">
            <v>-1148077</v>
          </cell>
          <cell r="CD164">
            <v>-127563</v>
          </cell>
          <cell r="CE164">
            <v>-3583464</v>
          </cell>
          <cell r="CF164">
            <v>-2866771</v>
          </cell>
          <cell r="CG164">
            <v>-645023</v>
          </cell>
          <cell r="CH164">
            <v>-71669</v>
          </cell>
        </row>
        <row r="165">
          <cell r="A165">
            <v>158</v>
          </cell>
          <cell r="B165" t="str">
            <v>Maldon</v>
          </cell>
          <cell r="C165" t="str">
            <v>E1539</v>
          </cell>
          <cell r="D165">
            <v>92673</v>
          </cell>
          <cell r="H165">
            <v>107637</v>
          </cell>
          <cell r="I165">
            <v>0</v>
          </cell>
          <cell r="J165">
            <v>92673</v>
          </cell>
          <cell r="K165">
            <v>0</v>
          </cell>
          <cell r="L165">
            <v>641000</v>
          </cell>
          <cell r="M165">
            <v>0</v>
          </cell>
          <cell r="N165">
            <v>0</v>
          </cell>
          <cell r="O165">
            <v>0</v>
          </cell>
          <cell r="P165">
            <v>0</v>
          </cell>
          <cell r="Q165">
            <v>0</v>
          </cell>
          <cell r="R165">
            <v>507877</v>
          </cell>
          <cell r="S165">
            <v>114273</v>
          </cell>
          <cell r="T165">
            <v>12697</v>
          </cell>
          <cell r="U165">
            <v>1568</v>
          </cell>
          <cell r="V165">
            <v>353</v>
          </cell>
          <cell r="W165">
            <v>39</v>
          </cell>
          <cell r="X165">
            <v>0</v>
          </cell>
          <cell r="Y165">
            <v>0</v>
          </cell>
          <cell r="Z165">
            <v>0</v>
          </cell>
          <cell r="AA165">
            <v>0</v>
          </cell>
          <cell r="AB165">
            <v>0</v>
          </cell>
          <cell r="AC165">
            <v>0</v>
          </cell>
          <cell r="AD165">
            <v>0</v>
          </cell>
          <cell r="AE165">
            <v>0</v>
          </cell>
          <cell r="AF165">
            <v>0</v>
          </cell>
          <cell r="AG165">
            <v>0</v>
          </cell>
          <cell r="AH165">
            <v>0</v>
          </cell>
          <cell r="AI165">
            <v>0</v>
          </cell>
          <cell r="AM165">
            <v>0</v>
          </cell>
          <cell r="AN165">
            <v>0</v>
          </cell>
          <cell r="AO165">
            <v>0</v>
          </cell>
          <cell r="AP165">
            <v>85972</v>
          </cell>
          <cell r="AQ165">
            <v>17177</v>
          </cell>
          <cell r="AR165">
            <v>1909</v>
          </cell>
          <cell r="AS165">
            <v>-142000</v>
          </cell>
          <cell r="AT165">
            <v>-113600</v>
          </cell>
          <cell r="AU165">
            <v>-25560</v>
          </cell>
          <cell r="AV165">
            <v>-2840</v>
          </cell>
          <cell r="AW165">
            <v>-284000</v>
          </cell>
          <cell r="AX165">
            <v>-560904</v>
          </cell>
          <cell r="AY165">
            <v>-448722</v>
          </cell>
          <cell r="AZ165">
            <v>-100962</v>
          </cell>
          <cell r="BA165">
            <v>-11218</v>
          </cell>
          <cell r="BB165">
            <v>-1121806</v>
          </cell>
          <cell r="BC165">
            <v>14149347</v>
          </cell>
          <cell r="BD165">
            <v>-1924649</v>
          </cell>
          <cell r="BE165">
            <v>343314</v>
          </cell>
          <cell r="BF165">
            <v>0</v>
          </cell>
          <cell r="BG165">
            <v>-785297</v>
          </cell>
          <cell r="BH165">
            <v>-50624</v>
          </cell>
          <cell r="BI165">
            <v>-13891</v>
          </cell>
          <cell r="BJ165">
            <v>-471</v>
          </cell>
          <cell r="BK165">
            <v>-375293</v>
          </cell>
          <cell r="BL165">
            <v>-30312</v>
          </cell>
          <cell r="BM165">
            <v>-5546</v>
          </cell>
          <cell r="BN165">
            <v>-293</v>
          </cell>
          <cell r="BO165">
            <v>0</v>
          </cell>
          <cell r="BP165">
            <v>0</v>
          </cell>
          <cell r="BQ165">
            <v>0</v>
          </cell>
          <cell r="BR165">
            <v>0</v>
          </cell>
          <cell r="BS165">
            <v>0</v>
          </cell>
          <cell r="BT165">
            <v>14850763</v>
          </cell>
          <cell r="BU165">
            <v>-65918</v>
          </cell>
          <cell r="BV165">
            <v>692374</v>
          </cell>
          <cell r="BW165">
            <v>-433164</v>
          </cell>
          <cell r="BX165">
            <v>-1076795</v>
          </cell>
          <cell r="BY165">
            <v>-885807</v>
          </cell>
          <cell r="BZ165">
            <v>12705729</v>
          </cell>
          <cell r="CA165">
            <v>-538397</v>
          </cell>
          <cell r="CB165">
            <v>-430718</v>
          </cell>
          <cell r="CC165">
            <v>-96912</v>
          </cell>
          <cell r="CD165">
            <v>-10768</v>
          </cell>
          <cell r="CE165">
            <v>-442903</v>
          </cell>
          <cell r="CF165">
            <v>-354323</v>
          </cell>
          <cell r="CG165">
            <v>-79723</v>
          </cell>
          <cell r="CH165">
            <v>-8858</v>
          </cell>
        </row>
        <row r="166">
          <cell r="A166">
            <v>159</v>
          </cell>
          <cell r="B166" t="str">
            <v>Malvern Hills</v>
          </cell>
          <cell r="C166" t="str">
            <v>E1851</v>
          </cell>
          <cell r="D166">
            <v>106758</v>
          </cell>
          <cell r="H166">
            <v>118743</v>
          </cell>
          <cell r="I166">
            <v>0</v>
          </cell>
          <cell r="J166">
            <v>106758</v>
          </cell>
          <cell r="K166">
            <v>0</v>
          </cell>
          <cell r="L166">
            <v>0</v>
          </cell>
          <cell r="M166">
            <v>0</v>
          </cell>
          <cell r="N166">
            <v>0</v>
          </cell>
          <cell r="O166">
            <v>0</v>
          </cell>
          <cell r="P166">
            <v>0</v>
          </cell>
          <cell r="Q166">
            <v>0</v>
          </cell>
          <cell r="R166">
            <v>562229</v>
          </cell>
          <cell r="S166">
            <v>126501</v>
          </cell>
          <cell r="T166">
            <v>14056</v>
          </cell>
          <cell r="U166">
            <v>0</v>
          </cell>
          <cell r="V166">
            <v>0</v>
          </cell>
          <cell r="W166">
            <v>0</v>
          </cell>
          <cell r="X166">
            <v>10211</v>
          </cell>
          <cell r="Y166">
            <v>2297</v>
          </cell>
          <cell r="Z166">
            <v>255</v>
          </cell>
          <cell r="AA166">
            <v>0</v>
          </cell>
          <cell r="AB166">
            <v>0</v>
          </cell>
          <cell r="AC166">
            <v>0</v>
          </cell>
          <cell r="AD166">
            <v>0</v>
          </cell>
          <cell r="AE166">
            <v>0</v>
          </cell>
          <cell r="AF166">
            <v>0</v>
          </cell>
          <cell r="AG166">
            <v>0</v>
          </cell>
          <cell r="AH166">
            <v>0</v>
          </cell>
          <cell r="AI166">
            <v>0</v>
          </cell>
          <cell r="AM166">
            <v>0</v>
          </cell>
          <cell r="AN166">
            <v>0</v>
          </cell>
          <cell r="AO166">
            <v>0</v>
          </cell>
          <cell r="AP166">
            <v>91368</v>
          </cell>
          <cell r="AQ166">
            <v>20558</v>
          </cell>
          <cell r="AR166">
            <v>2284</v>
          </cell>
          <cell r="AS166">
            <v>-76242</v>
          </cell>
          <cell r="AT166">
            <v>-60993</v>
          </cell>
          <cell r="AU166">
            <v>-13724</v>
          </cell>
          <cell r="AV166">
            <v>-1525</v>
          </cell>
          <cell r="AW166">
            <v>-152484</v>
          </cell>
          <cell r="AX166">
            <v>-1998841.4</v>
          </cell>
          <cell r="AY166">
            <v>-1599073</v>
          </cell>
          <cell r="AZ166">
            <v>-359792</v>
          </cell>
          <cell r="BA166">
            <v>-39976</v>
          </cell>
          <cell r="BB166">
            <v>-3997682.4000000004</v>
          </cell>
          <cell r="BC166">
            <v>15520423</v>
          </cell>
          <cell r="BD166">
            <v>-2235616</v>
          </cell>
          <cell r="BE166">
            <v>418445</v>
          </cell>
          <cell r="BF166">
            <v>0</v>
          </cell>
          <cell r="BG166">
            <v>-1786657</v>
          </cell>
          <cell r="BH166">
            <v>-149955</v>
          </cell>
          <cell r="BI166">
            <v>-57526</v>
          </cell>
          <cell r="BJ166">
            <v>-1089</v>
          </cell>
          <cell r="BK166">
            <v>-480369</v>
          </cell>
          <cell r="BL166">
            <v>-84253</v>
          </cell>
          <cell r="BM166">
            <v>-58694</v>
          </cell>
          <cell r="BN166">
            <v>-37400</v>
          </cell>
          <cell r="BO166">
            <v>-34110</v>
          </cell>
          <cell r="BP166">
            <v>-33800</v>
          </cell>
          <cell r="BQ166">
            <v>0</v>
          </cell>
          <cell r="BR166">
            <v>0</v>
          </cell>
          <cell r="BS166">
            <v>0</v>
          </cell>
          <cell r="BT166">
            <v>16552665</v>
          </cell>
          <cell r="BU166">
            <v>-17947</v>
          </cell>
          <cell r="BV166">
            <v>419521</v>
          </cell>
          <cell r="BW166">
            <v>-119095</v>
          </cell>
          <cell r="BX166">
            <v>-3816963</v>
          </cell>
          <cell r="BY166">
            <v>-252228</v>
          </cell>
          <cell r="BZ166">
            <v>15206223</v>
          </cell>
          <cell r="CA166">
            <v>-1908481</v>
          </cell>
          <cell r="CB166">
            <v>-1526786</v>
          </cell>
          <cell r="CC166">
            <v>-343526</v>
          </cell>
          <cell r="CD166">
            <v>-38170</v>
          </cell>
          <cell r="CE166">
            <v>-126114</v>
          </cell>
          <cell r="CF166">
            <v>-100891</v>
          </cell>
          <cell r="CG166">
            <v>-22701</v>
          </cell>
          <cell r="CH166">
            <v>-2522</v>
          </cell>
        </row>
        <row r="167">
          <cell r="A167">
            <v>160</v>
          </cell>
          <cell r="B167" t="str">
            <v>Manchester</v>
          </cell>
          <cell r="C167" t="str">
            <v>E4203</v>
          </cell>
          <cell r="D167">
            <v>1123710</v>
          </cell>
          <cell r="H167">
            <v>-4007692</v>
          </cell>
          <cell r="I167">
            <v>-459014</v>
          </cell>
          <cell r="J167">
            <v>1123710</v>
          </cell>
          <cell r="K167">
            <v>0</v>
          </cell>
          <cell r="L167">
            <v>0</v>
          </cell>
          <cell r="M167">
            <v>0</v>
          </cell>
          <cell r="N167">
            <v>0</v>
          </cell>
          <cell r="O167">
            <v>0</v>
          </cell>
          <cell r="P167">
            <v>0</v>
          </cell>
          <cell r="Q167">
            <v>0</v>
          </cell>
          <cell r="R167">
            <v>7327394</v>
          </cell>
          <cell r="S167">
            <v>0</v>
          </cell>
          <cell r="T167">
            <v>73319</v>
          </cell>
          <cell r="U167">
            <v>0</v>
          </cell>
          <cell r="V167">
            <v>0</v>
          </cell>
          <cell r="W167">
            <v>0</v>
          </cell>
          <cell r="X167">
            <v>0</v>
          </cell>
          <cell r="Y167">
            <v>0</v>
          </cell>
          <cell r="Z167">
            <v>0</v>
          </cell>
          <cell r="AA167">
            <v>119960</v>
          </cell>
          <cell r="AB167">
            <v>0</v>
          </cell>
          <cell r="AC167">
            <v>1212</v>
          </cell>
          <cell r="AD167">
            <v>0</v>
          </cell>
          <cell r="AE167">
            <v>0</v>
          </cell>
          <cell r="AF167">
            <v>0</v>
          </cell>
          <cell r="AG167">
            <v>0</v>
          </cell>
          <cell r="AH167">
            <v>0</v>
          </cell>
          <cell r="AI167">
            <v>0</v>
          </cell>
          <cell r="AM167">
            <v>0</v>
          </cell>
          <cell r="AN167">
            <v>0</v>
          </cell>
          <cell r="AO167">
            <v>0</v>
          </cell>
          <cell r="AP167">
            <v>4827923</v>
          </cell>
          <cell r="AQ167">
            <v>0</v>
          </cell>
          <cell r="AR167">
            <v>48767</v>
          </cell>
          <cell r="AS167">
            <v>-7730965</v>
          </cell>
          <cell r="AT167">
            <v>-7576344</v>
          </cell>
          <cell r="AU167">
            <v>0</v>
          </cell>
          <cell r="AV167">
            <v>-154620</v>
          </cell>
          <cell r="AW167">
            <v>-15461929</v>
          </cell>
          <cell r="AX167">
            <v>-47078972</v>
          </cell>
          <cell r="AY167">
            <v>-46137390</v>
          </cell>
          <cell r="AZ167">
            <v>0</v>
          </cell>
          <cell r="BA167">
            <v>-941579</v>
          </cell>
          <cell r="BB167">
            <v>-94157941</v>
          </cell>
          <cell r="BC167">
            <v>340207313</v>
          </cell>
          <cell r="BD167">
            <v>-11631788</v>
          </cell>
          <cell r="BE167">
            <v>9934097</v>
          </cell>
          <cell r="BF167">
            <v>0</v>
          </cell>
          <cell r="BG167">
            <v>-24887357</v>
          </cell>
          <cell r="BH167">
            <v>-82924</v>
          </cell>
          <cell r="BI167">
            <v>0</v>
          </cell>
          <cell r="BJ167">
            <v>0</v>
          </cell>
          <cell r="BK167">
            <v>-24500599</v>
          </cell>
          <cell r="BL167">
            <v>-507615</v>
          </cell>
          <cell r="BM167">
            <v>-3286305</v>
          </cell>
          <cell r="BN167">
            <v>0</v>
          </cell>
          <cell r="BO167">
            <v>0</v>
          </cell>
          <cell r="BP167">
            <v>0</v>
          </cell>
          <cell r="BQ167">
            <v>-952794</v>
          </cell>
          <cell r="BR167">
            <v>-1200141</v>
          </cell>
          <cell r="BS167">
            <v>0</v>
          </cell>
          <cell r="BT167">
            <v>342359126</v>
          </cell>
          <cell r="BU167">
            <v>-1591385</v>
          </cell>
          <cell r="BV167">
            <v>28415087</v>
          </cell>
          <cell r="BW167">
            <v>-15476910</v>
          </cell>
          <cell r="BX167">
            <v>42861342</v>
          </cell>
          <cell r="BY167">
            <v>29867866</v>
          </cell>
          <cell r="BZ167">
            <v>324648233</v>
          </cell>
          <cell r="CA167">
            <v>21430671</v>
          </cell>
          <cell r="CB167">
            <v>21002058</v>
          </cell>
          <cell r="CC167">
            <v>0</v>
          </cell>
          <cell r="CD167">
            <v>428613</v>
          </cell>
          <cell r="CE167">
            <v>14933933</v>
          </cell>
          <cell r="CF167">
            <v>14635254</v>
          </cell>
          <cell r="CG167">
            <v>0</v>
          </cell>
          <cell r="CH167">
            <v>298679</v>
          </cell>
        </row>
        <row r="168">
          <cell r="A168">
            <v>161</v>
          </cell>
          <cell r="B168" t="str">
            <v>Mansfield</v>
          </cell>
          <cell r="C168" t="str">
            <v>E3035</v>
          </cell>
          <cell r="D168">
            <v>126789</v>
          </cell>
          <cell r="H168">
            <v>-422033</v>
          </cell>
          <cell r="I168">
            <v>0</v>
          </cell>
          <cell r="J168">
            <v>126789</v>
          </cell>
          <cell r="K168">
            <v>0</v>
          </cell>
          <cell r="L168">
            <v>20186</v>
          </cell>
          <cell r="M168">
            <v>0</v>
          </cell>
          <cell r="N168">
            <v>0</v>
          </cell>
          <cell r="O168">
            <v>0</v>
          </cell>
          <cell r="P168">
            <v>0</v>
          </cell>
          <cell r="Q168">
            <v>0</v>
          </cell>
          <cell r="R168">
            <v>501784</v>
          </cell>
          <cell r="S168">
            <v>112901</v>
          </cell>
          <cell r="T168">
            <v>12545</v>
          </cell>
          <cell r="U168">
            <v>3557</v>
          </cell>
          <cell r="V168">
            <v>800</v>
          </cell>
          <cell r="W168">
            <v>89</v>
          </cell>
          <cell r="X168">
            <v>8269</v>
          </cell>
          <cell r="Y168">
            <v>1860</v>
          </cell>
          <cell r="Z168">
            <v>207</v>
          </cell>
          <cell r="AA168">
            <v>6413</v>
          </cell>
          <cell r="AB168">
            <v>1443</v>
          </cell>
          <cell r="AC168">
            <v>160</v>
          </cell>
          <cell r="AD168">
            <v>0</v>
          </cell>
          <cell r="AE168">
            <v>0</v>
          </cell>
          <cell r="AF168">
            <v>0</v>
          </cell>
          <cell r="AG168">
            <v>0</v>
          </cell>
          <cell r="AH168">
            <v>0</v>
          </cell>
          <cell r="AI168">
            <v>0</v>
          </cell>
          <cell r="AM168">
            <v>0</v>
          </cell>
          <cell r="AN168">
            <v>0</v>
          </cell>
          <cell r="AO168">
            <v>0</v>
          </cell>
          <cell r="AP168">
            <v>169764</v>
          </cell>
          <cell r="AQ168">
            <v>38129</v>
          </cell>
          <cell r="AR168">
            <v>4237</v>
          </cell>
          <cell r="AS168">
            <v>-318315</v>
          </cell>
          <cell r="AT168">
            <v>-254651</v>
          </cell>
          <cell r="AU168">
            <v>-57297</v>
          </cell>
          <cell r="AV168">
            <v>-6366</v>
          </cell>
          <cell r="AW168">
            <v>-636629</v>
          </cell>
          <cell r="AX168">
            <v>-1127963</v>
          </cell>
          <cell r="AY168">
            <v>-902372</v>
          </cell>
          <cell r="AZ168">
            <v>-203035</v>
          </cell>
          <cell r="BA168">
            <v>-22560</v>
          </cell>
          <cell r="BB168">
            <v>-2255930</v>
          </cell>
          <cell r="BC168">
            <v>31508791</v>
          </cell>
          <cell r="BD168">
            <v>-1981323</v>
          </cell>
          <cell r="BE168">
            <v>787907</v>
          </cell>
          <cell r="BF168">
            <v>0</v>
          </cell>
          <cell r="BG168">
            <v>-2222961</v>
          </cell>
          <cell r="BH168">
            <v>-13817</v>
          </cell>
          <cell r="BI168">
            <v>0</v>
          </cell>
          <cell r="BJ168">
            <v>-1814</v>
          </cell>
          <cell r="BK168">
            <v>-976564</v>
          </cell>
          <cell r="BL168">
            <v>-12430</v>
          </cell>
          <cell r="BM168">
            <v>-117359</v>
          </cell>
          <cell r="BN168">
            <v>0</v>
          </cell>
          <cell r="BO168">
            <v>0</v>
          </cell>
          <cell r="BP168">
            <v>0</v>
          </cell>
          <cell r="BQ168">
            <v>0</v>
          </cell>
          <cell r="BR168">
            <v>0</v>
          </cell>
          <cell r="BS168">
            <v>0</v>
          </cell>
          <cell r="BT168">
            <v>29600669</v>
          </cell>
          <cell r="BU168">
            <v>-285469</v>
          </cell>
          <cell r="BV168">
            <v>631544</v>
          </cell>
          <cell r="BW168">
            <v>-62783</v>
          </cell>
          <cell r="BX168">
            <v>1591612</v>
          </cell>
          <cell r="BY168">
            <v>1287381</v>
          </cell>
          <cell r="BZ168">
            <v>28203166</v>
          </cell>
          <cell r="CA168">
            <v>795806</v>
          </cell>
          <cell r="CB168">
            <v>636645</v>
          </cell>
          <cell r="CC168">
            <v>143245</v>
          </cell>
          <cell r="CD168">
            <v>15916</v>
          </cell>
          <cell r="CE168">
            <v>643691</v>
          </cell>
          <cell r="CF168">
            <v>514952</v>
          </cell>
          <cell r="CG168">
            <v>115864</v>
          </cell>
          <cell r="CH168">
            <v>12874</v>
          </cell>
        </row>
        <row r="169">
          <cell r="A169">
            <v>162</v>
          </cell>
          <cell r="B169" t="str">
            <v>Medway</v>
          </cell>
          <cell r="C169" t="str">
            <v>E2201</v>
          </cell>
          <cell r="D169">
            <v>273476</v>
          </cell>
          <cell r="H169">
            <v>-4794668</v>
          </cell>
          <cell r="I169">
            <v>1069</v>
          </cell>
          <cell r="J169">
            <v>273476</v>
          </cell>
          <cell r="K169">
            <v>1110</v>
          </cell>
          <cell r="L169">
            <v>0</v>
          </cell>
          <cell r="M169">
            <v>0</v>
          </cell>
          <cell r="N169">
            <v>0</v>
          </cell>
          <cell r="O169">
            <v>0</v>
          </cell>
          <cell r="P169">
            <v>0</v>
          </cell>
          <cell r="Q169">
            <v>0</v>
          </cell>
          <cell r="R169">
            <v>1449521</v>
          </cell>
          <cell r="S169">
            <v>0</v>
          </cell>
          <cell r="T169">
            <v>29582</v>
          </cell>
          <cell r="U169">
            <v>6246</v>
          </cell>
          <cell r="V169">
            <v>0</v>
          </cell>
          <cell r="W169">
            <v>127</v>
          </cell>
          <cell r="X169">
            <v>2017</v>
          </cell>
          <cell r="Y169">
            <v>0</v>
          </cell>
          <cell r="Z169">
            <v>41</v>
          </cell>
          <cell r="AA169">
            <v>5832</v>
          </cell>
          <cell r="AB169">
            <v>0</v>
          </cell>
          <cell r="AC169">
            <v>119</v>
          </cell>
          <cell r="AD169">
            <v>0</v>
          </cell>
          <cell r="AE169">
            <v>0</v>
          </cell>
          <cell r="AF169">
            <v>0</v>
          </cell>
          <cell r="AG169">
            <v>0</v>
          </cell>
          <cell r="AH169">
            <v>0</v>
          </cell>
          <cell r="AI169">
            <v>0</v>
          </cell>
          <cell r="AM169">
            <v>0</v>
          </cell>
          <cell r="AN169">
            <v>0</v>
          </cell>
          <cell r="AO169">
            <v>0</v>
          </cell>
          <cell r="AP169">
            <v>616117</v>
          </cell>
          <cell r="AQ169">
            <v>0</v>
          </cell>
          <cell r="AR169">
            <v>12573</v>
          </cell>
          <cell r="AS169">
            <v>-1462351</v>
          </cell>
          <cell r="AT169">
            <v>-1433105</v>
          </cell>
          <cell r="AU169">
            <v>0</v>
          </cell>
          <cell r="AV169">
            <v>-29248</v>
          </cell>
          <cell r="AW169">
            <v>-2924704</v>
          </cell>
          <cell r="AX169">
            <v>-6046092</v>
          </cell>
          <cell r="AY169">
            <v>-5925173</v>
          </cell>
          <cell r="AZ169">
            <v>0</v>
          </cell>
          <cell r="BA169">
            <v>-120923</v>
          </cell>
          <cell r="BB169">
            <v>-12092188</v>
          </cell>
          <cell r="BC169">
            <v>90517370</v>
          </cell>
          <cell r="BD169">
            <v>-4217313</v>
          </cell>
          <cell r="BE169">
            <v>2678604</v>
          </cell>
          <cell r="BF169">
            <v>0</v>
          </cell>
          <cell r="BG169">
            <v>-8030478</v>
          </cell>
          <cell r="BH169">
            <v>-93436</v>
          </cell>
          <cell r="BI169">
            <v>-3926</v>
          </cell>
          <cell r="BJ169">
            <v>0</v>
          </cell>
          <cell r="BK169">
            <v>-3141675</v>
          </cell>
          <cell r="BL169">
            <v>-408430</v>
          </cell>
          <cell r="BM169">
            <v>-198381</v>
          </cell>
          <cell r="BN169">
            <v>-23359</v>
          </cell>
          <cell r="BO169">
            <v>-2420</v>
          </cell>
          <cell r="BP169">
            <v>0</v>
          </cell>
          <cell r="BQ169">
            <v>0</v>
          </cell>
          <cell r="BR169">
            <v>0</v>
          </cell>
          <cell r="BS169">
            <v>0</v>
          </cell>
          <cell r="BT169">
            <v>92659034</v>
          </cell>
          <cell r="BU169">
            <v>-923826</v>
          </cell>
          <cell r="BV169">
            <v>4424648</v>
          </cell>
          <cell r="BW169">
            <v>-1740437</v>
          </cell>
          <cell r="BX169">
            <v>-4154929</v>
          </cell>
          <cell r="BY169">
            <v>-3094545</v>
          </cell>
          <cell r="BZ169">
            <v>83703388</v>
          </cell>
          <cell r="CA169">
            <v>-2077465</v>
          </cell>
          <cell r="CB169">
            <v>-2035915</v>
          </cell>
          <cell r="CC169">
            <v>0</v>
          </cell>
          <cell r="CD169">
            <v>-41549</v>
          </cell>
          <cell r="CE169">
            <v>-1547273</v>
          </cell>
          <cell r="CF169">
            <v>-1516327</v>
          </cell>
          <cell r="CG169">
            <v>0</v>
          </cell>
          <cell r="CH169">
            <v>-30945</v>
          </cell>
        </row>
        <row r="170">
          <cell r="A170">
            <v>163</v>
          </cell>
          <cell r="B170" t="str">
            <v>Melton</v>
          </cell>
          <cell r="C170" t="str">
            <v>E2436</v>
          </cell>
          <cell r="D170">
            <v>62450</v>
          </cell>
          <cell r="H170">
            <v>268237</v>
          </cell>
          <cell r="I170">
            <v>0</v>
          </cell>
          <cell r="J170">
            <v>62450</v>
          </cell>
          <cell r="K170">
            <v>0</v>
          </cell>
          <cell r="L170">
            <v>150000</v>
          </cell>
          <cell r="M170">
            <v>0</v>
          </cell>
          <cell r="N170">
            <v>0</v>
          </cell>
          <cell r="O170">
            <v>0</v>
          </cell>
          <cell r="P170">
            <v>0</v>
          </cell>
          <cell r="Q170">
            <v>0</v>
          </cell>
          <cell r="R170">
            <v>509957</v>
          </cell>
          <cell r="S170">
            <v>114740</v>
          </cell>
          <cell r="T170">
            <v>12749</v>
          </cell>
          <cell r="U170">
            <v>3248</v>
          </cell>
          <cell r="V170">
            <v>731</v>
          </cell>
          <cell r="W170">
            <v>81</v>
          </cell>
          <cell r="X170">
            <v>0</v>
          </cell>
          <cell r="Y170">
            <v>0</v>
          </cell>
          <cell r="Z170">
            <v>0</v>
          </cell>
          <cell r="AA170">
            <v>0</v>
          </cell>
          <cell r="AB170">
            <v>0</v>
          </cell>
          <cell r="AC170">
            <v>0</v>
          </cell>
          <cell r="AD170">
            <v>0</v>
          </cell>
          <cell r="AE170">
            <v>0</v>
          </cell>
          <cell r="AF170">
            <v>0</v>
          </cell>
          <cell r="AG170">
            <v>0</v>
          </cell>
          <cell r="AH170">
            <v>0</v>
          </cell>
          <cell r="AI170">
            <v>0</v>
          </cell>
          <cell r="AM170">
            <v>0</v>
          </cell>
          <cell r="AN170">
            <v>0</v>
          </cell>
          <cell r="AO170">
            <v>0</v>
          </cell>
          <cell r="AP170">
            <v>82759</v>
          </cell>
          <cell r="AQ170">
            <v>18114</v>
          </cell>
          <cell r="AR170">
            <v>2013</v>
          </cell>
          <cell r="AS170">
            <v>-61762.11</v>
          </cell>
          <cell r="AT170">
            <v>-49411</v>
          </cell>
          <cell r="AU170">
            <v>-11119</v>
          </cell>
          <cell r="AV170">
            <v>-1235</v>
          </cell>
          <cell r="AW170">
            <v>-123527.11000000002</v>
          </cell>
          <cell r="AX170">
            <v>-462496.18999999994</v>
          </cell>
          <cell r="AY170">
            <v>-369995</v>
          </cell>
          <cell r="AZ170">
            <v>-83249</v>
          </cell>
          <cell r="BA170">
            <v>-9248</v>
          </cell>
          <cell r="BB170">
            <v>-924988.19</v>
          </cell>
          <cell r="BC170">
            <v>13790504</v>
          </cell>
          <cell r="BD170">
            <v>-1199748</v>
          </cell>
          <cell r="BE170">
            <v>335739</v>
          </cell>
          <cell r="BF170">
            <v>0</v>
          </cell>
          <cell r="BG170">
            <v>-1233288</v>
          </cell>
          <cell r="BH170">
            <v>-35475</v>
          </cell>
          <cell r="BI170">
            <v>-32465</v>
          </cell>
          <cell r="BJ170">
            <v>0</v>
          </cell>
          <cell r="BK170">
            <v>-264032</v>
          </cell>
          <cell r="BL170">
            <v>-40198</v>
          </cell>
          <cell r="BM170">
            <v>-28409</v>
          </cell>
          <cell r="BN170">
            <v>0</v>
          </cell>
          <cell r="BO170">
            <v>-22644</v>
          </cell>
          <cell r="BP170">
            <v>0</v>
          </cell>
          <cell r="BQ170">
            <v>0</v>
          </cell>
          <cell r="BR170">
            <v>0</v>
          </cell>
          <cell r="BS170">
            <v>0</v>
          </cell>
          <cell r="BT170">
            <v>14115350</v>
          </cell>
          <cell r="BU170">
            <v>-122815</v>
          </cell>
          <cell r="BV170">
            <v>520407</v>
          </cell>
          <cell r="BW170">
            <v>-233240</v>
          </cell>
          <cell r="BX170">
            <v>-31484.599999999627</v>
          </cell>
          <cell r="BY170">
            <v>308924</v>
          </cell>
          <cell r="BZ170">
            <v>13398543</v>
          </cell>
          <cell r="CA170">
            <v>-15744.599999999627</v>
          </cell>
          <cell r="CB170">
            <v>-12593</v>
          </cell>
          <cell r="CC170">
            <v>-2833</v>
          </cell>
          <cell r="CD170">
            <v>-314</v>
          </cell>
          <cell r="CE170">
            <v>154462</v>
          </cell>
          <cell r="CF170">
            <v>123570</v>
          </cell>
          <cell r="CG170">
            <v>27803</v>
          </cell>
          <cell r="CH170">
            <v>3089</v>
          </cell>
        </row>
        <row r="171">
          <cell r="A171">
            <v>164</v>
          </cell>
          <cell r="B171" t="str">
            <v>Mendip</v>
          </cell>
          <cell r="C171" t="str">
            <v>E3331</v>
          </cell>
          <cell r="D171">
            <v>165853</v>
          </cell>
          <cell r="H171">
            <v>105905</v>
          </cell>
          <cell r="I171">
            <v>0</v>
          </cell>
          <cell r="J171">
            <v>165853</v>
          </cell>
          <cell r="K171">
            <v>0</v>
          </cell>
          <cell r="L171">
            <v>135318</v>
          </cell>
          <cell r="M171">
            <v>0</v>
          </cell>
          <cell r="N171">
            <v>0</v>
          </cell>
          <cell r="O171">
            <v>0</v>
          </cell>
          <cell r="P171">
            <v>0</v>
          </cell>
          <cell r="Q171">
            <v>0</v>
          </cell>
          <cell r="R171">
            <v>862578</v>
          </cell>
          <cell r="S171">
            <v>194080</v>
          </cell>
          <cell r="T171">
            <v>21564</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M171">
            <v>0</v>
          </cell>
          <cell r="AN171">
            <v>0</v>
          </cell>
          <cell r="AO171">
            <v>0</v>
          </cell>
          <cell r="AP171">
            <v>203668</v>
          </cell>
          <cell r="AQ171">
            <v>45368</v>
          </cell>
          <cell r="AR171">
            <v>5041</v>
          </cell>
          <cell r="AS171">
            <v>-204087</v>
          </cell>
          <cell r="AT171">
            <v>-163272</v>
          </cell>
          <cell r="AU171">
            <v>-36735</v>
          </cell>
          <cell r="AV171">
            <v>-4082</v>
          </cell>
          <cell r="AW171">
            <v>-408176</v>
          </cell>
          <cell r="AX171">
            <v>-1947007</v>
          </cell>
          <cell r="AY171">
            <v>-1557611</v>
          </cell>
          <cell r="AZ171">
            <v>-350464</v>
          </cell>
          <cell r="BA171">
            <v>-38942</v>
          </cell>
          <cell r="BB171">
            <v>-3894024</v>
          </cell>
          <cell r="BC171">
            <v>31463480</v>
          </cell>
          <cell r="BD171">
            <v>-3373961</v>
          </cell>
          <cell r="BE171">
            <v>894762</v>
          </cell>
          <cell r="BF171">
            <v>0</v>
          </cell>
          <cell r="BG171">
            <v>-3071854</v>
          </cell>
          <cell r="BH171">
            <v>-41271</v>
          </cell>
          <cell r="BI171">
            <v>-33371</v>
          </cell>
          <cell r="BJ171">
            <v>-1658</v>
          </cell>
          <cell r="BK171">
            <v>-903342</v>
          </cell>
          <cell r="BL171">
            <v>-43311</v>
          </cell>
          <cell r="BM171">
            <v>-44673</v>
          </cell>
          <cell r="BN171">
            <v>-4699</v>
          </cell>
          <cell r="BO171">
            <v>-21938</v>
          </cell>
          <cell r="BP171">
            <v>-23347</v>
          </cell>
          <cell r="BQ171">
            <v>0</v>
          </cell>
          <cell r="BR171">
            <v>0</v>
          </cell>
          <cell r="BS171">
            <v>0</v>
          </cell>
          <cell r="BT171">
            <v>33497740</v>
          </cell>
          <cell r="BU171">
            <v>-193011</v>
          </cell>
          <cell r="BV171">
            <v>703118</v>
          </cell>
          <cell r="BW171">
            <v>-2381086</v>
          </cell>
          <cell r="BX171">
            <v>-448690</v>
          </cell>
          <cell r="BY171">
            <v>1551675</v>
          </cell>
          <cell r="BZ171">
            <v>33557917</v>
          </cell>
          <cell r="CA171">
            <v>-224345</v>
          </cell>
          <cell r="CB171">
            <v>-179476</v>
          </cell>
          <cell r="CC171">
            <v>-40382</v>
          </cell>
          <cell r="CD171">
            <v>-4487</v>
          </cell>
          <cell r="CE171">
            <v>775837</v>
          </cell>
          <cell r="CF171">
            <v>620670</v>
          </cell>
          <cell r="CG171">
            <v>139651</v>
          </cell>
          <cell r="CH171">
            <v>15517</v>
          </cell>
        </row>
        <row r="172">
          <cell r="A172">
            <v>165</v>
          </cell>
          <cell r="B172" t="str">
            <v>Merton</v>
          </cell>
          <cell r="C172" t="str">
            <v>E5044</v>
          </cell>
          <cell r="D172">
            <v>264360</v>
          </cell>
          <cell r="H172">
            <v>-1664618</v>
          </cell>
          <cell r="I172">
            <v>0</v>
          </cell>
          <cell r="J172">
            <v>264360</v>
          </cell>
          <cell r="K172">
            <v>0</v>
          </cell>
          <cell r="L172">
            <v>0</v>
          </cell>
          <cell r="M172">
            <v>0</v>
          </cell>
          <cell r="N172">
            <v>0</v>
          </cell>
          <cell r="O172">
            <v>0</v>
          </cell>
          <cell r="P172">
            <v>0</v>
          </cell>
          <cell r="Q172">
            <v>0</v>
          </cell>
          <cell r="R172">
            <v>636600</v>
          </cell>
          <cell r="S172">
            <v>785139</v>
          </cell>
          <cell r="T172">
            <v>0</v>
          </cell>
          <cell r="U172">
            <v>0</v>
          </cell>
          <cell r="V172">
            <v>0</v>
          </cell>
          <cell r="W172">
            <v>0</v>
          </cell>
          <cell r="X172">
            <v>347</v>
          </cell>
          <cell r="Y172">
            <v>428</v>
          </cell>
          <cell r="Z172">
            <v>0</v>
          </cell>
          <cell r="AA172">
            <v>1088</v>
          </cell>
          <cell r="AB172">
            <v>1342</v>
          </cell>
          <cell r="AC172">
            <v>0</v>
          </cell>
          <cell r="AD172">
            <v>0</v>
          </cell>
          <cell r="AE172">
            <v>0</v>
          </cell>
          <cell r="AF172">
            <v>0</v>
          </cell>
          <cell r="AG172">
            <v>0</v>
          </cell>
          <cell r="AH172">
            <v>0</v>
          </cell>
          <cell r="AI172">
            <v>0</v>
          </cell>
          <cell r="AM172">
            <v>0</v>
          </cell>
          <cell r="AN172">
            <v>0</v>
          </cell>
          <cell r="AO172">
            <v>0</v>
          </cell>
          <cell r="AP172">
            <v>396577</v>
          </cell>
          <cell r="AQ172">
            <v>489111</v>
          </cell>
          <cell r="AR172">
            <v>0</v>
          </cell>
          <cell r="AS172">
            <v>-1205070</v>
          </cell>
          <cell r="AT172">
            <v>-723041</v>
          </cell>
          <cell r="AU172">
            <v>-482028</v>
          </cell>
          <cell r="AV172">
            <v>0</v>
          </cell>
          <cell r="AW172">
            <v>-2410139</v>
          </cell>
          <cell r="AX172">
            <v>-3500000</v>
          </cell>
          <cell r="AY172">
            <v>-2100000</v>
          </cell>
          <cell r="AZ172">
            <v>-1400000</v>
          </cell>
          <cell r="BA172">
            <v>0</v>
          </cell>
          <cell r="BB172">
            <v>-7000000</v>
          </cell>
          <cell r="BC172">
            <v>85690295</v>
          </cell>
          <cell r="BD172">
            <v>-2853593</v>
          </cell>
          <cell r="BE172">
            <v>2234816</v>
          </cell>
          <cell r="BF172">
            <v>0</v>
          </cell>
          <cell r="BG172">
            <v>-5197144</v>
          </cell>
          <cell r="BH172">
            <v>-130671</v>
          </cell>
          <cell r="BI172">
            <v>0</v>
          </cell>
          <cell r="BJ172">
            <v>-22513</v>
          </cell>
          <cell r="BK172">
            <v>-1376496</v>
          </cell>
          <cell r="BL172">
            <v>-403154</v>
          </cell>
          <cell r="BM172">
            <v>-103639</v>
          </cell>
          <cell r="BN172">
            <v>-5015</v>
          </cell>
          <cell r="BO172">
            <v>0</v>
          </cell>
          <cell r="BP172">
            <v>0</v>
          </cell>
          <cell r="BQ172">
            <v>-18000</v>
          </cell>
          <cell r="BR172">
            <v>0</v>
          </cell>
          <cell r="BS172">
            <v>0</v>
          </cell>
          <cell r="BT172">
            <v>86431051</v>
          </cell>
          <cell r="BU172">
            <v>-556239</v>
          </cell>
          <cell r="BV172">
            <v>3483846</v>
          </cell>
          <cell r="BW172">
            <v>-2865079</v>
          </cell>
          <cell r="BX172">
            <v>-897837</v>
          </cell>
          <cell r="BY172">
            <v>1268292</v>
          </cell>
          <cell r="BZ172">
            <v>88002277</v>
          </cell>
          <cell r="CA172">
            <v>-448919</v>
          </cell>
          <cell r="CB172">
            <v>-269350</v>
          </cell>
          <cell r="CC172">
            <v>-179568</v>
          </cell>
          <cell r="CD172">
            <v>0</v>
          </cell>
          <cell r="CE172">
            <v>634146</v>
          </cell>
          <cell r="CF172">
            <v>380488</v>
          </cell>
          <cell r="CG172">
            <v>253658</v>
          </cell>
          <cell r="CH172">
            <v>0</v>
          </cell>
        </row>
        <row r="173">
          <cell r="A173">
            <v>166</v>
          </cell>
          <cell r="B173" t="str">
            <v>Mid Devon</v>
          </cell>
          <cell r="C173" t="str">
            <v>E1133</v>
          </cell>
          <cell r="D173">
            <v>107103</v>
          </cell>
          <cell r="H173">
            <v>18145</v>
          </cell>
          <cell r="I173">
            <v>0</v>
          </cell>
          <cell r="J173">
            <v>107103</v>
          </cell>
          <cell r="K173">
            <v>0</v>
          </cell>
          <cell r="L173">
            <v>125331</v>
          </cell>
          <cell r="M173">
            <v>0</v>
          </cell>
          <cell r="N173">
            <v>0</v>
          </cell>
          <cell r="O173">
            <v>0</v>
          </cell>
          <cell r="P173">
            <v>0</v>
          </cell>
          <cell r="Q173">
            <v>0</v>
          </cell>
          <cell r="R173">
            <v>588560</v>
          </cell>
          <cell r="S173">
            <v>132426</v>
          </cell>
          <cell r="T173">
            <v>14714</v>
          </cell>
          <cell r="U173">
            <v>2030</v>
          </cell>
          <cell r="V173">
            <v>457</v>
          </cell>
          <cell r="W173">
            <v>51</v>
          </cell>
          <cell r="X173">
            <v>2030</v>
          </cell>
          <cell r="Y173">
            <v>457</v>
          </cell>
          <cell r="Z173">
            <v>51</v>
          </cell>
          <cell r="AA173">
            <v>0</v>
          </cell>
          <cell r="AB173">
            <v>0</v>
          </cell>
          <cell r="AC173">
            <v>0</v>
          </cell>
          <cell r="AD173">
            <v>0</v>
          </cell>
          <cell r="AE173">
            <v>0</v>
          </cell>
          <cell r="AF173">
            <v>0</v>
          </cell>
          <cell r="AG173">
            <v>0</v>
          </cell>
          <cell r="AH173">
            <v>0</v>
          </cell>
          <cell r="AI173">
            <v>0</v>
          </cell>
          <cell r="AM173">
            <v>0</v>
          </cell>
          <cell r="AN173">
            <v>0</v>
          </cell>
          <cell r="AO173">
            <v>0</v>
          </cell>
          <cell r="AP173">
            <v>90924</v>
          </cell>
          <cell r="AQ173">
            <v>20034</v>
          </cell>
          <cell r="AR173">
            <v>2226</v>
          </cell>
          <cell r="AS173">
            <v>-79387</v>
          </cell>
          <cell r="AT173">
            <v>-63509</v>
          </cell>
          <cell r="AU173">
            <v>-14291</v>
          </cell>
          <cell r="AV173">
            <v>-1588</v>
          </cell>
          <cell r="AW173">
            <v>-158775</v>
          </cell>
          <cell r="AX173">
            <v>-204735</v>
          </cell>
          <cell r="AY173">
            <v>-163789</v>
          </cell>
          <cell r="AZ173">
            <v>-36852</v>
          </cell>
          <cell r="BA173">
            <v>-4095</v>
          </cell>
          <cell r="BB173">
            <v>-409471</v>
          </cell>
          <cell r="BC173">
            <v>15421114</v>
          </cell>
          <cell r="BD173">
            <v>-2250456</v>
          </cell>
          <cell r="BE173">
            <v>361706</v>
          </cell>
          <cell r="BF173">
            <v>0</v>
          </cell>
          <cell r="BG173">
            <v>-1319439</v>
          </cell>
          <cell r="BH173">
            <v>-34571</v>
          </cell>
          <cell r="BI173">
            <v>-26093</v>
          </cell>
          <cell r="BJ173">
            <v>-11964</v>
          </cell>
          <cell r="BK173">
            <v>-424522</v>
          </cell>
          <cell r="BL173">
            <v>-59875</v>
          </cell>
          <cell r="BM173">
            <v>-4498</v>
          </cell>
          <cell r="BN173">
            <v>-3312</v>
          </cell>
          <cell r="BO173">
            <v>-2241</v>
          </cell>
          <cell r="BP173">
            <v>0</v>
          </cell>
          <cell r="BQ173">
            <v>0</v>
          </cell>
          <cell r="BR173">
            <v>0</v>
          </cell>
          <cell r="BS173">
            <v>0</v>
          </cell>
          <cell r="BT173">
            <v>14260439</v>
          </cell>
          <cell r="BU173">
            <v>0</v>
          </cell>
          <cell r="BV173">
            <v>377028</v>
          </cell>
          <cell r="BW173">
            <v>-1043367</v>
          </cell>
          <cell r="BX173">
            <v>-356391</v>
          </cell>
          <cell r="BY173">
            <v>-295660</v>
          </cell>
          <cell r="BZ173">
            <v>14818978</v>
          </cell>
          <cell r="CA173">
            <v>-178195</v>
          </cell>
          <cell r="CB173">
            <v>-142556</v>
          </cell>
          <cell r="CC173">
            <v>-32076</v>
          </cell>
          <cell r="CD173">
            <v>-3564</v>
          </cell>
          <cell r="CE173">
            <v>-147830</v>
          </cell>
          <cell r="CF173">
            <v>-118264</v>
          </cell>
          <cell r="CG173">
            <v>-26609</v>
          </cell>
          <cell r="CH173">
            <v>-2957</v>
          </cell>
        </row>
        <row r="174">
          <cell r="A174">
            <v>167</v>
          </cell>
          <cell r="B174" t="str">
            <v>Mid Suffolk</v>
          </cell>
          <cell r="C174" t="str">
            <v>E3534</v>
          </cell>
          <cell r="D174">
            <v>127118</v>
          </cell>
          <cell r="H174">
            <v>466977</v>
          </cell>
          <cell r="I174">
            <v>0</v>
          </cell>
          <cell r="J174">
            <v>127118</v>
          </cell>
          <cell r="K174">
            <v>0</v>
          </cell>
          <cell r="L174">
            <v>136544</v>
          </cell>
          <cell r="M174">
            <v>160256</v>
          </cell>
          <cell r="N174">
            <v>0</v>
          </cell>
          <cell r="O174">
            <v>0</v>
          </cell>
          <cell r="P174">
            <v>0</v>
          </cell>
          <cell r="Q174">
            <v>0</v>
          </cell>
          <cell r="R174">
            <v>536294</v>
          </cell>
          <cell r="S174">
            <v>134074</v>
          </cell>
          <cell r="T174">
            <v>0</v>
          </cell>
          <cell r="U174">
            <v>7369</v>
          </cell>
          <cell r="V174">
            <v>1842</v>
          </cell>
          <cell r="W174">
            <v>0</v>
          </cell>
          <cell r="X174">
            <v>0</v>
          </cell>
          <cell r="Y174">
            <v>0</v>
          </cell>
          <cell r="Z174">
            <v>0</v>
          </cell>
          <cell r="AA174">
            <v>2602</v>
          </cell>
          <cell r="AB174">
            <v>650</v>
          </cell>
          <cell r="AC174">
            <v>0</v>
          </cell>
          <cell r="AD174">
            <v>0</v>
          </cell>
          <cell r="AE174">
            <v>0</v>
          </cell>
          <cell r="AF174">
            <v>0</v>
          </cell>
          <cell r="AG174">
            <v>0</v>
          </cell>
          <cell r="AH174">
            <v>0</v>
          </cell>
          <cell r="AI174">
            <v>0</v>
          </cell>
          <cell r="AM174">
            <v>0</v>
          </cell>
          <cell r="AN174">
            <v>0</v>
          </cell>
          <cell r="AO174">
            <v>0</v>
          </cell>
          <cell r="AP174">
            <v>140127</v>
          </cell>
          <cell r="AQ174">
            <v>36926</v>
          </cell>
          <cell r="AR174">
            <v>0</v>
          </cell>
          <cell r="AS174">
            <v>-67501</v>
          </cell>
          <cell r="AT174">
            <v>-53999</v>
          </cell>
          <cell r="AU174">
            <v>-13500</v>
          </cell>
          <cell r="AV174">
            <v>0</v>
          </cell>
          <cell r="AW174">
            <v>-135000</v>
          </cell>
          <cell r="AX174">
            <v>-880851</v>
          </cell>
          <cell r="AY174">
            <v>-704681</v>
          </cell>
          <cell r="AZ174">
            <v>-176171</v>
          </cell>
          <cell r="BA174">
            <v>0</v>
          </cell>
          <cell r="BB174">
            <v>-1761703</v>
          </cell>
          <cell r="BC174">
            <v>22390300</v>
          </cell>
          <cell r="BD174">
            <v>-2167019</v>
          </cell>
          <cell r="BE174">
            <v>580149</v>
          </cell>
          <cell r="BF174">
            <v>0</v>
          </cell>
          <cell r="BG174">
            <v>-1095330</v>
          </cell>
          <cell r="BH174">
            <v>-39603</v>
          </cell>
          <cell r="BI174">
            <v>-78031</v>
          </cell>
          <cell r="BJ174">
            <v>-85025</v>
          </cell>
          <cell r="BK174">
            <v>-581342</v>
          </cell>
          <cell r="BL174">
            <v>-173084</v>
          </cell>
          <cell r="BM174">
            <v>-94099</v>
          </cell>
          <cell r="BN174">
            <v>-7311</v>
          </cell>
          <cell r="BO174">
            <v>-78030</v>
          </cell>
          <cell r="BP174">
            <v>-66526</v>
          </cell>
          <cell r="BQ174">
            <v>0</v>
          </cell>
          <cell r="BR174">
            <v>0</v>
          </cell>
          <cell r="BS174">
            <v>0</v>
          </cell>
          <cell r="BT174">
            <v>22567796</v>
          </cell>
          <cell r="BU174">
            <v>-100625</v>
          </cell>
          <cell r="BV174">
            <v>519981</v>
          </cell>
          <cell r="BW174">
            <v>-414847</v>
          </cell>
          <cell r="BX174">
            <v>-227223</v>
          </cell>
          <cell r="BY174">
            <v>-342730</v>
          </cell>
          <cell r="BZ174">
            <v>22979750</v>
          </cell>
          <cell r="CA174">
            <v>-113612</v>
          </cell>
          <cell r="CB174">
            <v>-90889</v>
          </cell>
          <cell r="CC174">
            <v>-22722</v>
          </cell>
          <cell r="CD174">
            <v>0</v>
          </cell>
          <cell r="CE174">
            <v>-171365</v>
          </cell>
          <cell r="CF174">
            <v>-137092</v>
          </cell>
          <cell r="CG174">
            <v>-34273</v>
          </cell>
          <cell r="CH174">
            <v>0</v>
          </cell>
        </row>
        <row r="175">
          <cell r="A175">
            <v>168</v>
          </cell>
          <cell r="B175" t="str">
            <v>Mid Sussex</v>
          </cell>
          <cell r="C175" t="str">
            <v>E3836</v>
          </cell>
          <cell r="D175">
            <v>172939</v>
          </cell>
          <cell r="H175">
            <v>578813</v>
          </cell>
          <cell r="I175">
            <v>0</v>
          </cell>
          <cell r="J175">
            <v>172939</v>
          </cell>
          <cell r="K175">
            <v>0</v>
          </cell>
          <cell r="L175">
            <v>0</v>
          </cell>
          <cell r="M175">
            <v>0</v>
          </cell>
          <cell r="N175">
            <v>0</v>
          </cell>
          <cell r="O175">
            <v>0</v>
          </cell>
          <cell r="P175">
            <v>0</v>
          </cell>
          <cell r="Q175">
            <v>0</v>
          </cell>
          <cell r="R175">
            <v>719859</v>
          </cell>
          <cell r="S175">
            <v>179965</v>
          </cell>
          <cell r="T175">
            <v>0</v>
          </cell>
          <cell r="U175">
            <v>0</v>
          </cell>
          <cell r="V175">
            <v>0</v>
          </cell>
          <cell r="W175">
            <v>0</v>
          </cell>
          <cell r="X175">
            <v>15072</v>
          </cell>
          <cell r="Y175">
            <v>3768</v>
          </cell>
          <cell r="Z175">
            <v>0</v>
          </cell>
          <cell r="AA175">
            <v>4831</v>
          </cell>
          <cell r="AB175">
            <v>1208</v>
          </cell>
          <cell r="AC175">
            <v>0</v>
          </cell>
          <cell r="AD175">
            <v>0</v>
          </cell>
          <cell r="AE175">
            <v>0</v>
          </cell>
          <cell r="AF175">
            <v>0</v>
          </cell>
          <cell r="AG175">
            <v>0</v>
          </cell>
          <cell r="AH175">
            <v>0</v>
          </cell>
          <cell r="AI175">
            <v>0</v>
          </cell>
          <cell r="AM175">
            <v>0</v>
          </cell>
          <cell r="AN175">
            <v>0</v>
          </cell>
          <cell r="AO175">
            <v>0</v>
          </cell>
          <cell r="AP175">
            <v>266525</v>
          </cell>
          <cell r="AQ175">
            <v>66631</v>
          </cell>
          <cell r="AR175">
            <v>0</v>
          </cell>
          <cell r="AS175">
            <v>-667898</v>
          </cell>
          <cell r="AT175">
            <v>-534318</v>
          </cell>
          <cell r="AU175">
            <v>-133579</v>
          </cell>
          <cell r="AV175">
            <v>0</v>
          </cell>
          <cell r="AW175">
            <v>-1335795</v>
          </cell>
          <cell r="AX175">
            <v>-3255560</v>
          </cell>
          <cell r="AY175">
            <v>-2604449</v>
          </cell>
          <cell r="AZ175">
            <v>-651113</v>
          </cell>
          <cell r="BA175">
            <v>0</v>
          </cell>
          <cell r="BB175">
            <v>-6511122</v>
          </cell>
          <cell r="BC175">
            <v>41792981</v>
          </cell>
          <cell r="BD175">
            <v>-2691545</v>
          </cell>
          <cell r="BE175">
            <v>1173524</v>
          </cell>
          <cell r="BF175">
            <v>0</v>
          </cell>
          <cell r="BG175">
            <v>-3750003</v>
          </cell>
          <cell r="BH175">
            <v>-55644</v>
          </cell>
          <cell r="BI175">
            <v>-5194</v>
          </cell>
          <cell r="BJ175">
            <v>-8961</v>
          </cell>
          <cell r="BK175">
            <v>-990185</v>
          </cell>
          <cell r="BL175">
            <v>-65827</v>
          </cell>
          <cell r="BM175">
            <v>-717232</v>
          </cell>
          <cell r="BN175">
            <v>-4393</v>
          </cell>
          <cell r="BO175">
            <v>-5194</v>
          </cell>
          <cell r="BP175">
            <v>0</v>
          </cell>
          <cell r="BQ175">
            <v>0</v>
          </cell>
          <cell r="BR175">
            <v>0</v>
          </cell>
          <cell r="BS175">
            <v>0</v>
          </cell>
          <cell r="BT175">
            <v>43996168</v>
          </cell>
          <cell r="BU175">
            <v>-614085</v>
          </cell>
          <cell r="BV175">
            <v>2200894</v>
          </cell>
          <cell r="BW175">
            <v>-1670512</v>
          </cell>
          <cell r="BX175">
            <v>-3642873</v>
          </cell>
          <cell r="BY175">
            <v>-3802285</v>
          </cell>
          <cell r="BZ175">
            <v>44357380</v>
          </cell>
          <cell r="CA175">
            <v>-1821436</v>
          </cell>
          <cell r="CB175">
            <v>-1457150</v>
          </cell>
          <cell r="CC175">
            <v>-364287</v>
          </cell>
          <cell r="CD175">
            <v>0</v>
          </cell>
          <cell r="CE175">
            <v>-1901142</v>
          </cell>
          <cell r="CF175">
            <v>-1520914</v>
          </cell>
          <cell r="CG175">
            <v>-380229</v>
          </cell>
          <cell r="CH175">
            <v>0</v>
          </cell>
        </row>
        <row r="176">
          <cell r="A176">
            <v>169</v>
          </cell>
          <cell r="B176" t="str">
            <v>Middlesbrough</v>
          </cell>
          <cell r="C176" t="str">
            <v>E0702</v>
          </cell>
          <cell r="D176">
            <v>172412</v>
          </cell>
          <cell r="H176">
            <v>-5023849</v>
          </cell>
          <cell r="I176">
            <v>-591685</v>
          </cell>
          <cell r="J176">
            <v>172412</v>
          </cell>
          <cell r="K176">
            <v>0</v>
          </cell>
          <cell r="L176">
            <v>0</v>
          </cell>
          <cell r="M176">
            <v>0</v>
          </cell>
          <cell r="N176">
            <v>0</v>
          </cell>
          <cell r="O176">
            <v>0</v>
          </cell>
          <cell r="P176">
            <v>0</v>
          </cell>
          <cell r="Q176">
            <v>0</v>
          </cell>
          <cell r="R176">
            <v>695871</v>
          </cell>
          <cell r="S176">
            <v>0</v>
          </cell>
          <cell r="T176">
            <v>12687</v>
          </cell>
          <cell r="U176">
            <v>0</v>
          </cell>
          <cell r="V176">
            <v>0</v>
          </cell>
          <cell r="W176">
            <v>0</v>
          </cell>
          <cell r="X176">
            <v>0</v>
          </cell>
          <cell r="Y176">
            <v>0</v>
          </cell>
          <cell r="Z176">
            <v>0</v>
          </cell>
          <cell r="AA176">
            <v>18922</v>
          </cell>
          <cell r="AB176">
            <v>0</v>
          </cell>
          <cell r="AC176">
            <v>64</v>
          </cell>
          <cell r="AD176">
            <v>0</v>
          </cell>
          <cell r="AE176">
            <v>0</v>
          </cell>
          <cell r="AF176">
            <v>0</v>
          </cell>
          <cell r="AG176">
            <v>0</v>
          </cell>
          <cell r="AH176">
            <v>0</v>
          </cell>
          <cell r="AI176">
            <v>0</v>
          </cell>
          <cell r="AM176">
            <v>0</v>
          </cell>
          <cell r="AN176">
            <v>0</v>
          </cell>
          <cell r="AO176">
            <v>0</v>
          </cell>
          <cell r="AP176">
            <v>253119</v>
          </cell>
          <cell r="AQ176">
            <v>0</v>
          </cell>
          <cell r="AR176">
            <v>5166</v>
          </cell>
          <cell r="AS176">
            <v>-2835789</v>
          </cell>
          <cell r="AT176">
            <v>-2779075</v>
          </cell>
          <cell r="AU176">
            <v>0</v>
          </cell>
          <cell r="AV176">
            <v>-56717</v>
          </cell>
          <cell r="AW176">
            <v>-5671581</v>
          </cell>
          <cell r="AX176">
            <v>-750000</v>
          </cell>
          <cell r="AY176">
            <v>-735000</v>
          </cell>
          <cell r="AZ176">
            <v>0</v>
          </cell>
          <cell r="BA176">
            <v>-15000</v>
          </cell>
          <cell r="BB176">
            <v>-1500000</v>
          </cell>
          <cell r="BC176">
            <v>39596270</v>
          </cell>
          <cell r="BD176">
            <v>-2306619</v>
          </cell>
          <cell r="BE176">
            <v>1236299</v>
          </cell>
          <cell r="BF176">
            <v>0</v>
          </cell>
          <cell r="BG176">
            <v>-5905288</v>
          </cell>
          <cell r="BH176">
            <v>-24921</v>
          </cell>
          <cell r="BI176">
            <v>0</v>
          </cell>
          <cell r="BJ176">
            <v>-88824</v>
          </cell>
          <cell r="BK176">
            <v>-2064752</v>
          </cell>
          <cell r="BL176">
            <v>-8946</v>
          </cell>
          <cell r="BM176">
            <v>-45010</v>
          </cell>
          <cell r="BN176">
            <v>0</v>
          </cell>
          <cell r="BO176">
            <v>0</v>
          </cell>
          <cell r="BP176">
            <v>0</v>
          </cell>
          <cell r="BQ176">
            <v>0</v>
          </cell>
          <cell r="BR176">
            <v>0</v>
          </cell>
          <cell r="BS176">
            <v>0</v>
          </cell>
          <cell r="BT176">
            <v>42476413</v>
          </cell>
          <cell r="BU176">
            <v>-2027323</v>
          </cell>
          <cell r="BV176">
            <v>7610339</v>
          </cell>
          <cell r="BW176">
            <v>-2458663</v>
          </cell>
          <cell r="BX176">
            <v>-1712826</v>
          </cell>
          <cell r="BY176">
            <v>-1609410</v>
          </cell>
          <cell r="BZ176">
            <v>34388786</v>
          </cell>
          <cell r="CA176">
            <v>-856414</v>
          </cell>
          <cell r="CB176">
            <v>-839284</v>
          </cell>
          <cell r="CC176">
            <v>0</v>
          </cell>
          <cell r="CD176">
            <v>-17128</v>
          </cell>
          <cell r="CE176">
            <v>-804705</v>
          </cell>
          <cell r="CF176">
            <v>-788611</v>
          </cell>
          <cell r="CG176">
            <v>0</v>
          </cell>
          <cell r="CH176">
            <v>-16094</v>
          </cell>
        </row>
        <row r="177">
          <cell r="A177">
            <v>170</v>
          </cell>
          <cell r="B177" t="str">
            <v>Milton Keynes</v>
          </cell>
          <cell r="C177" t="str">
            <v>E0401</v>
          </cell>
          <cell r="D177">
            <v>389838</v>
          </cell>
          <cell r="H177">
            <v>-911000</v>
          </cell>
          <cell r="I177">
            <v>0</v>
          </cell>
          <cell r="J177">
            <v>389838</v>
          </cell>
          <cell r="K177">
            <v>0</v>
          </cell>
          <cell r="L177">
            <v>158400</v>
          </cell>
          <cell r="M177">
            <v>0</v>
          </cell>
          <cell r="N177">
            <v>0</v>
          </cell>
          <cell r="O177">
            <v>0</v>
          </cell>
          <cell r="P177">
            <v>0</v>
          </cell>
          <cell r="Q177">
            <v>0</v>
          </cell>
          <cell r="R177">
            <v>1027211</v>
          </cell>
          <cell r="S177">
            <v>0</v>
          </cell>
          <cell r="T177">
            <v>20963</v>
          </cell>
          <cell r="U177">
            <v>0</v>
          </cell>
          <cell r="V177">
            <v>0</v>
          </cell>
          <cell r="W177">
            <v>0</v>
          </cell>
          <cell r="X177">
            <v>0</v>
          </cell>
          <cell r="Y177">
            <v>0</v>
          </cell>
          <cell r="Z177">
            <v>0</v>
          </cell>
          <cell r="AA177">
            <v>15593</v>
          </cell>
          <cell r="AB177">
            <v>0</v>
          </cell>
          <cell r="AC177">
            <v>318</v>
          </cell>
          <cell r="AD177">
            <v>0</v>
          </cell>
          <cell r="AE177">
            <v>0</v>
          </cell>
          <cell r="AF177">
            <v>0</v>
          </cell>
          <cell r="AG177">
            <v>0</v>
          </cell>
          <cell r="AH177">
            <v>0</v>
          </cell>
          <cell r="AI177">
            <v>0</v>
          </cell>
          <cell r="AM177">
            <v>0</v>
          </cell>
          <cell r="AN177">
            <v>0</v>
          </cell>
          <cell r="AO177">
            <v>0</v>
          </cell>
          <cell r="AP177">
            <v>1154645</v>
          </cell>
          <cell r="AQ177">
            <v>0</v>
          </cell>
          <cell r="AR177">
            <v>23516</v>
          </cell>
          <cell r="AS177">
            <v>-850000</v>
          </cell>
          <cell r="AT177">
            <v>-833000</v>
          </cell>
          <cell r="AU177">
            <v>0</v>
          </cell>
          <cell r="AV177">
            <v>-17000</v>
          </cell>
          <cell r="AW177">
            <v>-1700000</v>
          </cell>
          <cell r="AX177">
            <v>-18532237</v>
          </cell>
          <cell r="AY177">
            <v>-18161592</v>
          </cell>
          <cell r="AZ177">
            <v>0</v>
          </cell>
          <cell r="BA177">
            <v>-370644</v>
          </cell>
          <cell r="BB177">
            <v>-37064473</v>
          </cell>
          <cell r="BC177">
            <v>159722301</v>
          </cell>
          <cell r="BD177">
            <v>-3900330</v>
          </cell>
          <cell r="BE177">
            <v>4523344</v>
          </cell>
          <cell r="BF177">
            <v>0</v>
          </cell>
          <cell r="BG177">
            <v>-8849998</v>
          </cell>
          <cell r="BH177">
            <v>-55912</v>
          </cell>
          <cell r="BI177">
            <v>-13287</v>
          </cell>
          <cell r="BJ177">
            <v>-639</v>
          </cell>
          <cell r="BK177">
            <v>-6031822</v>
          </cell>
          <cell r="BL177">
            <v>-499045</v>
          </cell>
          <cell r="BM177">
            <v>0</v>
          </cell>
          <cell r="BN177">
            <v>-11183</v>
          </cell>
          <cell r="BO177">
            <v>0</v>
          </cell>
          <cell r="BP177">
            <v>0</v>
          </cell>
          <cell r="BQ177">
            <v>-38145</v>
          </cell>
          <cell r="BR177">
            <v>0</v>
          </cell>
          <cell r="BS177">
            <v>0</v>
          </cell>
          <cell r="BT177">
            <v>162417726</v>
          </cell>
          <cell r="BU177">
            <v>-692010</v>
          </cell>
          <cell r="BV177">
            <v>3803113</v>
          </cell>
          <cell r="BW177">
            <v>-3555232</v>
          </cell>
          <cell r="BX177">
            <v>-2038710</v>
          </cell>
          <cell r="BY177">
            <v>-2758629</v>
          </cell>
          <cell r="BZ177">
            <v>156546839</v>
          </cell>
          <cell r="CA177">
            <v>-1019355</v>
          </cell>
          <cell r="CB177">
            <v>-998968</v>
          </cell>
          <cell r="CC177">
            <v>0</v>
          </cell>
          <cell r="CD177">
            <v>-20387</v>
          </cell>
          <cell r="CE177">
            <v>-1379315</v>
          </cell>
          <cell r="CF177">
            <v>-1351728</v>
          </cell>
          <cell r="CG177">
            <v>0</v>
          </cell>
          <cell r="CH177">
            <v>-27586</v>
          </cell>
        </row>
        <row r="178">
          <cell r="A178">
            <v>171</v>
          </cell>
          <cell r="B178" t="str">
            <v>Mole Valley</v>
          </cell>
          <cell r="C178" t="str">
            <v>E3634</v>
          </cell>
          <cell r="D178">
            <v>154884</v>
          </cell>
          <cell r="H178">
            <v>2715069</v>
          </cell>
          <cell r="I178">
            <v>0</v>
          </cell>
          <cell r="J178">
            <v>154884</v>
          </cell>
          <cell r="K178">
            <v>0</v>
          </cell>
          <cell r="L178">
            <v>0</v>
          </cell>
          <cell r="M178">
            <v>0</v>
          </cell>
          <cell r="N178">
            <v>0</v>
          </cell>
          <cell r="O178">
            <v>0</v>
          </cell>
          <cell r="P178">
            <v>0</v>
          </cell>
          <cell r="Q178">
            <v>0</v>
          </cell>
          <cell r="R178">
            <v>539127</v>
          </cell>
          <cell r="S178">
            <v>134782</v>
          </cell>
          <cell r="T178">
            <v>0</v>
          </cell>
          <cell r="U178">
            <v>9478</v>
          </cell>
          <cell r="V178">
            <v>2369</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M178">
            <v>0</v>
          </cell>
          <cell r="AN178">
            <v>0</v>
          </cell>
          <cell r="AO178">
            <v>0</v>
          </cell>
          <cell r="AP178">
            <v>273677</v>
          </cell>
          <cell r="AQ178">
            <v>68419</v>
          </cell>
          <cell r="AR178">
            <v>0</v>
          </cell>
          <cell r="AS178">
            <v>-295000</v>
          </cell>
          <cell r="AT178">
            <v>-236000</v>
          </cell>
          <cell r="AU178">
            <v>-59000</v>
          </cell>
          <cell r="AV178">
            <v>0</v>
          </cell>
          <cell r="AW178">
            <v>-590000</v>
          </cell>
          <cell r="AX178">
            <v>-1934182</v>
          </cell>
          <cell r="AY178">
            <v>-1547345</v>
          </cell>
          <cell r="AZ178">
            <v>-386835</v>
          </cell>
          <cell r="BA178">
            <v>0</v>
          </cell>
          <cell r="BB178">
            <v>-3868362</v>
          </cell>
          <cell r="BC178">
            <v>35000384</v>
          </cell>
          <cell r="BD178">
            <v>-1987755</v>
          </cell>
          <cell r="BE178">
            <v>991038</v>
          </cell>
          <cell r="BF178">
            <v>0</v>
          </cell>
          <cell r="BG178">
            <v>-2260755</v>
          </cell>
          <cell r="BH178">
            <v>-43148</v>
          </cell>
          <cell r="BI178">
            <v>-7778</v>
          </cell>
          <cell r="BJ178">
            <v>-67673</v>
          </cell>
          <cell r="BK178">
            <v>-930488</v>
          </cell>
          <cell r="BL178">
            <v>-23904</v>
          </cell>
          <cell r="BM178">
            <v>-10479</v>
          </cell>
          <cell r="BN178">
            <v>-2405</v>
          </cell>
          <cell r="BO178">
            <v>-7778</v>
          </cell>
          <cell r="BP178">
            <v>-28200</v>
          </cell>
          <cell r="BQ178">
            <v>0</v>
          </cell>
          <cell r="BR178">
            <v>0</v>
          </cell>
          <cell r="BS178">
            <v>0</v>
          </cell>
          <cell r="BT178">
            <v>38034734</v>
          </cell>
          <cell r="BU178">
            <v>-81850</v>
          </cell>
          <cell r="BV178">
            <v>1342633</v>
          </cell>
          <cell r="BW178">
            <v>-881488</v>
          </cell>
          <cell r="BX178">
            <v>-2207340</v>
          </cell>
          <cell r="BY178">
            <v>-388801</v>
          </cell>
          <cell r="BZ178">
            <v>45547662</v>
          </cell>
          <cell r="CA178">
            <v>-1103669</v>
          </cell>
          <cell r="CB178">
            <v>-882936</v>
          </cell>
          <cell r="CC178">
            <v>-220735</v>
          </cell>
          <cell r="CD178">
            <v>0</v>
          </cell>
          <cell r="CE178">
            <v>-194401</v>
          </cell>
          <cell r="CF178">
            <v>-155520</v>
          </cell>
          <cell r="CG178">
            <v>-38880</v>
          </cell>
          <cell r="CH178">
            <v>0</v>
          </cell>
        </row>
        <row r="179">
          <cell r="A179">
            <v>172</v>
          </cell>
          <cell r="B179" t="str">
            <v>New Forest</v>
          </cell>
          <cell r="C179" t="str">
            <v>E1738</v>
          </cell>
          <cell r="D179">
            <v>278159</v>
          </cell>
          <cell r="H179">
            <v>929963</v>
          </cell>
          <cell r="I179">
            <v>0</v>
          </cell>
          <cell r="J179">
            <v>278159</v>
          </cell>
          <cell r="K179">
            <v>0</v>
          </cell>
          <cell r="L179">
            <v>19990</v>
          </cell>
          <cell r="M179">
            <v>0</v>
          </cell>
          <cell r="N179">
            <v>0</v>
          </cell>
          <cell r="O179">
            <v>0</v>
          </cell>
          <cell r="P179">
            <v>0</v>
          </cell>
          <cell r="Q179">
            <v>0</v>
          </cell>
          <cell r="R179">
            <v>1272559</v>
          </cell>
          <cell r="S179">
            <v>286326</v>
          </cell>
          <cell r="T179">
            <v>31814</v>
          </cell>
          <cell r="U179">
            <v>4059</v>
          </cell>
          <cell r="V179">
            <v>914</v>
          </cell>
          <cell r="W179">
            <v>102</v>
          </cell>
          <cell r="X179">
            <v>3998</v>
          </cell>
          <cell r="Y179">
            <v>900</v>
          </cell>
          <cell r="Z179">
            <v>100</v>
          </cell>
          <cell r="AA179">
            <v>2030</v>
          </cell>
          <cell r="AB179">
            <v>457</v>
          </cell>
          <cell r="AC179">
            <v>51</v>
          </cell>
          <cell r="AD179">
            <v>0</v>
          </cell>
          <cell r="AE179">
            <v>0</v>
          </cell>
          <cell r="AF179">
            <v>0</v>
          </cell>
          <cell r="AG179">
            <v>0</v>
          </cell>
          <cell r="AH179">
            <v>0</v>
          </cell>
          <cell r="AI179">
            <v>0</v>
          </cell>
          <cell r="AM179">
            <v>0</v>
          </cell>
          <cell r="AN179">
            <v>0</v>
          </cell>
          <cell r="AO179">
            <v>0</v>
          </cell>
          <cell r="AP179">
            <v>384834</v>
          </cell>
          <cell r="AQ179">
            <v>86520</v>
          </cell>
          <cell r="AR179">
            <v>9613</v>
          </cell>
          <cell r="AS179">
            <v>-223378</v>
          </cell>
          <cell r="AT179">
            <v>-178704</v>
          </cell>
          <cell r="AU179">
            <v>-40209</v>
          </cell>
          <cell r="AV179">
            <v>-4469</v>
          </cell>
          <cell r="AW179">
            <v>-446760</v>
          </cell>
          <cell r="AX179">
            <v>-2982499</v>
          </cell>
          <cell r="AY179">
            <v>-2386000</v>
          </cell>
          <cell r="AZ179">
            <v>-536850</v>
          </cell>
          <cell r="BA179">
            <v>-59651</v>
          </cell>
          <cell r="BB179">
            <v>-5965000</v>
          </cell>
          <cell r="BC179">
            <v>66990813</v>
          </cell>
          <cell r="BD179">
            <v>-4573916</v>
          </cell>
          <cell r="BE179">
            <v>1680177</v>
          </cell>
          <cell r="BF179">
            <v>0</v>
          </cell>
          <cell r="BG179">
            <v>-3304864</v>
          </cell>
          <cell r="BH179">
            <v>-82744</v>
          </cell>
          <cell r="BI179">
            <v>-16802</v>
          </cell>
          <cell r="BJ179">
            <v>-4569</v>
          </cell>
          <cell r="BK179">
            <v>-1261429</v>
          </cell>
          <cell r="BL179">
            <v>-102223</v>
          </cell>
          <cell r="BM179">
            <v>-36579</v>
          </cell>
          <cell r="BN179">
            <v>0</v>
          </cell>
          <cell r="BO179">
            <v>-9679</v>
          </cell>
          <cell r="BP179">
            <v>-5445</v>
          </cell>
          <cell r="BQ179">
            <v>0</v>
          </cell>
          <cell r="BR179">
            <v>0</v>
          </cell>
          <cell r="BS179">
            <v>0</v>
          </cell>
          <cell r="BT179">
            <v>61606063</v>
          </cell>
          <cell r="BU179">
            <v>-227881</v>
          </cell>
          <cell r="BV179">
            <v>1220382</v>
          </cell>
          <cell r="BW179">
            <v>-2633975</v>
          </cell>
          <cell r="BX179">
            <v>932865</v>
          </cell>
          <cell r="BY179">
            <v>-864131</v>
          </cell>
          <cell r="BZ179">
            <v>63997386</v>
          </cell>
          <cell r="CA179">
            <v>466432</v>
          </cell>
          <cell r="CB179">
            <v>373146</v>
          </cell>
          <cell r="CC179">
            <v>83958</v>
          </cell>
          <cell r="CD179">
            <v>9329</v>
          </cell>
          <cell r="CE179">
            <v>-432066</v>
          </cell>
          <cell r="CF179">
            <v>-345652</v>
          </cell>
          <cell r="CG179">
            <v>-77772</v>
          </cell>
          <cell r="CH179">
            <v>-8641</v>
          </cell>
        </row>
        <row r="180">
          <cell r="A180">
            <v>173</v>
          </cell>
          <cell r="B180" t="str">
            <v>Newark and Sherwood</v>
          </cell>
          <cell r="C180" t="str">
            <v>E3036</v>
          </cell>
          <cell r="D180">
            <v>164307</v>
          </cell>
          <cell r="H180">
            <v>1241756</v>
          </cell>
          <cell r="I180">
            <v>0</v>
          </cell>
          <cell r="J180">
            <v>164307</v>
          </cell>
          <cell r="K180">
            <v>0</v>
          </cell>
          <cell r="L180">
            <v>170000</v>
          </cell>
          <cell r="M180">
            <v>0</v>
          </cell>
          <cell r="N180">
            <v>0</v>
          </cell>
          <cell r="O180">
            <v>0</v>
          </cell>
          <cell r="P180">
            <v>0</v>
          </cell>
          <cell r="Q180">
            <v>0</v>
          </cell>
          <cell r="R180">
            <v>678455</v>
          </cell>
          <cell r="S180">
            <v>152653</v>
          </cell>
          <cell r="T180">
            <v>16961</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M180">
            <v>0</v>
          </cell>
          <cell r="AN180">
            <v>0</v>
          </cell>
          <cell r="AO180">
            <v>0</v>
          </cell>
          <cell r="AP180">
            <v>255082</v>
          </cell>
          <cell r="AQ180">
            <v>56819</v>
          </cell>
          <cell r="AR180">
            <v>6313</v>
          </cell>
          <cell r="AS180">
            <v>-188313</v>
          </cell>
          <cell r="AT180">
            <v>-150651</v>
          </cell>
          <cell r="AU180">
            <v>-33896</v>
          </cell>
          <cell r="AV180">
            <v>-3767</v>
          </cell>
          <cell r="AW180">
            <v>-376627</v>
          </cell>
          <cell r="AX180">
            <v>-4481292</v>
          </cell>
          <cell r="AY180">
            <v>-3585033</v>
          </cell>
          <cell r="AZ180">
            <v>-806632</v>
          </cell>
          <cell r="BA180">
            <v>-89626</v>
          </cell>
          <cell r="BB180">
            <v>-8962583</v>
          </cell>
          <cell r="BC180">
            <v>33616152</v>
          </cell>
          <cell r="BD180">
            <v>-2837654</v>
          </cell>
          <cell r="BE180">
            <v>1011467</v>
          </cell>
          <cell r="BF180">
            <v>0</v>
          </cell>
          <cell r="BG180">
            <v>-1651205</v>
          </cell>
          <cell r="BH180">
            <v>-80892</v>
          </cell>
          <cell r="BI180">
            <v>-28977</v>
          </cell>
          <cell r="BJ180">
            <v>0</v>
          </cell>
          <cell r="BK180">
            <v>-991175</v>
          </cell>
          <cell r="BL180">
            <v>-24940</v>
          </cell>
          <cell r="BM180">
            <v>-164476</v>
          </cell>
          <cell r="BN180">
            <v>0</v>
          </cell>
          <cell r="BO180">
            <v>-4358</v>
          </cell>
          <cell r="BP180">
            <v>0</v>
          </cell>
          <cell r="BQ180">
            <v>0</v>
          </cell>
          <cell r="BR180">
            <v>0</v>
          </cell>
          <cell r="BS180">
            <v>0</v>
          </cell>
          <cell r="BT180">
            <v>39575421</v>
          </cell>
          <cell r="BU180">
            <v>-128648</v>
          </cell>
          <cell r="BV180">
            <v>1131160</v>
          </cell>
          <cell r="BW180">
            <v>-241093</v>
          </cell>
          <cell r="BX180">
            <v>-4403505</v>
          </cell>
          <cell r="BY180">
            <v>-4392469</v>
          </cell>
          <cell r="BZ180">
            <v>42027947</v>
          </cell>
          <cell r="CA180">
            <v>-2201753</v>
          </cell>
          <cell r="CB180">
            <v>-1761401</v>
          </cell>
          <cell r="CC180">
            <v>-396316</v>
          </cell>
          <cell r="CD180">
            <v>-44035</v>
          </cell>
          <cell r="CE180">
            <v>-2196234</v>
          </cell>
          <cell r="CF180">
            <v>-1756988</v>
          </cell>
          <cell r="CG180">
            <v>-395322</v>
          </cell>
          <cell r="CH180">
            <v>-43925</v>
          </cell>
        </row>
        <row r="181">
          <cell r="A181">
            <v>174</v>
          </cell>
          <cell r="B181" t="str">
            <v>Newcastle-upon-Tyne</v>
          </cell>
          <cell r="C181" t="str">
            <v>E4502</v>
          </cell>
          <cell r="D181">
            <v>463069</v>
          </cell>
          <cell r="H181">
            <v>-10833651</v>
          </cell>
          <cell r="I181">
            <v>-1040725</v>
          </cell>
          <cell r="J181">
            <v>463069</v>
          </cell>
          <cell r="K181">
            <v>603613</v>
          </cell>
          <cell r="L181">
            <v>0</v>
          </cell>
          <cell r="M181">
            <v>0</v>
          </cell>
          <cell r="N181">
            <v>0</v>
          </cell>
          <cell r="O181">
            <v>0</v>
          </cell>
          <cell r="P181">
            <v>0</v>
          </cell>
          <cell r="Q181">
            <v>0</v>
          </cell>
          <cell r="R181">
            <v>2006611</v>
          </cell>
          <cell r="S181">
            <v>0</v>
          </cell>
          <cell r="T181">
            <v>40564</v>
          </cell>
          <cell r="U181">
            <v>12452</v>
          </cell>
          <cell r="V181">
            <v>0</v>
          </cell>
          <cell r="W181">
            <v>254</v>
          </cell>
          <cell r="X181">
            <v>0</v>
          </cell>
          <cell r="Y181">
            <v>0</v>
          </cell>
          <cell r="Z181">
            <v>0</v>
          </cell>
          <cell r="AA181">
            <v>47250</v>
          </cell>
          <cell r="AB181">
            <v>0</v>
          </cell>
          <cell r="AC181">
            <v>964</v>
          </cell>
          <cell r="AD181">
            <v>0</v>
          </cell>
          <cell r="AE181">
            <v>0</v>
          </cell>
          <cell r="AF181">
            <v>0</v>
          </cell>
          <cell r="AG181">
            <v>0</v>
          </cell>
          <cell r="AH181">
            <v>0</v>
          </cell>
          <cell r="AI181">
            <v>0</v>
          </cell>
          <cell r="AM181">
            <v>0</v>
          </cell>
          <cell r="AN181">
            <v>0</v>
          </cell>
          <cell r="AO181">
            <v>0</v>
          </cell>
          <cell r="AP181">
            <v>1014118</v>
          </cell>
          <cell r="AQ181">
            <v>0</v>
          </cell>
          <cell r="AR181">
            <v>20511</v>
          </cell>
          <cell r="AS181">
            <v>-1651394.23</v>
          </cell>
          <cell r="AT181">
            <v>-1618368</v>
          </cell>
          <cell r="AU181">
            <v>0</v>
          </cell>
          <cell r="AV181">
            <v>-33028</v>
          </cell>
          <cell r="AW181">
            <v>-3302790.23</v>
          </cell>
          <cell r="AX181">
            <v>-9031372</v>
          </cell>
          <cell r="AY181">
            <v>-8850744</v>
          </cell>
          <cell r="AZ181">
            <v>0</v>
          </cell>
          <cell r="BA181">
            <v>-180627</v>
          </cell>
          <cell r="BB181">
            <v>-18062743</v>
          </cell>
          <cell r="BC181">
            <v>144566419</v>
          </cell>
          <cell r="BD181">
            <v>-5432047</v>
          </cell>
          <cell r="BE181">
            <v>4526371</v>
          </cell>
          <cell r="BF181">
            <v>0</v>
          </cell>
          <cell r="BG181">
            <v>-15552560</v>
          </cell>
          <cell r="BH181">
            <v>-133057</v>
          </cell>
          <cell r="BI181">
            <v>-1566</v>
          </cell>
          <cell r="BJ181">
            <v>-203454</v>
          </cell>
          <cell r="BK181">
            <v>-8991146</v>
          </cell>
          <cell r="BL181">
            <v>-203479</v>
          </cell>
          <cell r="BM181">
            <v>-394630</v>
          </cell>
          <cell r="BN181">
            <v>-21560</v>
          </cell>
          <cell r="BO181">
            <v>0</v>
          </cell>
          <cell r="BP181">
            <v>0</v>
          </cell>
          <cell r="BQ181">
            <v>0</v>
          </cell>
          <cell r="BR181">
            <v>0</v>
          </cell>
          <cell r="BS181">
            <v>0</v>
          </cell>
          <cell r="BT181">
            <v>148573132</v>
          </cell>
          <cell r="BU181">
            <v>-2902559</v>
          </cell>
          <cell r="BV181">
            <v>8248622</v>
          </cell>
          <cell r="BW181">
            <v>-6632442</v>
          </cell>
          <cell r="BX181">
            <v>-17795000</v>
          </cell>
          <cell r="BY181">
            <v>-15976233</v>
          </cell>
          <cell r="BZ181">
            <v>136546237</v>
          </cell>
          <cell r="CA181">
            <v>-8897500</v>
          </cell>
          <cell r="CB181">
            <v>-8719550</v>
          </cell>
          <cell r="CC181">
            <v>0</v>
          </cell>
          <cell r="CD181">
            <v>-177950</v>
          </cell>
          <cell r="CE181">
            <v>-7988117</v>
          </cell>
          <cell r="CF181">
            <v>-7828354</v>
          </cell>
          <cell r="CG181">
            <v>0</v>
          </cell>
          <cell r="CH181">
            <v>-159762</v>
          </cell>
        </row>
        <row r="182">
          <cell r="A182">
            <v>175</v>
          </cell>
          <cell r="B182" t="str">
            <v>Newcastle-under-Lyme</v>
          </cell>
          <cell r="C182" t="str">
            <v>E3434</v>
          </cell>
          <cell r="D182">
            <v>137513</v>
          </cell>
          <cell r="H182">
            <v>-561947</v>
          </cell>
          <cell r="I182">
            <v>0</v>
          </cell>
          <cell r="J182">
            <v>137513</v>
          </cell>
          <cell r="K182">
            <v>0</v>
          </cell>
          <cell r="L182">
            <v>0</v>
          </cell>
          <cell r="M182">
            <v>0</v>
          </cell>
          <cell r="N182">
            <v>0</v>
          </cell>
          <cell r="O182">
            <v>0</v>
          </cell>
          <cell r="P182">
            <v>0</v>
          </cell>
          <cell r="Q182">
            <v>0</v>
          </cell>
          <cell r="R182">
            <v>595923</v>
          </cell>
          <cell r="S182">
            <v>134083</v>
          </cell>
          <cell r="T182">
            <v>14898</v>
          </cell>
          <cell r="U182">
            <v>0</v>
          </cell>
          <cell r="V182">
            <v>0</v>
          </cell>
          <cell r="W182">
            <v>0</v>
          </cell>
          <cell r="X182">
            <v>0</v>
          </cell>
          <cell r="Y182">
            <v>0</v>
          </cell>
          <cell r="Z182">
            <v>0</v>
          </cell>
          <cell r="AA182">
            <v>28569</v>
          </cell>
          <cell r="AB182">
            <v>6428</v>
          </cell>
          <cell r="AC182">
            <v>714</v>
          </cell>
          <cell r="AD182">
            <v>0</v>
          </cell>
          <cell r="AE182">
            <v>0</v>
          </cell>
          <cell r="AF182">
            <v>0</v>
          </cell>
          <cell r="AG182">
            <v>0</v>
          </cell>
          <cell r="AH182">
            <v>0</v>
          </cell>
          <cell r="AI182">
            <v>0</v>
          </cell>
          <cell r="AM182">
            <v>0</v>
          </cell>
          <cell r="AN182">
            <v>0</v>
          </cell>
          <cell r="AO182">
            <v>0</v>
          </cell>
          <cell r="AP182">
            <v>194467</v>
          </cell>
          <cell r="AQ182">
            <v>43755</v>
          </cell>
          <cell r="AR182">
            <v>4862</v>
          </cell>
          <cell r="AS182">
            <v>-383544.5</v>
          </cell>
          <cell r="AT182">
            <v>-306835.59999999998</v>
          </cell>
          <cell r="AU182">
            <v>-69038.210000000006</v>
          </cell>
          <cell r="AV182">
            <v>-7671.6900000000005</v>
          </cell>
          <cell r="AW182">
            <v>-767090</v>
          </cell>
          <cell r="AX182">
            <v>-906069</v>
          </cell>
          <cell r="AY182">
            <v>-724855</v>
          </cell>
          <cell r="AZ182">
            <v>-163092</v>
          </cell>
          <cell r="BA182">
            <v>-18121</v>
          </cell>
          <cell r="BB182">
            <v>-1812137</v>
          </cell>
          <cell r="BC182">
            <v>33837009</v>
          </cell>
          <cell r="BD182">
            <v>-2362271</v>
          </cell>
          <cell r="BE182">
            <v>939001</v>
          </cell>
          <cell r="BF182">
            <v>0</v>
          </cell>
          <cell r="BG182">
            <v>-2962832</v>
          </cell>
          <cell r="BH182">
            <v>-15188</v>
          </cell>
          <cell r="BI182">
            <v>-13015</v>
          </cell>
          <cell r="BJ182">
            <v>-387117</v>
          </cell>
          <cell r="BK182">
            <v>-1154392</v>
          </cell>
          <cell r="BL182">
            <v>-14928</v>
          </cell>
          <cell r="BM182">
            <v>-85264</v>
          </cell>
          <cell r="BN182">
            <v>0</v>
          </cell>
          <cell r="BO182">
            <v>0</v>
          </cell>
          <cell r="BP182">
            <v>0</v>
          </cell>
          <cell r="BQ182">
            <v>0</v>
          </cell>
          <cell r="BR182">
            <v>0</v>
          </cell>
          <cell r="BS182">
            <v>0</v>
          </cell>
          <cell r="BT182">
            <v>34678369</v>
          </cell>
          <cell r="BU182">
            <v>-555223</v>
          </cell>
          <cell r="BV182">
            <v>1931465</v>
          </cell>
          <cell r="BW182">
            <v>-431133</v>
          </cell>
          <cell r="BX182">
            <v>-131455</v>
          </cell>
          <cell r="BY182">
            <v>48635</v>
          </cell>
          <cell r="BZ182">
            <v>32364871</v>
          </cell>
          <cell r="CA182">
            <v>-65729</v>
          </cell>
          <cell r="CB182">
            <v>-52581</v>
          </cell>
          <cell r="CC182">
            <v>-11831</v>
          </cell>
          <cell r="CD182">
            <v>-1314</v>
          </cell>
          <cell r="CE182">
            <v>24318</v>
          </cell>
          <cell r="CF182">
            <v>19454</v>
          </cell>
          <cell r="CG182">
            <v>4377</v>
          </cell>
          <cell r="CH182">
            <v>486</v>
          </cell>
        </row>
        <row r="183">
          <cell r="A183">
            <v>176</v>
          </cell>
          <cell r="B183" t="str">
            <v>Newham</v>
          </cell>
          <cell r="C183" t="str">
            <v>E5045</v>
          </cell>
          <cell r="D183">
            <v>381427</v>
          </cell>
          <cell r="H183">
            <v>6073151</v>
          </cell>
          <cell r="I183">
            <v>-27646</v>
          </cell>
          <cell r="J183">
            <v>381427</v>
          </cell>
          <cell r="K183">
            <v>367341</v>
          </cell>
          <cell r="L183">
            <v>0</v>
          </cell>
          <cell r="M183">
            <v>0</v>
          </cell>
          <cell r="N183">
            <v>76405</v>
          </cell>
          <cell r="O183">
            <v>76405</v>
          </cell>
          <cell r="P183">
            <v>0</v>
          </cell>
          <cell r="Q183">
            <v>0</v>
          </cell>
          <cell r="R183">
            <v>1102332</v>
          </cell>
          <cell r="S183">
            <v>1354914</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M183">
            <v>0</v>
          </cell>
          <cell r="AN183">
            <v>0</v>
          </cell>
          <cell r="AO183">
            <v>0</v>
          </cell>
          <cell r="AP183">
            <v>670839</v>
          </cell>
          <cell r="AQ183">
            <v>819147</v>
          </cell>
          <cell r="AR183">
            <v>0</v>
          </cell>
          <cell r="AS183">
            <v>-1375495.5599999998</v>
          </cell>
          <cell r="AT183">
            <v>-825297</v>
          </cell>
          <cell r="AU183">
            <v>-550197</v>
          </cell>
          <cell r="AV183">
            <v>0</v>
          </cell>
          <cell r="AW183">
            <v>-2750989.5599999996</v>
          </cell>
          <cell r="AX183">
            <v>-2544319</v>
          </cell>
          <cell r="AY183">
            <v>-1526589</v>
          </cell>
          <cell r="AZ183">
            <v>-1017726</v>
          </cell>
          <cell r="BA183">
            <v>0</v>
          </cell>
          <cell r="BB183">
            <v>-5088634</v>
          </cell>
          <cell r="BC183">
            <v>129914032</v>
          </cell>
          <cell r="BD183">
            <v>-5203257</v>
          </cell>
          <cell r="BE183">
            <v>3558837</v>
          </cell>
          <cell r="BF183">
            <v>0</v>
          </cell>
          <cell r="BG183">
            <v>-10926113</v>
          </cell>
          <cell r="BH183">
            <v>0</v>
          </cell>
          <cell r="BI183">
            <v>0</v>
          </cell>
          <cell r="BJ183">
            <v>-178995</v>
          </cell>
          <cell r="BK183">
            <v>-5130468</v>
          </cell>
          <cell r="BL183">
            <v>0</v>
          </cell>
          <cell r="BM183">
            <v>0</v>
          </cell>
          <cell r="BN183">
            <v>0</v>
          </cell>
          <cell r="BO183">
            <v>0</v>
          </cell>
          <cell r="BP183">
            <v>0</v>
          </cell>
          <cell r="BQ183">
            <v>-280015</v>
          </cell>
          <cell r="BR183">
            <v>-775141</v>
          </cell>
          <cell r="BS183">
            <v>0</v>
          </cell>
          <cell r="BT183">
            <v>126352679</v>
          </cell>
          <cell r="BU183">
            <v>-32500</v>
          </cell>
          <cell r="BV183">
            <v>4414837</v>
          </cell>
          <cell r="BW183">
            <v>-13362145</v>
          </cell>
          <cell r="BX183">
            <v>-5467514</v>
          </cell>
          <cell r="BY183">
            <v>-8563125</v>
          </cell>
          <cell r="BZ183">
            <v>147383130</v>
          </cell>
          <cell r="CA183">
            <v>-2733757</v>
          </cell>
          <cell r="CB183">
            <v>-1640254</v>
          </cell>
          <cell r="CC183">
            <v>-1093503</v>
          </cell>
          <cell r="CD183">
            <v>0</v>
          </cell>
          <cell r="CE183">
            <v>-4281562</v>
          </cell>
          <cell r="CF183">
            <v>-2568938</v>
          </cell>
          <cell r="CG183">
            <v>-1712625</v>
          </cell>
          <cell r="CH183">
            <v>0</v>
          </cell>
        </row>
        <row r="184">
          <cell r="A184">
            <v>177</v>
          </cell>
          <cell r="B184" t="str">
            <v>North Devon</v>
          </cell>
          <cell r="C184" t="str">
            <v>E1134</v>
          </cell>
          <cell r="D184">
            <v>201008</v>
          </cell>
          <cell r="H184">
            <v>-1118949</v>
          </cell>
          <cell r="I184">
            <v>0</v>
          </cell>
          <cell r="J184">
            <v>201008</v>
          </cell>
          <cell r="K184">
            <v>0</v>
          </cell>
          <cell r="L184">
            <v>311000</v>
          </cell>
          <cell r="M184">
            <v>0</v>
          </cell>
          <cell r="N184">
            <v>0</v>
          </cell>
          <cell r="O184">
            <v>0</v>
          </cell>
          <cell r="P184">
            <v>0</v>
          </cell>
          <cell r="Q184">
            <v>0</v>
          </cell>
          <cell r="R184">
            <v>1175221</v>
          </cell>
          <cell r="S184">
            <v>264425</v>
          </cell>
          <cell r="T184">
            <v>29381</v>
          </cell>
          <cell r="U184">
            <v>2075</v>
          </cell>
          <cell r="V184">
            <v>467</v>
          </cell>
          <cell r="W184">
            <v>52</v>
          </cell>
          <cell r="X184">
            <v>0</v>
          </cell>
          <cell r="Y184">
            <v>0</v>
          </cell>
          <cell r="Z184">
            <v>0</v>
          </cell>
          <cell r="AA184">
            <v>670</v>
          </cell>
          <cell r="AB184">
            <v>151</v>
          </cell>
          <cell r="AC184">
            <v>17</v>
          </cell>
          <cell r="AD184">
            <v>0</v>
          </cell>
          <cell r="AE184">
            <v>0</v>
          </cell>
          <cell r="AF184">
            <v>0</v>
          </cell>
          <cell r="AG184">
            <v>0</v>
          </cell>
          <cell r="AH184">
            <v>0</v>
          </cell>
          <cell r="AI184">
            <v>0</v>
          </cell>
          <cell r="AM184">
            <v>0</v>
          </cell>
          <cell r="AN184">
            <v>0</v>
          </cell>
          <cell r="AO184">
            <v>0</v>
          </cell>
          <cell r="AP184">
            <v>191025</v>
          </cell>
          <cell r="AQ184">
            <v>41930</v>
          </cell>
          <cell r="AR184">
            <v>4659</v>
          </cell>
          <cell r="AS184">
            <v>-423186</v>
          </cell>
          <cell r="AT184">
            <v>-338550</v>
          </cell>
          <cell r="AU184">
            <v>-76173</v>
          </cell>
          <cell r="AV184">
            <v>-8464</v>
          </cell>
          <cell r="AW184">
            <v>-846373</v>
          </cell>
          <cell r="AX184">
            <v>-504527</v>
          </cell>
          <cell r="AY184">
            <v>-403623</v>
          </cell>
          <cell r="AZ184">
            <v>-90816</v>
          </cell>
          <cell r="BA184">
            <v>-10090</v>
          </cell>
          <cell r="BB184">
            <v>-1009056</v>
          </cell>
          <cell r="BC184">
            <v>31732787</v>
          </cell>
          <cell r="BD184">
            <v>-4876855</v>
          </cell>
          <cell r="BE184">
            <v>836168</v>
          </cell>
          <cell r="BF184">
            <v>0</v>
          </cell>
          <cell r="BG184">
            <v>-2428544</v>
          </cell>
          <cell r="BH184">
            <v>-119560</v>
          </cell>
          <cell r="BI184">
            <v>-38723</v>
          </cell>
          <cell r="BJ184">
            <v>-946</v>
          </cell>
          <cell r="BK184">
            <v>-819007</v>
          </cell>
          <cell r="BL184">
            <v>-117809</v>
          </cell>
          <cell r="BM184">
            <v>-171643</v>
          </cell>
          <cell r="BN184">
            <v>-8541</v>
          </cell>
          <cell r="BO184">
            <v>-13525</v>
          </cell>
          <cell r="BP184">
            <v>-13177</v>
          </cell>
          <cell r="BQ184">
            <v>0</v>
          </cell>
          <cell r="BR184">
            <v>0</v>
          </cell>
          <cell r="BS184">
            <v>0</v>
          </cell>
          <cell r="BT184">
            <v>32186783</v>
          </cell>
          <cell r="BU184">
            <v>-297743</v>
          </cell>
          <cell r="BV184">
            <v>1848626</v>
          </cell>
          <cell r="BW184">
            <v>-1005395</v>
          </cell>
          <cell r="BX184">
            <v>-2802331</v>
          </cell>
          <cell r="BY184">
            <v>-2598951</v>
          </cell>
          <cell r="BZ184">
            <v>31014582</v>
          </cell>
          <cell r="CA184">
            <v>-1401166</v>
          </cell>
          <cell r="CB184">
            <v>-1120932</v>
          </cell>
          <cell r="CC184">
            <v>-252210</v>
          </cell>
          <cell r="CD184">
            <v>-28023</v>
          </cell>
          <cell r="CE184">
            <v>-1299475</v>
          </cell>
          <cell r="CF184">
            <v>-1039580</v>
          </cell>
          <cell r="CG184">
            <v>-233906</v>
          </cell>
          <cell r="CH184">
            <v>-25990</v>
          </cell>
        </row>
        <row r="185">
          <cell r="A185">
            <v>178</v>
          </cell>
          <cell r="B185" t="str">
            <v>North Dorset</v>
          </cell>
          <cell r="C185" t="str">
            <v>E1234</v>
          </cell>
          <cell r="D185">
            <v>92680</v>
          </cell>
          <cell r="H185">
            <v>87854</v>
          </cell>
          <cell r="I185">
            <v>0</v>
          </cell>
          <cell r="J185">
            <v>92680</v>
          </cell>
          <cell r="K185">
            <v>0</v>
          </cell>
          <cell r="L185">
            <v>124121</v>
          </cell>
          <cell r="M185">
            <v>0</v>
          </cell>
          <cell r="N185">
            <v>0</v>
          </cell>
          <cell r="O185">
            <v>0</v>
          </cell>
          <cell r="P185">
            <v>0</v>
          </cell>
          <cell r="Q185">
            <v>0</v>
          </cell>
          <cell r="R185">
            <v>497071</v>
          </cell>
          <cell r="S185">
            <v>111841</v>
          </cell>
          <cell r="T185">
            <v>12427</v>
          </cell>
          <cell r="U185">
            <v>4545</v>
          </cell>
          <cell r="V185">
            <v>1023</v>
          </cell>
          <cell r="W185">
            <v>114</v>
          </cell>
          <cell r="X185">
            <v>0</v>
          </cell>
          <cell r="Y185">
            <v>0</v>
          </cell>
          <cell r="Z185">
            <v>0</v>
          </cell>
          <cell r="AA185">
            <v>6064</v>
          </cell>
          <cell r="AB185">
            <v>1365</v>
          </cell>
          <cell r="AC185">
            <v>152</v>
          </cell>
          <cell r="AD185">
            <v>0</v>
          </cell>
          <cell r="AE185">
            <v>0</v>
          </cell>
          <cell r="AF185">
            <v>0</v>
          </cell>
          <cell r="AG185">
            <v>0</v>
          </cell>
          <cell r="AH185">
            <v>0</v>
          </cell>
          <cell r="AI185">
            <v>0</v>
          </cell>
          <cell r="AM185">
            <v>0</v>
          </cell>
          <cell r="AN185">
            <v>0</v>
          </cell>
          <cell r="AO185">
            <v>0</v>
          </cell>
          <cell r="AP185">
            <v>75461</v>
          </cell>
          <cell r="AQ185">
            <v>16559</v>
          </cell>
          <cell r="AR185">
            <v>1840</v>
          </cell>
          <cell r="AS185">
            <v>-245998</v>
          </cell>
          <cell r="AT185">
            <v>-196800</v>
          </cell>
          <cell r="AU185">
            <v>-44281</v>
          </cell>
          <cell r="AV185">
            <v>-4921</v>
          </cell>
          <cell r="AW185">
            <v>-492000</v>
          </cell>
          <cell r="AX185">
            <v>-821816</v>
          </cell>
          <cell r="AY185">
            <v>-657453</v>
          </cell>
          <cell r="AZ185">
            <v>-147926</v>
          </cell>
          <cell r="BA185">
            <v>-16436</v>
          </cell>
          <cell r="BB185">
            <v>-1643631</v>
          </cell>
          <cell r="BC185">
            <v>12405492</v>
          </cell>
          <cell r="BD185">
            <v>-1971676</v>
          </cell>
          <cell r="BE185">
            <v>383547</v>
          </cell>
          <cell r="BF185">
            <v>0</v>
          </cell>
          <cell r="BG185">
            <v>-2618311</v>
          </cell>
          <cell r="BH185">
            <v>-91388</v>
          </cell>
          <cell r="BI185">
            <v>-40866</v>
          </cell>
          <cell r="BJ185">
            <v>-25315</v>
          </cell>
          <cell r="BK185">
            <v>-382564</v>
          </cell>
          <cell r="BL185">
            <v>-30557</v>
          </cell>
          <cell r="BM185">
            <v>-3377</v>
          </cell>
          <cell r="BN185">
            <v>-22564</v>
          </cell>
          <cell r="BO185">
            <v>0</v>
          </cell>
          <cell r="BP185">
            <v>0</v>
          </cell>
          <cell r="BQ185">
            <v>0</v>
          </cell>
          <cell r="BR185">
            <v>0</v>
          </cell>
          <cell r="BS185">
            <v>0</v>
          </cell>
          <cell r="BT185">
            <v>13951032</v>
          </cell>
          <cell r="BU185">
            <v>-154815</v>
          </cell>
          <cell r="BV185">
            <v>516530</v>
          </cell>
          <cell r="BW185">
            <v>-170510</v>
          </cell>
          <cell r="BX185">
            <v>-996193</v>
          </cell>
          <cell r="BY185">
            <v>-435504</v>
          </cell>
          <cell r="BZ185">
            <v>12248507</v>
          </cell>
          <cell r="CA185">
            <v>-498097</v>
          </cell>
          <cell r="CB185">
            <v>-398477</v>
          </cell>
          <cell r="CC185">
            <v>-89658</v>
          </cell>
          <cell r="CD185">
            <v>-9961</v>
          </cell>
          <cell r="CE185">
            <v>-217752</v>
          </cell>
          <cell r="CF185">
            <v>-174202</v>
          </cell>
          <cell r="CG185">
            <v>-39195</v>
          </cell>
          <cell r="CH185">
            <v>-4355</v>
          </cell>
        </row>
        <row r="186">
          <cell r="A186">
            <v>179</v>
          </cell>
          <cell r="B186" t="str">
            <v>North East Derbyshire</v>
          </cell>
          <cell r="C186" t="str">
            <v>E1038</v>
          </cell>
          <cell r="D186">
            <v>98640</v>
          </cell>
          <cell r="H186">
            <v>751948</v>
          </cell>
          <cell r="I186">
            <v>0</v>
          </cell>
          <cell r="J186">
            <v>98640</v>
          </cell>
          <cell r="K186">
            <v>0</v>
          </cell>
          <cell r="L186">
            <v>0</v>
          </cell>
          <cell r="M186">
            <v>0</v>
          </cell>
          <cell r="N186">
            <v>0</v>
          </cell>
          <cell r="O186">
            <v>0</v>
          </cell>
          <cell r="P186">
            <v>0</v>
          </cell>
          <cell r="Q186">
            <v>0</v>
          </cell>
          <cell r="R186">
            <v>483906</v>
          </cell>
          <cell r="S186">
            <v>108879</v>
          </cell>
          <cell r="T186">
            <v>12098</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M186">
            <v>0</v>
          </cell>
          <cell r="AN186">
            <v>0</v>
          </cell>
          <cell r="AO186">
            <v>0</v>
          </cell>
          <cell r="AP186">
            <v>100595</v>
          </cell>
          <cell r="AQ186">
            <v>22634</v>
          </cell>
          <cell r="AR186">
            <v>2515</v>
          </cell>
          <cell r="AS186">
            <v>-139903</v>
          </cell>
          <cell r="AT186">
            <v>-111923</v>
          </cell>
          <cell r="AU186">
            <v>-25182</v>
          </cell>
          <cell r="AV186">
            <v>-2798</v>
          </cell>
          <cell r="AW186">
            <v>-279806</v>
          </cell>
          <cell r="AX186">
            <v>-1288046.24</v>
          </cell>
          <cell r="AY186">
            <v>-1030435</v>
          </cell>
          <cell r="AZ186">
            <v>-231848</v>
          </cell>
          <cell r="BA186">
            <v>-25761</v>
          </cell>
          <cell r="BB186">
            <v>-2576090.2000000002</v>
          </cell>
          <cell r="BC186">
            <v>16468368</v>
          </cell>
          <cell r="BD186">
            <v>-1985410</v>
          </cell>
          <cell r="BE186">
            <v>392107</v>
          </cell>
          <cell r="BF186">
            <v>0</v>
          </cell>
          <cell r="BG186">
            <v>-552501</v>
          </cell>
          <cell r="BH186">
            <v>-19739</v>
          </cell>
          <cell r="BI186">
            <v>-6604</v>
          </cell>
          <cell r="BJ186">
            <v>-31874</v>
          </cell>
          <cell r="BK186">
            <v>-422226</v>
          </cell>
          <cell r="BL186">
            <v>-30417</v>
          </cell>
          <cell r="BM186">
            <v>-15975</v>
          </cell>
          <cell r="BN186">
            <v>-229</v>
          </cell>
          <cell r="BO186">
            <v>-1274</v>
          </cell>
          <cell r="BP186">
            <v>0</v>
          </cell>
          <cell r="BQ186">
            <v>0</v>
          </cell>
          <cell r="BR186">
            <v>0</v>
          </cell>
          <cell r="BS186">
            <v>0</v>
          </cell>
          <cell r="BT186">
            <v>16022889</v>
          </cell>
          <cell r="BU186">
            <v>-125206</v>
          </cell>
          <cell r="BV186">
            <v>798661</v>
          </cell>
          <cell r="BW186">
            <v>-198241</v>
          </cell>
          <cell r="BX186">
            <v>-1905725</v>
          </cell>
          <cell r="BY186">
            <v>-1598514</v>
          </cell>
          <cell r="BZ186">
            <v>16741940</v>
          </cell>
          <cell r="CA186">
            <v>-952863</v>
          </cell>
          <cell r="CB186">
            <v>-762290</v>
          </cell>
          <cell r="CC186">
            <v>-171515</v>
          </cell>
          <cell r="CD186">
            <v>-19057</v>
          </cell>
          <cell r="CE186">
            <v>-799257</v>
          </cell>
          <cell r="CF186">
            <v>-639406</v>
          </cell>
          <cell r="CG186">
            <v>-143866</v>
          </cell>
          <cell r="CH186">
            <v>-15985</v>
          </cell>
        </row>
        <row r="187">
          <cell r="A187">
            <v>180</v>
          </cell>
          <cell r="B187" t="str">
            <v>North East Lincolnshire</v>
          </cell>
          <cell r="C187" t="str">
            <v>E2003</v>
          </cell>
          <cell r="D187">
            <v>226742</v>
          </cell>
          <cell r="H187">
            <v>-6647850</v>
          </cell>
          <cell r="I187">
            <v>0</v>
          </cell>
          <cell r="J187">
            <v>226742</v>
          </cell>
          <cell r="K187">
            <v>0</v>
          </cell>
          <cell r="L187">
            <v>122241</v>
          </cell>
          <cell r="M187">
            <v>0</v>
          </cell>
          <cell r="N187">
            <v>65115</v>
          </cell>
          <cell r="O187">
            <v>65115</v>
          </cell>
          <cell r="P187">
            <v>0</v>
          </cell>
          <cell r="Q187">
            <v>0</v>
          </cell>
          <cell r="R187">
            <v>1025339</v>
          </cell>
          <cell r="S187">
            <v>0</v>
          </cell>
          <cell r="T187">
            <v>20925</v>
          </cell>
          <cell r="U187">
            <v>28409</v>
          </cell>
          <cell r="V187">
            <v>0</v>
          </cell>
          <cell r="W187">
            <v>580</v>
          </cell>
          <cell r="X187">
            <v>17033</v>
          </cell>
          <cell r="Y187">
            <v>0</v>
          </cell>
          <cell r="Z187">
            <v>348</v>
          </cell>
          <cell r="AA187">
            <v>16976</v>
          </cell>
          <cell r="AB187">
            <v>0</v>
          </cell>
          <cell r="AC187">
            <v>346</v>
          </cell>
          <cell r="AD187">
            <v>0</v>
          </cell>
          <cell r="AE187">
            <v>0</v>
          </cell>
          <cell r="AF187">
            <v>0</v>
          </cell>
          <cell r="AG187">
            <v>0</v>
          </cell>
          <cell r="AH187">
            <v>0</v>
          </cell>
          <cell r="AI187">
            <v>0</v>
          </cell>
          <cell r="AM187">
            <v>0</v>
          </cell>
          <cell r="AN187">
            <v>0</v>
          </cell>
          <cell r="AO187">
            <v>0</v>
          </cell>
          <cell r="AP187">
            <v>421680</v>
          </cell>
          <cell r="AQ187">
            <v>0</v>
          </cell>
          <cell r="AR187">
            <v>8548</v>
          </cell>
          <cell r="AS187">
            <v>-1171553</v>
          </cell>
          <cell r="AT187">
            <v>-1148121</v>
          </cell>
          <cell r="AU187">
            <v>0</v>
          </cell>
          <cell r="AV187">
            <v>-23432</v>
          </cell>
          <cell r="AW187">
            <v>-2343106</v>
          </cell>
          <cell r="AX187">
            <v>-7553905.9000000004</v>
          </cell>
          <cell r="AY187">
            <v>-7402828</v>
          </cell>
          <cell r="AZ187">
            <v>0</v>
          </cell>
          <cell r="BA187">
            <v>-151079</v>
          </cell>
          <cell r="BB187">
            <v>-15107812</v>
          </cell>
          <cell r="BC187">
            <v>66525095</v>
          </cell>
          <cell r="BD187">
            <v>-3505304</v>
          </cell>
          <cell r="BE187">
            <v>1854525</v>
          </cell>
          <cell r="BF187">
            <v>0</v>
          </cell>
          <cell r="BG187">
            <v>-3829659</v>
          </cell>
          <cell r="BH187">
            <v>-92283</v>
          </cell>
          <cell r="BI187">
            <v>-596</v>
          </cell>
          <cell r="BJ187">
            <v>0</v>
          </cell>
          <cell r="BK187">
            <v>-2205792</v>
          </cell>
          <cell r="BL187">
            <v>-87453</v>
          </cell>
          <cell r="BM187">
            <v>-473310</v>
          </cell>
          <cell r="BN187">
            <v>-2864</v>
          </cell>
          <cell r="BO187">
            <v>-574</v>
          </cell>
          <cell r="BP187">
            <v>0</v>
          </cell>
          <cell r="BQ187">
            <v>-86628</v>
          </cell>
          <cell r="BR187">
            <v>-65728</v>
          </cell>
          <cell r="BS187">
            <v>0</v>
          </cell>
          <cell r="BT187">
            <v>65562626</v>
          </cell>
          <cell r="BU187">
            <v>-224333</v>
          </cell>
          <cell r="BV187">
            <v>5854322</v>
          </cell>
          <cell r="BW187">
            <v>-3032696</v>
          </cell>
          <cell r="BX187">
            <v>-866209</v>
          </cell>
          <cell r="BY187">
            <v>-2394026</v>
          </cell>
          <cell r="BZ187">
            <v>56907097</v>
          </cell>
          <cell r="CA187">
            <v>-433105</v>
          </cell>
          <cell r="CB187">
            <v>-424442</v>
          </cell>
          <cell r="CC187">
            <v>0</v>
          </cell>
          <cell r="CD187">
            <v>-8662</v>
          </cell>
          <cell r="CE187">
            <v>-1197013</v>
          </cell>
          <cell r="CF187">
            <v>-1173073</v>
          </cell>
          <cell r="CG187">
            <v>0</v>
          </cell>
          <cell r="CH187">
            <v>-23940</v>
          </cell>
        </row>
        <row r="188">
          <cell r="A188">
            <v>181</v>
          </cell>
          <cell r="B188" t="str">
            <v>North Hertfordshire</v>
          </cell>
          <cell r="C188" t="str">
            <v>E1935</v>
          </cell>
          <cell r="D188">
            <v>179886</v>
          </cell>
          <cell r="H188">
            <v>-171960</v>
          </cell>
          <cell r="I188">
            <v>0</v>
          </cell>
          <cell r="J188">
            <v>179886</v>
          </cell>
          <cell r="K188">
            <v>0</v>
          </cell>
          <cell r="L188">
            <v>30587</v>
          </cell>
          <cell r="M188">
            <v>0</v>
          </cell>
          <cell r="N188">
            <v>0</v>
          </cell>
          <cell r="O188">
            <v>0</v>
          </cell>
          <cell r="P188">
            <v>0</v>
          </cell>
          <cell r="Q188">
            <v>0</v>
          </cell>
          <cell r="R188">
            <v>759795</v>
          </cell>
          <cell r="S188">
            <v>189949</v>
          </cell>
          <cell r="T188">
            <v>0</v>
          </cell>
          <cell r="U188">
            <v>0</v>
          </cell>
          <cell r="V188">
            <v>0</v>
          </cell>
          <cell r="W188">
            <v>0</v>
          </cell>
          <cell r="X188">
            <v>0</v>
          </cell>
          <cell r="Y188">
            <v>0</v>
          </cell>
          <cell r="Z188">
            <v>0</v>
          </cell>
          <cell r="AA188">
            <v>4466</v>
          </cell>
          <cell r="AB188">
            <v>1117</v>
          </cell>
          <cell r="AC188">
            <v>0</v>
          </cell>
          <cell r="AD188">
            <v>0</v>
          </cell>
          <cell r="AE188">
            <v>0</v>
          </cell>
          <cell r="AF188">
            <v>0</v>
          </cell>
          <cell r="AG188">
            <v>0</v>
          </cell>
          <cell r="AH188">
            <v>0</v>
          </cell>
          <cell r="AI188">
            <v>0</v>
          </cell>
          <cell r="AM188">
            <v>0</v>
          </cell>
          <cell r="AN188">
            <v>0</v>
          </cell>
          <cell r="AO188">
            <v>0</v>
          </cell>
          <cell r="AP188">
            <v>225925</v>
          </cell>
          <cell r="AQ188">
            <v>56366</v>
          </cell>
          <cell r="AR188">
            <v>0</v>
          </cell>
          <cell r="AS188">
            <v>-488025</v>
          </cell>
          <cell r="AT188">
            <v>-390418</v>
          </cell>
          <cell r="AU188">
            <v>-97604</v>
          </cell>
          <cell r="AV188">
            <v>0</v>
          </cell>
          <cell r="AW188">
            <v>-976047</v>
          </cell>
          <cell r="AX188">
            <v>-1160435</v>
          </cell>
          <cell r="AY188">
            <v>-928349</v>
          </cell>
          <cell r="AZ188">
            <v>-232088</v>
          </cell>
          <cell r="BA188">
            <v>0</v>
          </cell>
          <cell r="BB188">
            <v>-2320872</v>
          </cell>
          <cell r="BC188">
            <v>38170329</v>
          </cell>
          <cell r="BD188">
            <v>-2709015</v>
          </cell>
          <cell r="BE188">
            <v>999754</v>
          </cell>
          <cell r="BF188">
            <v>0</v>
          </cell>
          <cell r="BG188">
            <v>-2980202</v>
          </cell>
          <cell r="BH188">
            <v>-35681</v>
          </cell>
          <cell r="BI188">
            <v>-15198</v>
          </cell>
          <cell r="BJ188">
            <v>-33384</v>
          </cell>
          <cell r="BK188">
            <v>-1551248</v>
          </cell>
          <cell r="BL188">
            <v>-177637</v>
          </cell>
          <cell r="BM188">
            <v>-86060</v>
          </cell>
          <cell r="BN188">
            <v>-7633</v>
          </cell>
          <cell r="BO188">
            <v>-11751</v>
          </cell>
          <cell r="BP188">
            <v>-3424</v>
          </cell>
          <cell r="BQ188">
            <v>0</v>
          </cell>
          <cell r="BR188">
            <v>0</v>
          </cell>
          <cell r="BS188">
            <v>0</v>
          </cell>
          <cell r="BT188">
            <v>38888308</v>
          </cell>
          <cell r="BU188">
            <v>456786</v>
          </cell>
          <cell r="BV188">
            <v>1434265</v>
          </cell>
          <cell r="BW188">
            <v>-747387</v>
          </cell>
          <cell r="BX188">
            <v>-2050170</v>
          </cell>
          <cell r="BY188">
            <v>-1852573</v>
          </cell>
          <cell r="BZ188">
            <v>37523925</v>
          </cell>
          <cell r="CA188">
            <v>-1025085</v>
          </cell>
          <cell r="CB188">
            <v>-820067</v>
          </cell>
          <cell r="CC188">
            <v>-205018</v>
          </cell>
          <cell r="CD188">
            <v>0</v>
          </cell>
          <cell r="CE188">
            <v>-926287</v>
          </cell>
          <cell r="CF188">
            <v>-741029</v>
          </cell>
          <cell r="CG188">
            <v>-185257</v>
          </cell>
          <cell r="CH188">
            <v>0</v>
          </cell>
        </row>
        <row r="189">
          <cell r="A189">
            <v>182</v>
          </cell>
          <cell r="B189" t="str">
            <v>North Kesteven</v>
          </cell>
          <cell r="C189" t="str">
            <v>E2534</v>
          </cell>
          <cell r="D189">
            <v>124359</v>
          </cell>
          <cell r="H189">
            <v>980617</v>
          </cell>
          <cell r="I189">
            <v>0</v>
          </cell>
          <cell r="J189">
            <v>124359</v>
          </cell>
          <cell r="K189">
            <v>0</v>
          </cell>
          <cell r="L189">
            <v>1343536</v>
          </cell>
          <cell r="M189">
            <v>123490</v>
          </cell>
          <cell r="N189">
            <v>0</v>
          </cell>
          <cell r="O189">
            <v>0</v>
          </cell>
          <cell r="P189">
            <v>0</v>
          </cell>
          <cell r="Q189">
            <v>0</v>
          </cell>
          <cell r="R189">
            <v>601182</v>
          </cell>
          <cell r="S189">
            <v>150296</v>
          </cell>
          <cell r="T189">
            <v>0</v>
          </cell>
          <cell r="U189">
            <v>2957</v>
          </cell>
          <cell r="V189">
            <v>739</v>
          </cell>
          <cell r="W189">
            <v>0</v>
          </cell>
          <cell r="X189">
            <v>31218</v>
          </cell>
          <cell r="Y189">
            <v>7805</v>
          </cell>
          <cell r="Z189">
            <v>0</v>
          </cell>
          <cell r="AA189">
            <v>493</v>
          </cell>
          <cell r="AB189">
            <v>123</v>
          </cell>
          <cell r="AC189">
            <v>0</v>
          </cell>
          <cell r="AD189">
            <v>0</v>
          </cell>
          <cell r="AE189">
            <v>0</v>
          </cell>
          <cell r="AF189">
            <v>0</v>
          </cell>
          <cell r="AG189">
            <v>0</v>
          </cell>
          <cell r="AH189">
            <v>0</v>
          </cell>
          <cell r="AI189">
            <v>0</v>
          </cell>
          <cell r="AM189">
            <v>0</v>
          </cell>
          <cell r="AN189">
            <v>0</v>
          </cell>
          <cell r="AO189">
            <v>0</v>
          </cell>
          <cell r="AP189">
            <v>166896</v>
          </cell>
          <cell r="AQ189">
            <v>38533</v>
          </cell>
          <cell r="AR189">
            <v>0</v>
          </cell>
          <cell r="AS189">
            <v>-85097</v>
          </cell>
          <cell r="AT189">
            <v>-68077</v>
          </cell>
          <cell r="AU189">
            <v>-17018</v>
          </cell>
          <cell r="AV189">
            <v>0</v>
          </cell>
          <cell r="AW189">
            <v>-170192</v>
          </cell>
          <cell r="AX189">
            <v>-1864361</v>
          </cell>
          <cell r="AY189">
            <v>-1491487</v>
          </cell>
          <cell r="AZ189">
            <v>-372872</v>
          </cell>
          <cell r="BA189">
            <v>0</v>
          </cell>
          <cell r="BB189">
            <v>-3728720</v>
          </cell>
          <cell r="BC189">
            <v>24365260</v>
          </cell>
          <cell r="BD189">
            <v>-2467269</v>
          </cell>
          <cell r="BE189">
            <v>666053</v>
          </cell>
          <cell r="BF189">
            <v>0</v>
          </cell>
          <cell r="BG189">
            <v>-1729686</v>
          </cell>
          <cell r="BH189">
            <v>-28905</v>
          </cell>
          <cell r="BI189">
            <v>-45676</v>
          </cell>
          <cell r="BJ189">
            <v>0</v>
          </cell>
          <cell r="BK189">
            <v>-861993</v>
          </cell>
          <cell r="BL189">
            <v>-66247</v>
          </cell>
          <cell r="BM189">
            <v>-16795</v>
          </cell>
          <cell r="BN189">
            <v>0</v>
          </cell>
          <cell r="BO189">
            <v>-6803</v>
          </cell>
          <cell r="BP189">
            <v>0</v>
          </cell>
          <cell r="BQ189">
            <v>-63757</v>
          </cell>
          <cell r="BR189">
            <v>0</v>
          </cell>
          <cell r="BS189">
            <v>0</v>
          </cell>
          <cell r="BT189">
            <v>26262384</v>
          </cell>
          <cell r="BU189">
            <v>-170675</v>
          </cell>
          <cell r="BV189">
            <v>643302</v>
          </cell>
          <cell r="BW189">
            <v>-732484</v>
          </cell>
          <cell r="BX189">
            <v>-1934338</v>
          </cell>
          <cell r="BY189">
            <v>-2047932</v>
          </cell>
          <cell r="BZ189">
            <v>24417379</v>
          </cell>
          <cell r="CA189">
            <v>-967169</v>
          </cell>
          <cell r="CB189">
            <v>-773735</v>
          </cell>
          <cell r="CC189">
            <v>-193434</v>
          </cell>
          <cell r="CD189">
            <v>0</v>
          </cell>
          <cell r="CE189">
            <v>-1023966</v>
          </cell>
          <cell r="CF189">
            <v>-819173</v>
          </cell>
          <cell r="CG189">
            <v>-204793</v>
          </cell>
          <cell r="CH189">
            <v>0</v>
          </cell>
        </row>
        <row r="190">
          <cell r="A190">
            <v>183</v>
          </cell>
          <cell r="B190" t="str">
            <v>North Lincolnshire</v>
          </cell>
          <cell r="C190" t="str">
            <v>E2004</v>
          </cell>
          <cell r="D190">
            <v>238111</v>
          </cell>
          <cell r="H190">
            <v>-9453163</v>
          </cell>
          <cell r="I190">
            <v>-56618</v>
          </cell>
          <cell r="J190">
            <v>238111</v>
          </cell>
          <cell r="K190">
            <v>192429</v>
          </cell>
          <cell r="L190">
            <v>2477234</v>
          </cell>
          <cell r="M190">
            <v>0</v>
          </cell>
          <cell r="N190">
            <v>0</v>
          </cell>
          <cell r="O190">
            <v>0</v>
          </cell>
          <cell r="P190">
            <v>0</v>
          </cell>
          <cell r="Q190">
            <v>0</v>
          </cell>
          <cell r="R190">
            <v>1135210</v>
          </cell>
          <cell r="S190">
            <v>0</v>
          </cell>
          <cell r="T190">
            <v>22872</v>
          </cell>
          <cell r="U190">
            <v>14168</v>
          </cell>
          <cell r="V190">
            <v>0</v>
          </cell>
          <cell r="W190">
            <v>289</v>
          </cell>
          <cell r="X190">
            <v>8710</v>
          </cell>
          <cell r="Y190">
            <v>0</v>
          </cell>
          <cell r="Z190">
            <v>178</v>
          </cell>
          <cell r="AA190">
            <v>43787</v>
          </cell>
          <cell r="AB190">
            <v>0</v>
          </cell>
          <cell r="AC190">
            <v>894</v>
          </cell>
          <cell r="AD190">
            <v>0</v>
          </cell>
          <cell r="AE190">
            <v>0</v>
          </cell>
          <cell r="AF190">
            <v>0</v>
          </cell>
          <cell r="AG190">
            <v>0</v>
          </cell>
          <cell r="AH190">
            <v>0</v>
          </cell>
          <cell r="AI190">
            <v>0</v>
          </cell>
          <cell r="AM190">
            <v>0</v>
          </cell>
          <cell r="AN190">
            <v>0</v>
          </cell>
          <cell r="AO190">
            <v>0</v>
          </cell>
          <cell r="AP190">
            <v>602851</v>
          </cell>
          <cell r="AQ190">
            <v>0</v>
          </cell>
          <cell r="AR190">
            <v>11485</v>
          </cell>
          <cell r="AS190">
            <v>-872000</v>
          </cell>
          <cell r="AT190">
            <v>-854560</v>
          </cell>
          <cell r="AU190">
            <v>0</v>
          </cell>
          <cell r="AV190">
            <v>-17440</v>
          </cell>
          <cell r="AW190">
            <v>-1744000</v>
          </cell>
          <cell r="AX190">
            <v>-4928501</v>
          </cell>
          <cell r="AY190">
            <v>-4829930</v>
          </cell>
          <cell r="AZ190">
            <v>0</v>
          </cell>
          <cell r="BA190">
            <v>-98569</v>
          </cell>
          <cell r="BB190">
            <v>-9857000</v>
          </cell>
          <cell r="BC190">
            <v>82764253</v>
          </cell>
          <cell r="BD190">
            <v>-3731414</v>
          </cell>
          <cell r="BE190">
            <v>2461850</v>
          </cell>
          <cell r="BF190">
            <v>0</v>
          </cell>
          <cell r="BG190">
            <v>-2423743</v>
          </cell>
          <cell r="BH190">
            <v>-38836</v>
          </cell>
          <cell r="BI190">
            <v>-23585</v>
          </cell>
          <cell r="BJ190">
            <v>-97355</v>
          </cell>
          <cell r="BK190">
            <v>-4544424</v>
          </cell>
          <cell r="BL190">
            <v>-80812</v>
          </cell>
          <cell r="BM190">
            <v>-136434</v>
          </cell>
          <cell r="BN190">
            <v>-3254</v>
          </cell>
          <cell r="BO190">
            <v>-23475</v>
          </cell>
          <cell r="BP190">
            <v>-5144</v>
          </cell>
          <cell r="BQ190">
            <v>0</v>
          </cell>
          <cell r="BR190">
            <v>0</v>
          </cell>
          <cell r="BS190">
            <v>0</v>
          </cell>
          <cell r="BT190">
            <v>90839152</v>
          </cell>
          <cell r="BU190">
            <v>-831341</v>
          </cell>
          <cell r="BV190">
            <v>4093686</v>
          </cell>
          <cell r="BW190">
            <v>-258032</v>
          </cell>
          <cell r="BX190">
            <v>-9184108</v>
          </cell>
          <cell r="BY190">
            <v>-2644087</v>
          </cell>
          <cell r="BZ190">
            <v>76455045</v>
          </cell>
          <cell r="CA190">
            <v>-4592054</v>
          </cell>
          <cell r="CB190">
            <v>-4500213</v>
          </cell>
          <cell r="CC190">
            <v>0</v>
          </cell>
          <cell r="CD190">
            <v>-91841</v>
          </cell>
          <cell r="CE190">
            <v>-1322043</v>
          </cell>
          <cell r="CF190">
            <v>-1295603</v>
          </cell>
          <cell r="CG190">
            <v>0</v>
          </cell>
          <cell r="CH190">
            <v>-26441</v>
          </cell>
        </row>
        <row r="191">
          <cell r="A191">
            <v>184</v>
          </cell>
          <cell r="B191" t="str">
            <v>North Norfolk</v>
          </cell>
          <cell r="C191" t="str">
            <v>E2635</v>
          </cell>
          <cell r="D191">
            <v>247838</v>
          </cell>
          <cell r="H191">
            <v>2489097</v>
          </cell>
          <cell r="I191">
            <v>17091</v>
          </cell>
          <cell r="J191">
            <v>247838</v>
          </cell>
          <cell r="K191">
            <v>17091</v>
          </cell>
          <cell r="L191">
            <v>592645</v>
          </cell>
          <cell r="M191">
            <v>0</v>
          </cell>
          <cell r="N191">
            <v>26737</v>
          </cell>
          <cell r="O191">
            <v>26737</v>
          </cell>
          <cell r="P191">
            <v>0</v>
          </cell>
          <cell r="Q191">
            <v>0</v>
          </cell>
          <cell r="R191">
            <v>1133906</v>
          </cell>
          <cell r="S191">
            <v>283477</v>
          </cell>
          <cell r="T191">
            <v>0</v>
          </cell>
          <cell r="U191">
            <v>317</v>
          </cell>
          <cell r="V191">
            <v>79</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M191">
            <v>0</v>
          </cell>
          <cell r="AN191">
            <v>0</v>
          </cell>
          <cell r="AO191">
            <v>0</v>
          </cell>
          <cell r="AP191">
            <v>161173</v>
          </cell>
          <cell r="AQ191">
            <v>37903</v>
          </cell>
          <cell r="AR191">
            <v>0</v>
          </cell>
          <cell r="AS191">
            <v>-95084</v>
          </cell>
          <cell r="AT191">
            <v>-76067</v>
          </cell>
          <cell r="AU191">
            <v>-19016</v>
          </cell>
          <cell r="AV191">
            <v>0</v>
          </cell>
          <cell r="AW191">
            <v>-190167</v>
          </cell>
          <cell r="AX191">
            <v>-953698</v>
          </cell>
          <cell r="AY191">
            <v>-762957</v>
          </cell>
          <cell r="AZ191">
            <v>-190738</v>
          </cell>
          <cell r="BA191">
            <v>0</v>
          </cell>
          <cell r="BB191">
            <v>-1907393</v>
          </cell>
          <cell r="BC191">
            <v>24769334</v>
          </cell>
          <cell r="BD191">
            <v>-4749464</v>
          </cell>
          <cell r="BE191">
            <v>599061</v>
          </cell>
          <cell r="BF191">
            <v>0</v>
          </cell>
          <cell r="BG191">
            <v>-1771567</v>
          </cell>
          <cell r="BH191">
            <v>-39044</v>
          </cell>
          <cell r="BI191">
            <v>-101438</v>
          </cell>
          <cell r="BJ191">
            <v>-31191</v>
          </cell>
          <cell r="BK191">
            <v>-403938</v>
          </cell>
          <cell r="BL191">
            <v>-5491</v>
          </cell>
          <cell r="BM191">
            <v>0</v>
          </cell>
          <cell r="BN191">
            <v>0</v>
          </cell>
          <cell r="BO191">
            <v>-8403</v>
          </cell>
          <cell r="BP191">
            <v>0</v>
          </cell>
          <cell r="BQ191">
            <v>-76138</v>
          </cell>
          <cell r="BR191">
            <v>-76138</v>
          </cell>
          <cell r="BS191">
            <v>0</v>
          </cell>
          <cell r="BT191">
            <v>25455364</v>
          </cell>
          <cell r="BU191">
            <v>-48275</v>
          </cell>
          <cell r="BV191">
            <v>331919</v>
          </cell>
          <cell r="BW191">
            <v>-284576</v>
          </cell>
          <cell r="BX191">
            <v>-623940</v>
          </cell>
          <cell r="BY191">
            <v>-483061</v>
          </cell>
          <cell r="BZ191">
            <v>25232572</v>
          </cell>
          <cell r="CA191">
            <v>-311971</v>
          </cell>
          <cell r="CB191">
            <v>-249575</v>
          </cell>
          <cell r="CC191">
            <v>-62394</v>
          </cell>
          <cell r="CD191">
            <v>0</v>
          </cell>
          <cell r="CE191">
            <v>-241531</v>
          </cell>
          <cell r="CF191">
            <v>-193224</v>
          </cell>
          <cell r="CG191">
            <v>-48306</v>
          </cell>
          <cell r="CH191">
            <v>0</v>
          </cell>
        </row>
        <row r="192">
          <cell r="A192">
            <v>185</v>
          </cell>
          <cell r="B192" t="str">
            <v>North Somerset</v>
          </cell>
          <cell r="C192" t="str">
            <v>E0104</v>
          </cell>
          <cell r="D192">
            <v>261366</v>
          </cell>
          <cell r="H192">
            <v>-1597119</v>
          </cell>
          <cell r="I192">
            <v>-95317</v>
          </cell>
          <cell r="J192">
            <v>261366</v>
          </cell>
          <cell r="K192">
            <v>490850</v>
          </cell>
          <cell r="L192">
            <v>91443</v>
          </cell>
          <cell r="M192">
            <v>0</v>
          </cell>
          <cell r="N192">
            <v>0</v>
          </cell>
          <cell r="O192">
            <v>0</v>
          </cell>
          <cell r="P192">
            <v>0</v>
          </cell>
          <cell r="Q192">
            <v>0</v>
          </cell>
          <cell r="R192">
            <v>1594711</v>
          </cell>
          <cell r="S192">
            <v>0</v>
          </cell>
          <cell r="T192">
            <v>31620</v>
          </cell>
          <cell r="U192">
            <v>9929</v>
          </cell>
          <cell r="V192">
            <v>0</v>
          </cell>
          <cell r="W192">
            <v>203</v>
          </cell>
          <cell r="X192">
            <v>0</v>
          </cell>
          <cell r="Y192">
            <v>0</v>
          </cell>
          <cell r="Z192">
            <v>0</v>
          </cell>
          <cell r="AA192">
            <v>0</v>
          </cell>
          <cell r="AB192">
            <v>0</v>
          </cell>
          <cell r="AC192">
            <v>0</v>
          </cell>
          <cell r="AD192">
            <v>0</v>
          </cell>
          <cell r="AE192">
            <v>0</v>
          </cell>
          <cell r="AF192">
            <v>0</v>
          </cell>
          <cell r="AG192">
            <v>0</v>
          </cell>
          <cell r="AH192">
            <v>0</v>
          </cell>
          <cell r="AI192">
            <v>0</v>
          </cell>
          <cell r="AM192">
            <v>0</v>
          </cell>
          <cell r="AN192">
            <v>0</v>
          </cell>
          <cell r="AO192">
            <v>0</v>
          </cell>
          <cell r="AP192">
            <v>444562</v>
          </cell>
          <cell r="AQ192">
            <v>0</v>
          </cell>
          <cell r="AR192">
            <v>8644</v>
          </cell>
          <cell r="AS192">
            <v>-1047065.3</v>
          </cell>
          <cell r="AT192">
            <v>-1026127</v>
          </cell>
          <cell r="AU192">
            <v>0</v>
          </cell>
          <cell r="AV192">
            <v>-20943</v>
          </cell>
          <cell r="AW192">
            <v>-2094135.2999999998</v>
          </cell>
          <cell r="AX192">
            <v>-1542149.4</v>
          </cell>
          <cell r="AY192">
            <v>-1511305</v>
          </cell>
          <cell r="AZ192">
            <v>0</v>
          </cell>
          <cell r="BA192">
            <v>-30842</v>
          </cell>
          <cell r="BB192">
            <v>-3084296.4</v>
          </cell>
          <cell r="BC192">
            <v>62033798</v>
          </cell>
          <cell r="BD192">
            <v>-4238007</v>
          </cell>
          <cell r="BE192">
            <v>1659191</v>
          </cell>
          <cell r="BF192">
            <v>0</v>
          </cell>
          <cell r="BG192">
            <v>-4902324</v>
          </cell>
          <cell r="BH192">
            <v>-112559</v>
          </cell>
          <cell r="BI192">
            <v>-11816</v>
          </cell>
          <cell r="BJ192">
            <v>-1116</v>
          </cell>
          <cell r="BK192">
            <v>-2415298</v>
          </cell>
          <cell r="BL192">
            <v>-73164</v>
          </cell>
          <cell r="BM192">
            <v>-457859</v>
          </cell>
          <cell r="BN192">
            <v>0</v>
          </cell>
          <cell r="BO192">
            <v>-3176</v>
          </cell>
          <cell r="BP192">
            <v>-1502</v>
          </cell>
          <cell r="BQ192">
            <v>0</v>
          </cell>
          <cell r="BR192">
            <v>0</v>
          </cell>
          <cell r="BS192">
            <v>0</v>
          </cell>
          <cell r="BT192">
            <v>62374252</v>
          </cell>
          <cell r="BU192">
            <v>-385719</v>
          </cell>
          <cell r="BV192">
            <v>4181107</v>
          </cell>
          <cell r="BW192">
            <v>-1809571</v>
          </cell>
          <cell r="BX192">
            <v>990010</v>
          </cell>
          <cell r="BY192">
            <v>971579</v>
          </cell>
          <cell r="BZ192">
            <v>57543172</v>
          </cell>
          <cell r="CA192">
            <v>495005</v>
          </cell>
          <cell r="CB192">
            <v>485105</v>
          </cell>
          <cell r="CC192">
            <v>0</v>
          </cell>
          <cell r="CD192">
            <v>9900</v>
          </cell>
          <cell r="CE192">
            <v>485789</v>
          </cell>
          <cell r="CF192">
            <v>476074</v>
          </cell>
          <cell r="CG192">
            <v>0</v>
          </cell>
          <cell r="CH192">
            <v>9716</v>
          </cell>
        </row>
        <row r="193">
          <cell r="A193">
            <v>186</v>
          </cell>
          <cell r="B193" t="str">
            <v>North Tyneside</v>
          </cell>
          <cell r="C193" t="str">
            <v>E4503</v>
          </cell>
          <cell r="D193">
            <v>226812</v>
          </cell>
          <cell r="H193">
            <v>-2568893</v>
          </cell>
          <cell r="I193">
            <v>13872</v>
          </cell>
          <cell r="J193">
            <v>226812</v>
          </cell>
          <cell r="K193">
            <v>163744</v>
          </cell>
          <cell r="L193">
            <v>0</v>
          </cell>
          <cell r="M193">
            <v>0</v>
          </cell>
          <cell r="N193">
            <v>10109</v>
          </cell>
          <cell r="O193">
            <v>10109</v>
          </cell>
          <cell r="P193">
            <v>0</v>
          </cell>
          <cell r="Q193">
            <v>0</v>
          </cell>
          <cell r="R193">
            <v>1263368</v>
          </cell>
          <cell r="S193">
            <v>0</v>
          </cell>
          <cell r="T193">
            <v>25654</v>
          </cell>
          <cell r="U193">
            <v>3441</v>
          </cell>
          <cell r="V193">
            <v>0</v>
          </cell>
          <cell r="W193">
            <v>70</v>
          </cell>
          <cell r="X193">
            <v>0</v>
          </cell>
          <cell r="Y193">
            <v>0</v>
          </cell>
          <cell r="Z193">
            <v>0</v>
          </cell>
          <cell r="AA193">
            <v>1017</v>
          </cell>
          <cell r="AB193">
            <v>0</v>
          </cell>
          <cell r="AC193">
            <v>21</v>
          </cell>
          <cell r="AD193">
            <v>0</v>
          </cell>
          <cell r="AE193">
            <v>0</v>
          </cell>
          <cell r="AF193">
            <v>0</v>
          </cell>
          <cell r="AG193">
            <v>0</v>
          </cell>
          <cell r="AH193">
            <v>0</v>
          </cell>
          <cell r="AI193">
            <v>0</v>
          </cell>
          <cell r="AM193">
            <v>0</v>
          </cell>
          <cell r="AN193">
            <v>0</v>
          </cell>
          <cell r="AO193">
            <v>0</v>
          </cell>
          <cell r="AP193">
            <v>397920</v>
          </cell>
          <cell r="AQ193">
            <v>0</v>
          </cell>
          <cell r="AR193">
            <v>8068</v>
          </cell>
          <cell r="AS193">
            <v>-1175040</v>
          </cell>
          <cell r="AT193">
            <v>-1151540</v>
          </cell>
          <cell r="AU193">
            <v>0</v>
          </cell>
          <cell r="AV193">
            <v>-23500</v>
          </cell>
          <cell r="AW193">
            <v>-2350080</v>
          </cell>
          <cell r="AX193">
            <v>-1453189</v>
          </cell>
          <cell r="AY193">
            <v>-1424126</v>
          </cell>
          <cell r="AZ193">
            <v>0</v>
          </cell>
          <cell r="BA193">
            <v>-29064</v>
          </cell>
          <cell r="BB193">
            <v>-2906379</v>
          </cell>
          <cell r="BC193">
            <v>59598106</v>
          </cell>
          <cell r="BD193">
            <v>-3845169</v>
          </cell>
          <cell r="BE193">
            <v>1654957</v>
          </cell>
          <cell r="BF193">
            <v>0</v>
          </cell>
          <cell r="BG193">
            <v>-4334251</v>
          </cell>
          <cell r="BH193">
            <v>-59616</v>
          </cell>
          <cell r="BI193">
            <v>0</v>
          </cell>
          <cell r="BJ193">
            <v>-19808</v>
          </cell>
          <cell r="BK193">
            <v>-2578809</v>
          </cell>
          <cell r="BL193">
            <v>-299895</v>
          </cell>
          <cell r="BM193">
            <v>-32013</v>
          </cell>
          <cell r="BN193">
            <v>-14904</v>
          </cell>
          <cell r="BO193">
            <v>0</v>
          </cell>
          <cell r="BP193">
            <v>0</v>
          </cell>
          <cell r="BQ193">
            <v>-62934</v>
          </cell>
          <cell r="BR193">
            <v>-63845</v>
          </cell>
          <cell r="BS193">
            <v>0</v>
          </cell>
          <cell r="BT193">
            <v>60228296</v>
          </cell>
          <cell r="BU193">
            <v>-1489113</v>
          </cell>
          <cell r="BV193">
            <v>5331335</v>
          </cell>
          <cell r="BW193">
            <v>-1669681</v>
          </cell>
          <cell r="BX193">
            <v>-1685417</v>
          </cell>
          <cell r="BY193">
            <v>-1049719</v>
          </cell>
          <cell r="BZ193">
            <v>53706683</v>
          </cell>
          <cell r="CA193">
            <v>-842708</v>
          </cell>
          <cell r="CB193">
            <v>-825854</v>
          </cell>
          <cell r="CC193">
            <v>0</v>
          </cell>
          <cell r="CD193">
            <v>-16855</v>
          </cell>
          <cell r="CE193">
            <v>-524860</v>
          </cell>
          <cell r="CF193">
            <v>-514362</v>
          </cell>
          <cell r="CG193">
            <v>0</v>
          </cell>
          <cell r="CH193">
            <v>-10497</v>
          </cell>
        </row>
        <row r="194">
          <cell r="A194">
            <v>187</v>
          </cell>
          <cell r="B194" t="str">
            <v>North Warwickshire</v>
          </cell>
          <cell r="C194" t="str">
            <v>E3731</v>
          </cell>
          <cell r="D194">
            <v>107553</v>
          </cell>
          <cell r="H194">
            <v>-201874</v>
          </cell>
          <cell r="I194">
            <v>0</v>
          </cell>
          <cell r="J194">
            <v>107553</v>
          </cell>
          <cell r="K194">
            <v>0</v>
          </cell>
          <cell r="L194">
            <v>0</v>
          </cell>
          <cell r="M194">
            <v>0</v>
          </cell>
          <cell r="N194">
            <v>0</v>
          </cell>
          <cell r="O194">
            <v>0</v>
          </cell>
          <cell r="P194">
            <v>0</v>
          </cell>
          <cell r="Q194">
            <v>0</v>
          </cell>
          <cell r="R194">
            <v>383330</v>
          </cell>
          <cell r="S194">
            <v>95833</v>
          </cell>
          <cell r="T194">
            <v>0</v>
          </cell>
          <cell r="U194">
            <v>5059</v>
          </cell>
          <cell r="V194">
            <v>1265</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M194">
            <v>0</v>
          </cell>
          <cell r="AN194">
            <v>0</v>
          </cell>
          <cell r="AO194">
            <v>0</v>
          </cell>
          <cell r="AP194">
            <v>258967</v>
          </cell>
          <cell r="AQ194">
            <v>64742</v>
          </cell>
          <cell r="AR194">
            <v>0</v>
          </cell>
          <cell r="AS194">
            <v>-36064</v>
          </cell>
          <cell r="AT194">
            <v>-28852</v>
          </cell>
          <cell r="AU194">
            <v>-7214</v>
          </cell>
          <cell r="AV194">
            <v>0</v>
          </cell>
          <cell r="AW194">
            <v>-72130</v>
          </cell>
          <cell r="AX194">
            <v>-2508662</v>
          </cell>
          <cell r="AY194">
            <v>-2006930</v>
          </cell>
          <cell r="AZ194">
            <v>-501731</v>
          </cell>
          <cell r="BA194">
            <v>0</v>
          </cell>
          <cell r="BB194">
            <v>-5017323</v>
          </cell>
          <cell r="BC194">
            <v>44032087</v>
          </cell>
          <cell r="BD194">
            <v>-1460706</v>
          </cell>
          <cell r="BE194">
            <v>1170090</v>
          </cell>
          <cell r="BF194">
            <v>0</v>
          </cell>
          <cell r="BG194">
            <v>-850182</v>
          </cell>
          <cell r="BH194">
            <v>-27325</v>
          </cell>
          <cell r="BI194">
            <v>-15763</v>
          </cell>
          <cell r="BJ194">
            <v>0</v>
          </cell>
          <cell r="BK194">
            <v>-1171618</v>
          </cell>
          <cell r="BL194">
            <v>-29371</v>
          </cell>
          <cell r="BM194">
            <v>-4440</v>
          </cell>
          <cell r="BN194">
            <v>-2097</v>
          </cell>
          <cell r="BO194">
            <v>0</v>
          </cell>
          <cell r="BP194">
            <v>-4820</v>
          </cell>
          <cell r="BQ194">
            <v>0</v>
          </cell>
          <cell r="BR194">
            <v>0</v>
          </cell>
          <cell r="BS194">
            <v>0</v>
          </cell>
          <cell r="BT194">
            <v>43695012</v>
          </cell>
          <cell r="BU194">
            <v>-170692</v>
          </cell>
          <cell r="BV194">
            <v>298890</v>
          </cell>
          <cell r="BW194">
            <v>-42748</v>
          </cell>
          <cell r="BX194">
            <v>-52571</v>
          </cell>
          <cell r="BY194">
            <v>-1463754</v>
          </cell>
          <cell r="BZ194">
            <v>43099527</v>
          </cell>
          <cell r="CA194">
            <v>-26287</v>
          </cell>
          <cell r="CB194">
            <v>-21028</v>
          </cell>
          <cell r="CC194">
            <v>-5256</v>
          </cell>
          <cell r="CD194">
            <v>0</v>
          </cell>
          <cell r="CE194">
            <v>-731877</v>
          </cell>
          <cell r="CF194">
            <v>-585502</v>
          </cell>
          <cell r="CG194">
            <v>-146375</v>
          </cell>
          <cell r="CH194">
            <v>0</v>
          </cell>
        </row>
        <row r="195">
          <cell r="A195">
            <v>188</v>
          </cell>
          <cell r="B195" t="str">
            <v>North West Leicestershire</v>
          </cell>
          <cell r="C195" t="str">
            <v>E2437</v>
          </cell>
          <cell r="D195">
            <v>145430</v>
          </cell>
          <cell r="H195">
            <v>569088</v>
          </cell>
          <cell r="I195">
            <v>0</v>
          </cell>
          <cell r="J195">
            <v>145430</v>
          </cell>
          <cell r="K195">
            <v>0</v>
          </cell>
          <cell r="L195">
            <v>172754</v>
          </cell>
          <cell r="M195">
            <v>0</v>
          </cell>
          <cell r="N195">
            <v>0</v>
          </cell>
          <cell r="O195">
            <v>0</v>
          </cell>
          <cell r="P195">
            <v>0</v>
          </cell>
          <cell r="Q195">
            <v>0</v>
          </cell>
          <cell r="R195">
            <v>502073</v>
          </cell>
          <cell r="S195">
            <v>112966</v>
          </cell>
          <cell r="T195">
            <v>12552</v>
          </cell>
          <cell r="U195">
            <v>4007</v>
          </cell>
          <cell r="V195">
            <v>901</v>
          </cell>
          <cell r="W195">
            <v>100</v>
          </cell>
          <cell r="X195">
            <v>30451</v>
          </cell>
          <cell r="Y195">
            <v>6851</v>
          </cell>
          <cell r="Z195">
            <v>761</v>
          </cell>
          <cell r="AA195">
            <v>0</v>
          </cell>
          <cell r="AB195">
            <v>0</v>
          </cell>
          <cell r="AC195">
            <v>0</v>
          </cell>
          <cell r="AD195">
            <v>0</v>
          </cell>
          <cell r="AE195">
            <v>0</v>
          </cell>
          <cell r="AF195">
            <v>0</v>
          </cell>
          <cell r="AG195">
            <v>0</v>
          </cell>
          <cell r="AH195">
            <v>0</v>
          </cell>
          <cell r="AI195">
            <v>0</v>
          </cell>
          <cell r="AM195">
            <v>0</v>
          </cell>
          <cell r="AN195">
            <v>0</v>
          </cell>
          <cell r="AO195">
            <v>0</v>
          </cell>
          <cell r="AP195">
            <v>348113</v>
          </cell>
          <cell r="AQ195">
            <v>77742</v>
          </cell>
          <cell r="AR195">
            <v>8638</v>
          </cell>
          <cell r="AS195">
            <v>-129861.91999999998</v>
          </cell>
          <cell r="AT195">
            <v>-103887</v>
          </cell>
          <cell r="AU195">
            <v>-23374</v>
          </cell>
          <cell r="AV195">
            <v>-2597</v>
          </cell>
          <cell r="AW195">
            <v>-259719.92000000004</v>
          </cell>
          <cell r="AX195">
            <v>-4275695</v>
          </cell>
          <cell r="AY195">
            <v>-3420558</v>
          </cell>
          <cell r="AZ195">
            <v>-769625</v>
          </cell>
          <cell r="BA195">
            <v>-85514</v>
          </cell>
          <cell r="BB195">
            <v>-8551392</v>
          </cell>
          <cell r="BC195">
            <v>52006617</v>
          </cell>
          <cell r="BD195">
            <v>-2050166</v>
          </cell>
          <cell r="BE195">
            <v>1415391</v>
          </cell>
          <cell r="BF195">
            <v>0</v>
          </cell>
          <cell r="BG195">
            <v>-1449412</v>
          </cell>
          <cell r="BH195">
            <v>-22305</v>
          </cell>
          <cell r="BI195">
            <v>-12424</v>
          </cell>
          <cell r="BJ195">
            <v>-282958</v>
          </cell>
          <cell r="BK195">
            <v>-1091743</v>
          </cell>
          <cell r="BL195">
            <v>-58504</v>
          </cell>
          <cell r="BM195">
            <v>-84312</v>
          </cell>
          <cell r="BN195">
            <v>-1311</v>
          </cell>
          <cell r="BO195">
            <v>-12424</v>
          </cell>
          <cell r="BP195">
            <v>-240</v>
          </cell>
          <cell r="BQ195">
            <v>0</v>
          </cell>
          <cell r="BR195">
            <v>0</v>
          </cell>
          <cell r="BS195">
            <v>0</v>
          </cell>
          <cell r="BT195">
            <v>54288547</v>
          </cell>
          <cell r="BU195">
            <v>-368895</v>
          </cell>
          <cell r="BV195">
            <v>464780</v>
          </cell>
          <cell r="BW195">
            <v>-1495957</v>
          </cell>
          <cell r="BX195">
            <v>-181752</v>
          </cell>
          <cell r="BY195">
            <v>1482297</v>
          </cell>
          <cell r="BZ195">
            <v>57504060</v>
          </cell>
          <cell r="CA195">
            <v>-90877</v>
          </cell>
          <cell r="CB195">
            <v>-72700</v>
          </cell>
          <cell r="CC195">
            <v>-16358</v>
          </cell>
          <cell r="CD195">
            <v>-1817</v>
          </cell>
          <cell r="CE195">
            <v>741148</v>
          </cell>
          <cell r="CF195">
            <v>592919</v>
          </cell>
          <cell r="CG195">
            <v>133407</v>
          </cell>
          <cell r="CH195">
            <v>14823</v>
          </cell>
        </row>
        <row r="196">
          <cell r="A196">
            <v>189</v>
          </cell>
          <cell r="B196" t="str">
            <v>Northampton</v>
          </cell>
          <cell r="C196" t="str">
            <v>E2835</v>
          </cell>
          <cell r="D196">
            <v>282973</v>
          </cell>
          <cell r="H196">
            <v>-4345399</v>
          </cell>
          <cell r="I196">
            <v>-340892</v>
          </cell>
          <cell r="J196">
            <v>282973</v>
          </cell>
          <cell r="K196">
            <v>0</v>
          </cell>
          <cell r="L196">
            <v>0</v>
          </cell>
          <cell r="M196">
            <v>0</v>
          </cell>
          <cell r="N196">
            <v>1197743</v>
          </cell>
          <cell r="O196">
            <v>1197743</v>
          </cell>
          <cell r="P196">
            <v>0</v>
          </cell>
          <cell r="Q196">
            <v>0</v>
          </cell>
          <cell r="R196">
            <v>1023779</v>
          </cell>
          <cell r="S196">
            <v>243112</v>
          </cell>
          <cell r="T196">
            <v>0</v>
          </cell>
          <cell r="U196">
            <v>0</v>
          </cell>
          <cell r="V196">
            <v>0</v>
          </cell>
          <cell r="W196">
            <v>0</v>
          </cell>
          <cell r="X196">
            <v>0</v>
          </cell>
          <cell r="Y196">
            <v>0</v>
          </cell>
          <cell r="Z196">
            <v>0</v>
          </cell>
          <cell r="AA196">
            <v>18670</v>
          </cell>
          <cell r="AB196">
            <v>4667</v>
          </cell>
          <cell r="AC196">
            <v>0</v>
          </cell>
          <cell r="AD196">
            <v>0</v>
          </cell>
          <cell r="AE196">
            <v>0</v>
          </cell>
          <cell r="AF196">
            <v>0</v>
          </cell>
          <cell r="AG196">
            <v>0</v>
          </cell>
          <cell r="AH196">
            <v>0</v>
          </cell>
          <cell r="AI196">
            <v>0</v>
          </cell>
          <cell r="AM196">
            <v>0</v>
          </cell>
          <cell r="AN196">
            <v>0</v>
          </cell>
          <cell r="AO196">
            <v>0</v>
          </cell>
          <cell r="AP196">
            <v>571959</v>
          </cell>
          <cell r="AQ196">
            <v>138492</v>
          </cell>
          <cell r="AR196">
            <v>0</v>
          </cell>
          <cell r="AS196">
            <v>-309998.73</v>
          </cell>
          <cell r="AT196">
            <v>-248000</v>
          </cell>
          <cell r="AU196">
            <v>-61999</v>
          </cell>
          <cell r="AV196">
            <v>0</v>
          </cell>
          <cell r="AW196">
            <v>-619997.73</v>
          </cell>
          <cell r="AX196">
            <v>-5933485.4000000004</v>
          </cell>
          <cell r="AY196">
            <v>-4746789</v>
          </cell>
          <cell r="AZ196">
            <v>-1186696</v>
          </cell>
          <cell r="BA196">
            <v>0</v>
          </cell>
          <cell r="BB196">
            <v>-11866970.4</v>
          </cell>
          <cell r="BC196">
            <v>99208551</v>
          </cell>
          <cell r="BD196">
            <v>-3757024</v>
          </cell>
          <cell r="BE196">
            <v>2859367</v>
          </cell>
          <cell r="BF196">
            <v>0</v>
          </cell>
          <cell r="BG196">
            <v>-7125437</v>
          </cell>
          <cell r="BH196">
            <v>-15904</v>
          </cell>
          <cell r="BI196">
            <v>0</v>
          </cell>
          <cell r="BJ196">
            <v>-213324</v>
          </cell>
          <cell r="BK196">
            <v>-3280481</v>
          </cell>
          <cell r="BL196">
            <v>-237158</v>
          </cell>
          <cell r="BM196">
            <v>-241592</v>
          </cell>
          <cell r="BN196">
            <v>-2982</v>
          </cell>
          <cell r="BO196">
            <v>0</v>
          </cell>
          <cell r="BP196">
            <v>0</v>
          </cell>
          <cell r="BQ196">
            <v>-2036907</v>
          </cell>
          <cell r="BR196">
            <v>-1977530</v>
          </cell>
          <cell r="BS196">
            <v>0</v>
          </cell>
          <cell r="BT196">
            <v>103585253</v>
          </cell>
          <cell r="BU196">
            <v>-580143</v>
          </cell>
          <cell r="BV196">
            <v>4992120</v>
          </cell>
          <cell r="BW196">
            <v>-1867038</v>
          </cell>
          <cell r="BX196">
            <v>-4104556</v>
          </cell>
          <cell r="BY196">
            <v>-2798792</v>
          </cell>
          <cell r="BZ196">
            <v>92195950</v>
          </cell>
          <cell r="CA196">
            <v>-2052278</v>
          </cell>
          <cell r="CB196">
            <v>-1641822</v>
          </cell>
          <cell r="CC196">
            <v>-410456</v>
          </cell>
          <cell r="CD196">
            <v>0</v>
          </cell>
          <cell r="CE196">
            <v>-1399396</v>
          </cell>
          <cell r="CF196">
            <v>-1119517</v>
          </cell>
          <cell r="CG196">
            <v>-279879</v>
          </cell>
          <cell r="CH196">
            <v>0</v>
          </cell>
        </row>
        <row r="197">
          <cell r="A197">
            <v>190</v>
          </cell>
          <cell r="B197" t="str">
            <v>Northumberland UA</v>
          </cell>
          <cell r="C197" t="str">
            <v>E2901</v>
          </cell>
          <cell r="D197">
            <v>479269</v>
          </cell>
          <cell r="H197">
            <v>1883856</v>
          </cell>
          <cell r="I197">
            <v>29189</v>
          </cell>
          <cell r="J197">
            <v>479269</v>
          </cell>
          <cell r="K197">
            <v>184394</v>
          </cell>
          <cell r="L197">
            <v>1860077</v>
          </cell>
          <cell r="M197">
            <v>0</v>
          </cell>
          <cell r="N197">
            <v>127854</v>
          </cell>
          <cell r="O197">
            <v>127854</v>
          </cell>
          <cell r="P197">
            <v>0</v>
          </cell>
          <cell r="Q197">
            <v>0</v>
          </cell>
          <cell r="R197">
            <v>2639541</v>
          </cell>
          <cell r="S197">
            <v>0</v>
          </cell>
          <cell r="T197">
            <v>0</v>
          </cell>
          <cell r="U197">
            <v>21825</v>
          </cell>
          <cell r="V197">
            <v>0</v>
          </cell>
          <cell r="W197">
            <v>0</v>
          </cell>
          <cell r="X197">
            <v>2538</v>
          </cell>
          <cell r="Y197">
            <v>0</v>
          </cell>
          <cell r="Z197">
            <v>0</v>
          </cell>
          <cell r="AA197">
            <v>10959</v>
          </cell>
          <cell r="AB197">
            <v>0</v>
          </cell>
          <cell r="AC197">
            <v>0</v>
          </cell>
          <cell r="AD197">
            <v>0</v>
          </cell>
          <cell r="AE197">
            <v>0</v>
          </cell>
          <cell r="AF197">
            <v>0</v>
          </cell>
          <cell r="AG197">
            <v>0</v>
          </cell>
          <cell r="AH197">
            <v>0</v>
          </cell>
          <cell r="AI197">
            <v>0</v>
          </cell>
          <cell r="AM197">
            <v>0</v>
          </cell>
          <cell r="AN197">
            <v>0</v>
          </cell>
          <cell r="AO197">
            <v>0</v>
          </cell>
          <cell r="AP197">
            <v>599065</v>
          </cell>
          <cell r="AQ197">
            <v>0</v>
          </cell>
          <cell r="AR197">
            <v>0</v>
          </cell>
          <cell r="AS197">
            <v>-785224.37</v>
          </cell>
          <cell r="AT197">
            <v>-785226</v>
          </cell>
          <cell r="AU197">
            <v>0</v>
          </cell>
          <cell r="AV197">
            <v>0</v>
          </cell>
          <cell r="AW197">
            <v>-1570450.3</v>
          </cell>
          <cell r="AX197">
            <v>-4229296</v>
          </cell>
          <cell r="AY197">
            <v>-4229296</v>
          </cell>
          <cell r="AZ197">
            <v>0</v>
          </cell>
          <cell r="BA197">
            <v>0</v>
          </cell>
          <cell r="BB197">
            <v>-8458592</v>
          </cell>
          <cell r="BC197">
            <v>75700312</v>
          </cell>
          <cell r="BD197">
            <v>-8492487</v>
          </cell>
          <cell r="BE197">
            <v>2079348</v>
          </cell>
          <cell r="BF197">
            <v>0</v>
          </cell>
          <cell r="BG197">
            <v>-6545461</v>
          </cell>
          <cell r="BH197">
            <v>-167873</v>
          </cell>
          <cell r="BI197">
            <v>-89473</v>
          </cell>
          <cell r="BJ197">
            <v>0</v>
          </cell>
          <cell r="BK197">
            <v>-2492563</v>
          </cell>
          <cell r="BL197">
            <v>-697370</v>
          </cell>
          <cell r="BM197">
            <v>-451075</v>
          </cell>
          <cell r="BN197">
            <v>-17351</v>
          </cell>
          <cell r="BO197">
            <v>-18714</v>
          </cell>
          <cell r="BP197">
            <v>-28991</v>
          </cell>
          <cell r="BQ197">
            <v>-141297</v>
          </cell>
          <cell r="BR197">
            <v>-140844</v>
          </cell>
          <cell r="BS197">
            <v>0</v>
          </cell>
          <cell r="BT197">
            <v>79156505</v>
          </cell>
          <cell r="BU197">
            <v>-656608</v>
          </cell>
          <cell r="BV197">
            <v>2874345</v>
          </cell>
          <cell r="BW197">
            <v>-276137</v>
          </cell>
          <cell r="BX197">
            <v>-2338876</v>
          </cell>
          <cell r="BY197">
            <v>-1385811</v>
          </cell>
          <cell r="BZ197">
            <v>75416571</v>
          </cell>
          <cell r="CA197">
            <v>-1169438</v>
          </cell>
          <cell r="CB197">
            <v>-1169438</v>
          </cell>
          <cell r="CC197">
            <v>0</v>
          </cell>
          <cell r="CD197">
            <v>0</v>
          </cell>
          <cell r="CE197">
            <v>-692905</v>
          </cell>
          <cell r="CF197">
            <v>-692906</v>
          </cell>
          <cell r="CG197">
            <v>0</v>
          </cell>
          <cell r="CH197">
            <v>0</v>
          </cell>
        </row>
        <row r="198">
          <cell r="A198">
            <v>191</v>
          </cell>
          <cell r="B198" t="str">
            <v>Norwich</v>
          </cell>
          <cell r="C198" t="str">
            <v>E2636</v>
          </cell>
          <cell r="D198">
            <v>270765</v>
          </cell>
          <cell r="H198">
            <v>-1056118</v>
          </cell>
          <cell r="I198">
            <v>0</v>
          </cell>
          <cell r="J198">
            <v>270765</v>
          </cell>
          <cell r="K198">
            <v>0</v>
          </cell>
          <cell r="L198">
            <v>0</v>
          </cell>
          <cell r="M198">
            <v>0</v>
          </cell>
          <cell r="N198">
            <v>0</v>
          </cell>
          <cell r="O198">
            <v>0</v>
          </cell>
          <cell r="P198">
            <v>0</v>
          </cell>
          <cell r="Q198">
            <v>0</v>
          </cell>
          <cell r="R198">
            <v>973122</v>
          </cell>
          <cell r="S198">
            <v>243280</v>
          </cell>
          <cell r="T198">
            <v>0</v>
          </cell>
          <cell r="U198">
            <v>2839</v>
          </cell>
          <cell r="V198">
            <v>710</v>
          </cell>
          <cell r="W198">
            <v>0</v>
          </cell>
          <cell r="X198">
            <v>0</v>
          </cell>
          <cell r="Y198">
            <v>0</v>
          </cell>
          <cell r="Z198">
            <v>0</v>
          </cell>
          <cell r="AA198">
            <v>24256</v>
          </cell>
          <cell r="AB198">
            <v>6064</v>
          </cell>
          <cell r="AC198">
            <v>0</v>
          </cell>
          <cell r="AD198">
            <v>0</v>
          </cell>
          <cell r="AE198">
            <v>0</v>
          </cell>
          <cell r="AF198">
            <v>0</v>
          </cell>
          <cell r="AG198">
            <v>0</v>
          </cell>
          <cell r="AH198">
            <v>0</v>
          </cell>
          <cell r="AI198">
            <v>0</v>
          </cell>
          <cell r="AM198">
            <v>0</v>
          </cell>
          <cell r="AN198">
            <v>0</v>
          </cell>
          <cell r="AO198">
            <v>0</v>
          </cell>
          <cell r="AP198">
            <v>453196</v>
          </cell>
          <cell r="AQ198">
            <v>113299</v>
          </cell>
          <cell r="AR198">
            <v>0</v>
          </cell>
          <cell r="AS198">
            <v>-1019259</v>
          </cell>
          <cell r="AT198">
            <v>-815406.2</v>
          </cell>
          <cell r="AU198">
            <v>-203851.8</v>
          </cell>
          <cell r="AV198">
            <v>0</v>
          </cell>
          <cell r="AW198">
            <v>-2038517</v>
          </cell>
          <cell r="AX198">
            <v>-2702822</v>
          </cell>
          <cell r="AY198">
            <v>-2162259</v>
          </cell>
          <cell r="AZ198">
            <v>-540565</v>
          </cell>
          <cell r="BA198">
            <v>0</v>
          </cell>
          <cell r="BB198">
            <v>-5405646</v>
          </cell>
          <cell r="BC198">
            <v>77669940</v>
          </cell>
          <cell r="BD198">
            <v>-3573189</v>
          </cell>
          <cell r="BE198">
            <v>2220459</v>
          </cell>
          <cell r="BF198">
            <v>0</v>
          </cell>
          <cell r="BG198">
            <v>-5847834</v>
          </cell>
          <cell r="BH198">
            <v>-24830</v>
          </cell>
          <cell r="BI198">
            <v>0</v>
          </cell>
          <cell r="BJ198">
            <v>-30854</v>
          </cell>
          <cell r="BK198">
            <v>-3861010</v>
          </cell>
          <cell r="BL198">
            <v>-102371</v>
          </cell>
          <cell r="BM198">
            <v>-93123</v>
          </cell>
          <cell r="BN198">
            <v>0</v>
          </cell>
          <cell r="BO198">
            <v>0</v>
          </cell>
          <cell r="BP198">
            <v>0</v>
          </cell>
          <cell r="BQ198">
            <v>0</v>
          </cell>
          <cell r="BR198">
            <v>0</v>
          </cell>
          <cell r="BS198">
            <v>0</v>
          </cell>
          <cell r="BT198">
            <v>80867435</v>
          </cell>
          <cell r="BU198">
            <v>-447552</v>
          </cell>
          <cell r="BV198">
            <v>3514145</v>
          </cell>
          <cell r="BW198">
            <v>-1066217</v>
          </cell>
          <cell r="BX198">
            <v>-122672</v>
          </cell>
          <cell r="BY198">
            <v>-329576</v>
          </cell>
          <cell r="BZ198">
            <v>75424790</v>
          </cell>
          <cell r="CA198">
            <v>-61335</v>
          </cell>
          <cell r="CB198">
            <v>-49069</v>
          </cell>
          <cell r="CC198">
            <v>-12268</v>
          </cell>
          <cell r="CD198">
            <v>0</v>
          </cell>
          <cell r="CE198">
            <v>-164788</v>
          </cell>
          <cell r="CF198">
            <v>-131830</v>
          </cell>
          <cell r="CG198">
            <v>-32958</v>
          </cell>
          <cell r="CH198">
            <v>0</v>
          </cell>
        </row>
        <row r="199">
          <cell r="A199">
            <v>192</v>
          </cell>
          <cell r="B199" t="str">
            <v>Nottingham</v>
          </cell>
          <cell r="C199" t="str">
            <v>E3001</v>
          </cell>
          <cell r="D199">
            <v>493121</v>
          </cell>
          <cell r="H199">
            <v>7340042</v>
          </cell>
          <cell r="I199">
            <v>472695</v>
          </cell>
          <cell r="J199">
            <v>498121</v>
          </cell>
          <cell r="K199">
            <v>0</v>
          </cell>
          <cell r="L199">
            <v>0</v>
          </cell>
          <cell r="M199">
            <v>0</v>
          </cell>
          <cell r="N199">
            <v>0</v>
          </cell>
          <cell r="O199">
            <v>0</v>
          </cell>
          <cell r="P199">
            <v>0</v>
          </cell>
          <cell r="Q199">
            <v>0</v>
          </cell>
          <cell r="R199">
            <v>1960933</v>
          </cell>
          <cell r="S199">
            <v>0</v>
          </cell>
          <cell r="T199">
            <v>35419</v>
          </cell>
          <cell r="U199">
            <v>16433</v>
          </cell>
          <cell r="V199">
            <v>0</v>
          </cell>
          <cell r="W199">
            <v>273</v>
          </cell>
          <cell r="X199">
            <v>0</v>
          </cell>
          <cell r="Y199">
            <v>0</v>
          </cell>
          <cell r="Z199">
            <v>0</v>
          </cell>
          <cell r="AA199">
            <v>6527</v>
          </cell>
          <cell r="AB199">
            <v>0</v>
          </cell>
          <cell r="AC199">
            <v>71</v>
          </cell>
          <cell r="AD199">
            <v>0</v>
          </cell>
          <cell r="AE199">
            <v>0</v>
          </cell>
          <cell r="AF199">
            <v>0</v>
          </cell>
          <cell r="AG199">
            <v>0</v>
          </cell>
          <cell r="AH199">
            <v>0</v>
          </cell>
          <cell r="AI199">
            <v>0</v>
          </cell>
          <cell r="AM199">
            <v>0</v>
          </cell>
          <cell r="AN199">
            <v>0</v>
          </cell>
          <cell r="AO199">
            <v>0</v>
          </cell>
          <cell r="AP199">
            <v>1013783</v>
          </cell>
          <cell r="AQ199">
            <v>0</v>
          </cell>
          <cell r="AR199">
            <v>20689</v>
          </cell>
          <cell r="AS199">
            <v>-3309724</v>
          </cell>
          <cell r="AT199">
            <v>-3243531</v>
          </cell>
          <cell r="AU199">
            <v>0</v>
          </cell>
          <cell r="AV199">
            <v>-66195</v>
          </cell>
          <cell r="AW199">
            <v>-6619450</v>
          </cell>
          <cell r="AX199">
            <v>-9494433</v>
          </cell>
          <cell r="AY199">
            <v>-9304545</v>
          </cell>
          <cell r="AZ199">
            <v>0</v>
          </cell>
          <cell r="BA199">
            <v>-189889</v>
          </cell>
          <cell r="BB199">
            <v>-18988867</v>
          </cell>
          <cell r="BC199">
            <v>132103516</v>
          </cell>
          <cell r="BD199">
            <v>-5909812</v>
          </cell>
          <cell r="BE199">
            <v>3782081</v>
          </cell>
          <cell r="BF199">
            <v>0</v>
          </cell>
          <cell r="BG199">
            <v>-13290357</v>
          </cell>
          <cell r="BH199">
            <v>-66291</v>
          </cell>
          <cell r="BI199">
            <v>0</v>
          </cell>
          <cell r="BJ199">
            <v>-422536</v>
          </cell>
          <cell r="BK199">
            <v>-6186070</v>
          </cell>
          <cell r="BL199">
            <v>-189435</v>
          </cell>
          <cell r="BM199">
            <v>-574528</v>
          </cell>
          <cell r="BN199">
            <v>-845</v>
          </cell>
          <cell r="BO199">
            <v>0</v>
          </cell>
          <cell r="BP199">
            <v>0</v>
          </cell>
          <cell r="BQ199">
            <v>-71608</v>
          </cell>
          <cell r="BR199">
            <v>0</v>
          </cell>
          <cell r="BS199">
            <v>0</v>
          </cell>
          <cell r="BT199">
            <v>131248233</v>
          </cell>
          <cell r="BU199">
            <v>-997600</v>
          </cell>
          <cell r="BV199">
            <v>10735128</v>
          </cell>
          <cell r="BW199">
            <v>-2212665</v>
          </cell>
          <cell r="BX199">
            <v>-6126742</v>
          </cell>
          <cell r="BY199">
            <v>-8587596</v>
          </cell>
          <cell r="BZ199">
            <v>137732616</v>
          </cell>
          <cell r="CA199">
            <v>-3063372</v>
          </cell>
          <cell r="CB199">
            <v>-3002103</v>
          </cell>
          <cell r="CC199">
            <v>0</v>
          </cell>
          <cell r="CD199">
            <v>-61267</v>
          </cell>
          <cell r="CE199">
            <v>-4293798</v>
          </cell>
          <cell r="CF199">
            <v>-4207922</v>
          </cell>
          <cell r="CG199">
            <v>0</v>
          </cell>
          <cell r="CH199">
            <v>-85876</v>
          </cell>
        </row>
        <row r="200">
          <cell r="A200">
            <v>193</v>
          </cell>
          <cell r="B200" t="str">
            <v>Nuneaton and Bedworth</v>
          </cell>
          <cell r="C200" t="str">
            <v>E3732</v>
          </cell>
          <cell r="D200">
            <v>130142</v>
          </cell>
          <cell r="H200">
            <v>-1150933.27</v>
          </cell>
          <cell r="I200">
            <v>0</v>
          </cell>
          <cell r="J200">
            <v>130142</v>
          </cell>
          <cell r="K200">
            <v>0</v>
          </cell>
          <cell r="L200">
            <v>0</v>
          </cell>
          <cell r="M200">
            <v>0</v>
          </cell>
          <cell r="N200">
            <v>0</v>
          </cell>
          <cell r="O200">
            <v>0</v>
          </cell>
          <cell r="P200">
            <v>0</v>
          </cell>
          <cell r="Q200">
            <v>0</v>
          </cell>
          <cell r="R200">
            <v>592779</v>
          </cell>
          <cell r="S200">
            <v>148195</v>
          </cell>
          <cell r="T200">
            <v>0</v>
          </cell>
          <cell r="U200">
            <v>0</v>
          </cell>
          <cell r="V200">
            <v>0</v>
          </cell>
          <cell r="W200">
            <v>0</v>
          </cell>
          <cell r="X200">
            <v>75</v>
          </cell>
          <cell r="Y200">
            <v>19</v>
          </cell>
          <cell r="Z200">
            <v>0</v>
          </cell>
          <cell r="AA200">
            <v>2187</v>
          </cell>
          <cell r="AB200">
            <v>547</v>
          </cell>
          <cell r="AC200">
            <v>0</v>
          </cell>
          <cell r="AD200">
            <v>0</v>
          </cell>
          <cell r="AE200">
            <v>0</v>
          </cell>
          <cell r="AF200">
            <v>0</v>
          </cell>
          <cell r="AG200">
            <v>0</v>
          </cell>
          <cell r="AH200">
            <v>0</v>
          </cell>
          <cell r="AI200">
            <v>0</v>
          </cell>
          <cell r="AM200">
            <v>0</v>
          </cell>
          <cell r="AN200">
            <v>0</v>
          </cell>
          <cell r="AO200">
            <v>0</v>
          </cell>
          <cell r="AP200">
            <v>200937</v>
          </cell>
          <cell r="AQ200">
            <v>50234</v>
          </cell>
          <cell r="AR200">
            <v>0</v>
          </cell>
          <cell r="AS200">
            <v>-151550</v>
          </cell>
          <cell r="AT200">
            <v>-121240</v>
          </cell>
          <cell r="AU200">
            <v>-30310</v>
          </cell>
          <cell r="AV200">
            <v>0</v>
          </cell>
          <cell r="AW200">
            <v>-303100</v>
          </cell>
          <cell r="AX200">
            <v>-1753217.5</v>
          </cell>
          <cell r="AY200">
            <v>-1402575</v>
          </cell>
          <cell r="AZ200">
            <v>-350644</v>
          </cell>
          <cell r="BA200">
            <v>0</v>
          </cell>
          <cell r="BB200">
            <v>-3506436.5</v>
          </cell>
          <cell r="BC200">
            <v>36214084</v>
          </cell>
          <cell r="BD200">
            <v>-2099144</v>
          </cell>
          <cell r="BE200">
            <v>930804</v>
          </cell>
          <cell r="BF200">
            <v>0</v>
          </cell>
          <cell r="BG200">
            <v>-2020479</v>
          </cell>
          <cell r="BH200">
            <v>-23757</v>
          </cell>
          <cell r="BI200">
            <v>0</v>
          </cell>
          <cell r="BJ200">
            <v>0</v>
          </cell>
          <cell r="BK200">
            <v>-1098491</v>
          </cell>
          <cell r="BL200">
            <v>-13027</v>
          </cell>
          <cell r="BM200">
            <v>-23976</v>
          </cell>
          <cell r="BN200">
            <v>0</v>
          </cell>
          <cell r="BO200">
            <v>0</v>
          </cell>
          <cell r="BP200">
            <v>0</v>
          </cell>
          <cell r="BQ200">
            <v>-50244</v>
          </cell>
          <cell r="BR200">
            <v>0</v>
          </cell>
          <cell r="BS200">
            <v>0</v>
          </cell>
          <cell r="BT200">
            <v>35731104</v>
          </cell>
          <cell r="BU200">
            <v>-275856</v>
          </cell>
          <cell r="BV200">
            <v>1358265</v>
          </cell>
          <cell r="BW200">
            <v>-153368</v>
          </cell>
          <cell r="BX200">
            <v>1126497</v>
          </cell>
          <cell r="BY200">
            <v>591698</v>
          </cell>
          <cell r="BZ200">
            <v>33441651</v>
          </cell>
          <cell r="CA200">
            <v>563249</v>
          </cell>
          <cell r="CB200">
            <v>450599</v>
          </cell>
          <cell r="CC200">
            <v>112649</v>
          </cell>
          <cell r="CD200">
            <v>0</v>
          </cell>
          <cell r="CE200">
            <v>295849</v>
          </cell>
          <cell r="CF200">
            <v>236679</v>
          </cell>
          <cell r="CG200">
            <v>59170</v>
          </cell>
          <cell r="CH200">
            <v>0</v>
          </cell>
        </row>
        <row r="201">
          <cell r="A201">
            <v>194</v>
          </cell>
          <cell r="B201" t="str">
            <v>Oadby and Wigston</v>
          </cell>
          <cell r="C201" t="str">
            <v>E2438</v>
          </cell>
          <cell r="D201">
            <v>55691</v>
          </cell>
          <cell r="H201">
            <v>426264</v>
          </cell>
          <cell r="I201">
            <v>0</v>
          </cell>
          <cell r="J201">
            <v>55691</v>
          </cell>
          <cell r="K201">
            <v>0</v>
          </cell>
          <cell r="L201">
            <v>0</v>
          </cell>
          <cell r="M201">
            <v>0</v>
          </cell>
          <cell r="N201">
            <v>0</v>
          </cell>
          <cell r="O201">
            <v>0</v>
          </cell>
          <cell r="P201">
            <v>0</v>
          </cell>
          <cell r="Q201">
            <v>0</v>
          </cell>
          <cell r="R201">
            <v>316324</v>
          </cell>
          <cell r="S201">
            <v>71173</v>
          </cell>
          <cell r="T201">
            <v>7908</v>
          </cell>
          <cell r="U201">
            <v>4059</v>
          </cell>
          <cell r="V201">
            <v>914</v>
          </cell>
          <cell r="W201">
            <v>102</v>
          </cell>
          <cell r="X201">
            <v>0</v>
          </cell>
          <cell r="Y201">
            <v>0</v>
          </cell>
          <cell r="Z201">
            <v>0</v>
          </cell>
          <cell r="AA201">
            <v>0</v>
          </cell>
          <cell r="AB201">
            <v>0</v>
          </cell>
          <cell r="AC201">
            <v>0</v>
          </cell>
          <cell r="AD201">
            <v>0</v>
          </cell>
          <cell r="AE201">
            <v>0</v>
          </cell>
          <cell r="AF201">
            <v>0</v>
          </cell>
          <cell r="AG201">
            <v>0</v>
          </cell>
          <cell r="AH201">
            <v>0</v>
          </cell>
          <cell r="AI201">
            <v>0</v>
          </cell>
          <cell r="AM201">
            <v>0</v>
          </cell>
          <cell r="AN201">
            <v>0</v>
          </cell>
          <cell r="AO201">
            <v>0</v>
          </cell>
          <cell r="AP201">
            <v>72339</v>
          </cell>
          <cell r="AQ201">
            <v>16276</v>
          </cell>
          <cell r="AR201">
            <v>1808</v>
          </cell>
          <cell r="AS201">
            <v>-148199.20000000001</v>
          </cell>
          <cell r="AT201">
            <v>-118562</v>
          </cell>
          <cell r="AU201">
            <v>-26676</v>
          </cell>
          <cell r="AV201">
            <v>-2965</v>
          </cell>
          <cell r="AW201">
            <v>-296402.2</v>
          </cell>
          <cell r="AX201">
            <v>-719415</v>
          </cell>
          <cell r="AY201">
            <v>-575531</v>
          </cell>
          <cell r="AZ201">
            <v>-129495</v>
          </cell>
          <cell r="BA201">
            <v>-14388</v>
          </cell>
          <cell r="BB201">
            <v>-1438829</v>
          </cell>
          <cell r="BC201">
            <v>12091292</v>
          </cell>
          <cell r="BD201">
            <v>-1031933</v>
          </cell>
          <cell r="BE201">
            <v>327326</v>
          </cell>
          <cell r="BF201">
            <v>0</v>
          </cell>
          <cell r="BG201">
            <v>-1526742</v>
          </cell>
          <cell r="BH201">
            <v>0</v>
          </cell>
          <cell r="BI201">
            <v>0</v>
          </cell>
          <cell r="BJ201">
            <v>0</v>
          </cell>
          <cell r="BK201">
            <v>-418443</v>
          </cell>
          <cell r="BL201">
            <v>-73802</v>
          </cell>
          <cell r="BM201">
            <v>-13518</v>
          </cell>
          <cell r="BN201">
            <v>0</v>
          </cell>
          <cell r="BO201">
            <v>0</v>
          </cell>
          <cell r="BP201">
            <v>0</v>
          </cell>
          <cell r="BQ201">
            <v>0</v>
          </cell>
          <cell r="BR201">
            <v>0</v>
          </cell>
          <cell r="BS201">
            <v>0</v>
          </cell>
          <cell r="BT201">
            <v>12219154</v>
          </cell>
          <cell r="BU201">
            <v>-69179</v>
          </cell>
          <cell r="BV201">
            <v>986312</v>
          </cell>
          <cell r="BW201">
            <v>-380690</v>
          </cell>
          <cell r="BX201">
            <v>-138289</v>
          </cell>
          <cell r="BY201">
            <v>99585</v>
          </cell>
          <cell r="BZ201">
            <v>12039270</v>
          </cell>
          <cell r="CA201">
            <v>-69145</v>
          </cell>
          <cell r="CB201">
            <v>-55315</v>
          </cell>
          <cell r="CC201">
            <v>-12446</v>
          </cell>
          <cell r="CD201">
            <v>-1383</v>
          </cell>
          <cell r="CE201">
            <v>49792</v>
          </cell>
          <cell r="CF201">
            <v>39834</v>
          </cell>
          <cell r="CG201">
            <v>8963</v>
          </cell>
          <cell r="CH201">
            <v>996</v>
          </cell>
        </row>
        <row r="202">
          <cell r="A202">
            <v>195</v>
          </cell>
          <cell r="B202" t="str">
            <v>Oldham</v>
          </cell>
          <cell r="C202" t="str">
            <v>E4204</v>
          </cell>
          <cell r="D202">
            <v>307642</v>
          </cell>
          <cell r="H202">
            <v>-3113266</v>
          </cell>
          <cell r="I202">
            <v>0</v>
          </cell>
          <cell r="J202">
            <v>307642</v>
          </cell>
          <cell r="K202">
            <v>0</v>
          </cell>
          <cell r="L202">
            <v>2048</v>
          </cell>
          <cell r="M202">
            <v>0</v>
          </cell>
          <cell r="N202">
            <v>0</v>
          </cell>
          <cell r="O202">
            <v>0</v>
          </cell>
          <cell r="P202">
            <v>0</v>
          </cell>
          <cell r="Q202">
            <v>0</v>
          </cell>
          <cell r="R202">
            <v>3919181</v>
          </cell>
          <cell r="S202">
            <v>0</v>
          </cell>
          <cell r="T202">
            <v>39588</v>
          </cell>
          <cell r="U202">
            <v>201</v>
          </cell>
          <cell r="V202">
            <v>0</v>
          </cell>
          <cell r="W202">
            <v>2</v>
          </cell>
          <cell r="X202">
            <v>93238</v>
          </cell>
          <cell r="Y202">
            <v>0</v>
          </cell>
          <cell r="Z202">
            <v>942</v>
          </cell>
          <cell r="AA202">
            <v>10557</v>
          </cell>
          <cell r="AB202">
            <v>0</v>
          </cell>
          <cell r="AC202">
            <v>107</v>
          </cell>
          <cell r="AD202">
            <v>0</v>
          </cell>
          <cell r="AE202">
            <v>0</v>
          </cell>
          <cell r="AF202">
            <v>0</v>
          </cell>
          <cell r="AG202">
            <v>0</v>
          </cell>
          <cell r="AH202">
            <v>0</v>
          </cell>
          <cell r="AI202">
            <v>0</v>
          </cell>
          <cell r="AM202">
            <v>0</v>
          </cell>
          <cell r="AN202">
            <v>0</v>
          </cell>
          <cell r="AO202">
            <v>0</v>
          </cell>
          <cell r="AP202">
            <v>804066</v>
          </cell>
          <cell r="AQ202">
            <v>0</v>
          </cell>
          <cell r="AR202">
            <v>8122</v>
          </cell>
          <cell r="AS202">
            <v>-1824006</v>
          </cell>
          <cell r="AT202">
            <v>-1787527</v>
          </cell>
          <cell r="AU202">
            <v>0</v>
          </cell>
          <cell r="AV202">
            <v>-36482</v>
          </cell>
          <cell r="AW202">
            <v>-3648015</v>
          </cell>
          <cell r="AX202">
            <v>-3839804</v>
          </cell>
          <cell r="AY202">
            <v>-3763009</v>
          </cell>
          <cell r="AZ202">
            <v>0</v>
          </cell>
          <cell r="BA202">
            <v>-76798</v>
          </cell>
          <cell r="BB202">
            <v>-7679611</v>
          </cell>
          <cell r="BC202">
            <v>56059207</v>
          </cell>
          <cell r="BD202">
            <v>-6297076</v>
          </cell>
          <cell r="BE202">
            <v>1676966</v>
          </cell>
          <cell r="BF202">
            <v>0</v>
          </cell>
          <cell r="BG202">
            <v>-5937055</v>
          </cell>
          <cell r="BH202">
            <v>-84937</v>
          </cell>
          <cell r="BI202">
            <v>-7964</v>
          </cell>
          <cell r="BJ202">
            <v>-2336</v>
          </cell>
          <cell r="BK202">
            <v>-3490971</v>
          </cell>
          <cell r="BL202">
            <v>-220162</v>
          </cell>
          <cell r="BM202">
            <v>-115383</v>
          </cell>
          <cell r="BN202">
            <v>-152</v>
          </cell>
          <cell r="BO202">
            <v>-746</v>
          </cell>
          <cell r="BP202">
            <v>0</v>
          </cell>
          <cell r="BQ202">
            <v>0</v>
          </cell>
          <cell r="BR202">
            <v>0</v>
          </cell>
          <cell r="BS202">
            <v>0</v>
          </cell>
          <cell r="BT202">
            <v>58810160</v>
          </cell>
          <cell r="BU202">
            <v>-1649992</v>
          </cell>
          <cell r="BV202">
            <v>5849630</v>
          </cell>
          <cell r="BW202">
            <v>-2227735</v>
          </cell>
          <cell r="BX202">
            <v>-2647271</v>
          </cell>
          <cell r="BY202">
            <v>0</v>
          </cell>
          <cell r="BZ202">
            <v>54066419</v>
          </cell>
          <cell r="CA202">
            <v>-1323636</v>
          </cell>
          <cell r="CB202">
            <v>-1297163</v>
          </cell>
          <cell r="CC202">
            <v>0</v>
          </cell>
          <cell r="CD202">
            <v>-26472</v>
          </cell>
          <cell r="CE202">
            <v>0</v>
          </cell>
          <cell r="CF202">
            <v>0</v>
          </cell>
          <cell r="CG202">
            <v>0</v>
          </cell>
          <cell r="CH202">
            <v>0</v>
          </cell>
        </row>
        <row r="203">
          <cell r="A203">
            <v>196</v>
          </cell>
          <cell r="B203" t="str">
            <v>Oxford</v>
          </cell>
          <cell r="C203" t="str">
            <v>E3132</v>
          </cell>
          <cell r="D203">
            <v>218144</v>
          </cell>
          <cell r="H203">
            <v>613046</v>
          </cell>
          <cell r="I203">
            <v>0</v>
          </cell>
          <cell r="J203">
            <v>218144</v>
          </cell>
          <cell r="K203">
            <v>0</v>
          </cell>
          <cell r="L203">
            <v>7456</v>
          </cell>
          <cell r="M203">
            <v>0</v>
          </cell>
          <cell r="N203">
            <v>0</v>
          </cell>
          <cell r="O203">
            <v>0</v>
          </cell>
          <cell r="P203">
            <v>0</v>
          </cell>
          <cell r="Q203">
            <v>0</v>
          </cell>
          <cell r="R203">
            <v>362574</v>
          </cell>
          <cell r="S203">
            <v>90644</v>
          </cell>
          <cell r="T203">
            <v>0</v>
          </cell>
          <cell r="U203">
            <v>1665</v>
          </cell>
          <cell r="V203">
            <v>416</v>
          </cell>
          <cell r="W203">
            <v>0</v>
          </cell>
          <cell r="X203">
            <v>8120</v>
          </cell>
          <cell r="Y203">
            <v>2030</v>
          </cell>
          <cell r="Z203">
            <v>0</v>
          </cell>
          <cell r="AA203">
            <v>8120</v>
          </cell>
          <cell r="AB203">
            <v>2030</v>
          </cell>
          <cell r="AC203">
            <v>0</v>
          </cell>
          <cell r="AD203">
            <v>0</v>
          </cell>
          <cell r="AE203">
            <v>0</v>
          </cell>
          <cell r="AF203">
            <v>0</v>
          </cell>
          <cell r="AG203">
            <v>0</v>
          </cell>
          <cell r="AH203">
            <v>0</v>
          </cell>
          <cell r="AI203">
            <v>0</v>
          </cell>
          <cell r="AM203">
            <v>0</v>
          </cell>
          <cell r="AN203">
            <v>0</v>
          </cell>
          <cell r="AO203">
            <v>0</v>
          </cell>
          <cell r="AP203">
            <v>545863</v>
          </cell>
          <cell r="AQ203">
            <v>136438</v>
          </cell>
          <cell r="AR203">
            <v>0</v>
          </cell>
          <cell r="AS203">
            <v>-565791</v>
          </cell>
          <cell r="AT203">
            <v>-452634</v>
          </cell>
          <cell r="AU203">
            <v>-113159</v>
          </cell>
          <cell r="AV203">
            <v>0</v>
          </cell>
          <cell r="AW203">
            <v>-1131584</v>
          </cell>
          <cell r="AX203">
            <v>-6452042</v>
          </cell>
          <cell r="AY203">
            <v>-5161634</v>
          </cell>
          <cell r="AZ203">
            <v>-1290409</v>
          </cell>
          <cell r="BA203">
            <v>0</v>
          </cell>
          <cell r="BB203">
            <v>-12904085</v>
          </cell>
          <cell r="BC203">
            <v>86290997</v>
          </cell>
          <cell r="BD203">
            <v>-1233277</v>
          </cell>
          <cell r="BE203">
            <v>2774738</v>
          </cell>
          <cell r="BF203">
            <v>0</v>
          </cell>
          <cell r="BG203">
            <v>-20766110</v>
          </cell>
          <cell r="BH203">
            <v>-35009</v>
          </cell>
          <cell r="BI203">
            <v>0</v>
          </cell>
          <cell r="BJ203">
            <v>-23037</v>
          </cell>
          <cell r="BK203">
            <v>-1022129</v>
          </cell>
          <cell r="BL203">
            <v>0</v>
          </cell>
          <cell r="BM203">
            <v>-40140</v>
          </cell>
          <cell r="BN203">
            <v>0</v>
          </cell>
          <cell r="BO203">
            <v>0</v>
          </cell>
          <cell r="BP203">
            <v>0</v>
          </cell>
          <cell r="BQ203">
            <v>0</v>
          </cell>
          <cell r="BR203">
            <v>0</v>
          </cell>
          <cell r="BS203">
            <v>0</v>
          </cell>
          <cell r="BT203">
            <v>86126365</v>
          </cell>
          <cell r="BU203">
            <v>0</v>
          </cell>
          <cell r="BV203">
            <v>2045407</v>
          </cell>
          <cell r="BW203">
            <v>-2980815</v>
          </cell>
          <cell r="BX203">
            <v>1360025</v>
          </cell>
          <cell r="BY203">
            <v>513833</v>
          </cell>
          <cell r="BZ203">
            <v>90828491</v>
          </cell>
          <cell r="CA203">
            <v>680012</v>
          </cell>
          <cell r="CB203">
            <v>544010</v>
          </cell>
          <cell r="CC203">
            <v>136003</v>
          </cell>
          <cell r="CD203">
            <v>0</v>
          </cell>
          <cell r="CE203">
            <v>256917</v>
          </cell>
          <cell r="CF203">
            <v>205533</v>
          </cell>
          <cell r="CG203">
            <v>51383</v>
          </cell>
          <cell r="CH203">
            <v>0</v>
          </cell>
        </row>
        <row r="204">
          <cell r="A204">
            <v>197</v>
          </cell>
          <cell r="B204" t="str">
            <v>Pendle</v>
          </cell>
          <cell r="C204" t="str">
            <v>E2338</v>
          </cell>
          <cell r="D204">
            <v>133965</v>
          </cell>
          <cell r="H204">
            <v>-946778</v>
          </cell>
          <cell r="I204">
            <v>0</v>
          </cell>
          <cell r="J204">
            <v>133965</v>
          </cell>
          <cell r="K204">
            <v>0</v>
          </cell>
          <cell r="L204">
            <v>0</v>
          </cell>
          <cell r="M204">
            <v>0</v>
          </cell>
          <cell r="N204">
            <v>0</v>
          </cell>
          <cell r="O204">
            <v>0</v>
          </cell>
          <cell r="P204">
            <v>0</v>
          </cell>
          <cell r="Q204">
            <v>0</v>
          </cell>
          <cell r="R204">
            <v>674259</v>
          </cell>
          <cell r="S204">
            <v>151709</v>
          </cell>
          <cell r="T204">
            <v>16857</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M204">
            <v>0</v>
          </cell>
          <cell r="AN204">
            <v>0</v>
          </cell>
          <cell r="AO204">
            <v>0</v>
          </cell>
          <cell r="AP204">
            <v>102147</v>
          </cell>
          <cell r="AQ204">
            <v>22983</v>
          </cell>
          <cell r="AR204">
            <v>2554</v>
          </cell>
          <cell r="AS204">
            <v>-340000</v>
          </cell>
          <cell r="AT204">
            <v>-272000</v>
          </cell>
          <cell r="AU204">
            <v>-61200</v>
          </cell>
          <cell r="AV204">
            <v>-6800</v>
          </cell>
          <cell r="AW204">
            <v>-680000</v>
          </cell>
          <cell r="AX204">
            <v>-1593499</v>
          </cell>
          <cell r="AY204">
            <v>-1274801</v>
          </cell>
          <cell r="AZ204">
            <v>-286831</v>
          </cell>
          <cell r="BA204">
            <v>-31869</v>
          </cell>
          <cell r="BB204">
            <v>-3187000</v>
          </cell>
          <cell r="BC204">
            <v>20695442</v>
          </cell>
          <cell r="BD204">
            <v>-2928812</v>
          </cell>
          <cell r="BE204">
            <v>536370</v>
          </cell>
          <cell r="BF204">
            <v>0</v>
          </cell>
          <cell r="BG204">
            <v>-1198020</v>
          </cell>
          <cell r="BH204">
            <v>0</v>
          </cell>
          <cell r="BI204">
            <v>-951</v>
          </cell>
          <cell r="BJ204">
            <v>0</v>
          </cell>
          <cell r="BK204">
            <v>-1002015</v>
          </cell>
          <cell r="BL204">
            <v>-128007</v>
          </cell>
          <cell r="BM204">
            <v>-116105</v>
          </cell>
          <cell r="BN204">
            <v>0</v>
          </cell>
          <cell r="BO204">
            <v>-951</v>
          </cell>
          <cell r="BP204">
            <v>0</v>
          </cell>
          <cell r="BQ204">
            <v>0</v>
          </cell>
          <cell r="BR204">
            <v>0</v>
          </cell>
          <cell r="BS204">
            <v>0</v>
          </cell>
          <cell r="BT204">
            <v>20304085</v>
          </cell>
          <cell r="BU204">
            <v>0</v>
          </cell>
          <cell r="BV204">
            <v>631116</v>
          </cell>
          <cell r="BW204">
            <v>-243780</v>
          </cell>
          <cell r="BX204">
            <v>-56672</v>
          </cell>
          <cell r="BY204">
            <v>-1047864</v>
          </cell>
          <cell r="BZ204">
            <v>17000188</v>
          </cell>
          <cell r="CA204">
            <v>-28337</v>
          </cell>
          <cell r="CB204">
            <v>-22668</v>
          </cell>
          <cell r="CC204">
            <v>-5100</v>
          </cell>
          <cell r="CD204">
            <v>-567</v>
          </cell>
          <cell r="CE204">
            <v>-523931</v>
          </cell>
          <cell r="CF204">
            <v>-419146</v>
          </cell>
          <cell r="CG204">
            <v>-94308</v>
          </cell>
          <cell r="CH204">
            <v>-10479</v>
          </cell>
        </row>
        <row r="205">
          <cell r="A205">
            <v>198</v>
          </cell>
          <cell r="B205" t="str">
            <v>Peterborough</v>
          </cell>
          <cell r="C205" t="str">
            <v>E0501</v>
          </cell>
          <cell r="D205">
            <v>268347</v>
          </cell>
          <cell r="H205">
            <v>-4544544</v>
          </cell>
          <cell r="I205">
            <v>0</v>
          </cell>
          <cell r="J205">
            <v>268347</v>
          </cell>
          <cell r="K205">
            <v>0</v>
          </cell>
          <cell r="L205">
            <v>279000</v>
          </cell>
          <cell r="M205">
            <v>0</v>
          </cell>
          <cell r="N205">
            <v>0</v>
          </cell>
          <cell r="O205">
            <v>0</v>
          </cell>
          <cell r="P205">
            <v>0</v>
          </cell>
          <cell r="Q205">
            <v>0</v>
          </cell>
          <cell r="R205">
            <v>1336112</v>
          </cell>
          <cell r="S205">
            <v>0</v>
          </cell>
          <cell r="T205">
            <v>27268</v>
          </cell>
          <cell r="U205">
            <v>10951</v>
          </cell>
          <cell r="V205">
            <v>0</v>
          </cell>
          <cell r="W205">
            <v>223</v>
          </cell>
          <cell r="X205">
            <v>0</v>
          </cell>
          <cell r="Y205">
            <v>0</v>
          </cell>
          <cell r="Z205">
            <v>0</v>
          </cell>
          <cell r="AA205">
            <v>5063</v>
          </cell>
          <cell r="AB205">
            <v>0</v>
          </cell>
          <cell r="AC205">
            <v>103</v>
          </cell>
          <cell r="AD205">
            <v>0</v>
          </cell>
          <cell r="AE205">
            <v>0</v>
          </cell>
          <cell r="AF205">
            <v>0</v>
          </cell>
          <cell r="AG205">
            <v>0</v>
          </cell>
          <cell r="AH205">
            <v>0</v>
          </cell>
          <cell r="AI205">
            <v>0</v>
          </cell>
          <cell r="AM205">
            <v>0</v>
          </cell>
          <cell r="AN205">
            <v>0</v>
          </cell>
          <cell r="AO205">
            <v>0</v>
          </cell>
          <cell r="AP205">
            <v>656929</v>
          </cell>
          <cell r="AQ205">
            <v>0</v>
          </cell>
          <cell r="AR205">
            <v>13321</v>
          </cell>
          <cell r="AS205">
            <v>-4230382</v>
          </cell>
          <cell r="AT205">
            <v>-4145776</v>
          </cell>
          <cell r="AU205">
            <v>0</v>
          </cell>
          <cell r="AV205">
            <v>-84608</v>
          </cell>
          <cell r="AW205">
            <v>-8460766</v>
          </cell>
          <cell r="AX205">
            <v>-4680429</v>
          </cell>
          <cell r="AY205">
            <v>-4586819</v>
          </cell>
          <cell r="AZ205">
            <v>0</v>
          </cell>
          <cell r="BA205">
            <v>-93608</v>
          </cell>
          <cell r="BB205">
            <v>-9360856</v>
          </cell>
          <cell r="BC205">
            <v>97386434</v>
          </cell>
          <cell r="BD205">
            <v>-3362317</v>
          </cell>
          <cell r="BE205">
            <v>2694012</v>
          </cell>
          <cell r="BF205">
            <v>0</v>
          </cell>
          <cell r="BG205">
            <v>-6224139</v>
          </cell>
          <cell r="BH205">
            <v>-60584</v>
          </cell>
          <cell r="BI205">
            <v>-16153</v>
          </cell>
          <cell r="BJ205">
            <v>-5379</v>
          </cell>
          <cell r="BK205">
            <v>-2333672</v>
          </cell>
          <cell r="BL205">
            <v>-306575</v>
          </cell>
          <cell r="BM205">
            <v>-51961</v>
          </cell>
          <cell r="BN205">
            <v>-3216</v>
          </cell>
          <cell r="BO205">
            <v>-3032</v>
          </cell>
          <cell r="BP205">
            <v>-445</v>
          </cell>
          <cell r="BQ205">
            <v>0</v>
          </cell>
          <cell r="BR205">
            <v>0</v>
          </cell>
          <cell r="BS205">
            <v>0</v>
          </cell>
          <cell r="BT205">
            <v>99085061</v>
          </cell>
          <cell r="BU205">
            <v>-281762</v>
          </cell>
          <cell r="BV205">
            <v>10591316</v>
          </cell>
          <cell r="BW205">
            <v>-2619982</v>
          </cell>
          <cell r="BX205">
            <v>-2311152</v>
          </cell>
          <cell r="BY205">
            <v>-2364000</v>
          </cell>
          <cell r="BZ205">
            <v>88681000</v>
          </cell>
          <cell r="CA205">
            <v>-1155576</v>
          </cell>
          <cell r="CB205">
            <v>-1132464</v>
          </cell>
          <cell r="CC205">
            <v>0</v>
          </cell>
          <cell r="CD205">
            <v>-23112</v>
          </cell>
          <cell r="CE205">
            <v>-1182000</v>
          </cell>
          <cell r="CF205">
            <v>-1158360</v>
          </cell>
          <cell r="CG205">
            <v>0</v>
          </cell>
          <cell r="CH205">
            <v>-23640</v>
          </cell>
        </row>
        <row r="206">
          <cell r="A206">
            <v>199</v>
          </cell>
          <cell r="B206" t="str">
            <v>Plymouth</v>
          </cell>
          <cell r="C206" t="str">
            <v>E1101</v>
          </cell>
          <cell r="D206">
            <v>310944</v>
          </cell>
          <cell r="H206">
            <v>-4890736</v>
          </cell>
          <cell r="I206">
            <v>0</v>
          </cell>
          <cell r="J206">
            <v>310944</v>
          </cell>
          <cell r="K206">
            <v>0</v>
          </cell>
          <cell r="L206">
            <v>213987</v>
          </cell>
          <cell r="M206">
            <v>0</v>
          </cell>
          <cell r="N206">
            <v>0</v>
          </cell>
          <cell r="O206">
            <v>0</v>
          </cell>
          <cell r="P206">
            <v>0</v>
          </cell>
          <cell r="Q206">
            <v>0</v>
          </cell>
          <cell r="R206">
            <v>1596249</v>
          </cell>
          <cell r="S206">
            <v>0</v>
          </cell>
          <cell r="T206">
            <v>32576</v>
          </cell>
          <cell r="U206">
            <v>6963</v>
          </cell>
          <cell r="V206">
            <v>0</v>
          </cell>
          <cell r="W206">
            <v>142</v>
          </cell>
          <cell r="X206">
            <v>19845</v>
          </cell>
          <cell r="Y206">
            <v>0</v>
          </cell>
          <cell r="Z206">
            <v>405</v>
          </cell>
          <cell r="AA206">
            <v>45951</v>
          </cell>
          <cell r="AB206">
            <v>0</v>
          </cell>
          <cell r="AC206">
            <v>938</v>
          </cell>
          <cell r="AD206">
            <v>0</v>
          </cell>
          <cell r="AE206">
            <v>0</v>
          </cell>
          <cell r="AF206">
            <v>0</v>
          </cell>
          <cell r="AG206">
            <v>0</v>
          </cell>
          <cell r="AH206">
            <v>0</v>
          </cell>
          <cell r="AI206">
            <v>0</v>
          </cell>
          <cell r="AM206">
            <v>0</v>
          </cell>
          <cell r="AN206">
            <v>0</v>
          </cell>
          <cell r="AO206">
            <v>0</v>
          </cell>
          <cell r="AP206">
            <v>648363</v>
          </cell>
          <cell r="AQ206">
            <v>0</v>
          </cell>
          <cell r="AR206">
            <v>13166</v>
          </cell>
          <cell r="AS206">
            <v>-315442.59000000003</v>
          </cell>
          <cell r="AT206">
            <v>-309135</v>
          </cell>
          <cell r="AU206">
            <v>0</v>
          </cell>
          <cell r="AV206">
            <v>-6309</v>
          </cell>
          <cell r="AW206">
            <v>-630886.59</v>
          </cell>
          <cell r="AX206">
            <v>-1080869</v>
          </cell>
          <cell r="AY206">
            <v>-1059251</v>
          </cell>
          <cell r="AZ206">
            <v>0</v>
          </cell>
          <cell r="BA206">
            <v>-21616</v>
          </cell>
          <cell r="BB206">
            <v>-2161736</v>
          </cell>
          <cell r="BC206">
            <v>89693953</v>
          </cell>
          <cell r="BD206">
            <v>-4849878</v>
          </cell>
          <cell r="BE206">
            <v>2595239</v>
          </cell>
          <cell r="BF206">
            <v>0</v>
          </cell>
          <cell r="BG206">
            <v>-10383450</v>
          </cell>
          <cell r="BH206">
            <v>-11479</v>
          </cell>
          <cell r="BI206">
            <v>0</v>
          </cell>
          <cell r="BJ206">
            <v>-28576</v>
          </cell>
          <cell r="BK206">
            <v>-2936964</v>
          </cell>
          <cell r="BL206">
            <v>0</v>
          </cell>
          <cell r="BM206">
            <v>-63275</v>
          </cell>
          <cell r="BN206">
            <v>0</v>
          </cell>
          <cell r="BO206">
            <v>0</v>
          </cell>
          <cell r="BP206">
            <v>0</v>
          </cell>
          <cell r="BQ206">
            <v>-65347</v>
          </cell>
          <cell r="BR206">
            <v>0</v>
          </cell>
          <cell r="BS206">
            <v>0</v>
          </cell>
          <cell r="BT206">
            <v>91614773</v>
          </cell>
          <cell r="BU206">
            <v>-655447</v>
          </cell>
          <cell r="BV206">
            <v>2337891</v>
          </cell>
          <cell r="BW206">
            <v>-1897902</v>
          </cell>
          <cell r="BX206">
            <v>-6573785</v>
          </cell>
          <cell r="BY206">
            <v>-746565</v>
          </cell>
          <cell r="BZ206">
            <v>87649972</v>
          </cell>
          <cell r="CA206">
            <v>-3286892</v>
          </cell>
          <cell r="CB206">
            <v>-3221155</v>
          </cell>
          <cell r="CC206">
            <v>0</v>
          </cell>
          <cell r="CD206">
            <v>-65738</v>
          </cell>
          <cell r="CE206">
            <v>-373282</v>
          </cell>
          <cell r="CF206">
            <v>-365817</v>
          </cell>
          <cell r="CG206">
            <v>0</v>
          </cell>
          <cell r="CH206">
            <v>-7466</v>
          </cell>
        </row>
        <row r="207">
          <cell r="A207">
            <v>200</v>
          </cell>
          <cell r="B207" t="str">
            <v>Poole</v>
          </cell>
          <cell r="C207" t="str">
            <v>E1201</v>
          </cell>
          <cell r="D207">
            <v>230423</v>
          </cell>
          <cell r="H207">
            <v>-1069200</v>
          </cell>
          <cell r="I207">
            <v>0</v>
          </cell>
          <cell r="J207">
            <v>230423</v>
          </cell>
          <cell r="K207">
            <v>0</v>
          </cell>
          <cell r="L207">
            <v>395</v>
          </cell>
          <cell r="M207">
            <v>0</v>
          </cell>
          <cell r="N207">
            <v>0</v>
          </cell>
          <cell r="O207">
            <v>0</v>
          </cell>
          <cell r="P207">
            <v>0</v>
          </cell>
          <cell r="Q207">
            <v>0</v>
          </cell>
          <cell r="R207">
            <v>1094157</v>
          </cell>
          <cell r="S207">
            <v>0</v>
          </cell>
          <cell r="T207">
            <v>22330</v>
          </cell>
          <cell r="U207">
            <v>5192</v>
          </cell>
          <cell r="V207">
            <v>0</v>
          </cell>
          <cell r="W207">
            <v>106</v>
          </cell>
          <cell r="X207">
            <v>0</v>
          </cell>
          <cell r="Y207">
            <v>0</v>
          </cell>
          <cell r="Z207">
            <v>0</v>
          </cell>
          <cell r="AA207">
            <v>9485</v>
          </cell>
          <cell r="AB207">
            <v>0</v>
          </cell>
          <cell r="AC207">
            <v>194</v>
          </cell>
          <cell r="AD207">
            <v>0</v>
          </cell>
          <cell r="AE207">
            <v>0</v>
          </cell>
          <cell r="AF207">
            <v>0</v>
          </cell>
          <cell r="AG207">
            <v>0</v>
          </cell>
          <cell r="AH207">
            <v>0</v>
          </cell>
          <cell r="AI207">
            <v>0</v>
          </cell>
          <cell r="AM207">
            <v>0</v>
          </cell>
          <cell r="AN207">
            <v>0</v>
          </cell>
          <cell r="AO207">
            <v>0</v>
          </cell>
          <cell r="AP207">
            <v>420001</v>
          </cell>
          <cell r="AQ207">
            <v>0</v>
          </cell>
          <cell r="AR207">
            <v>8571</v>
          </cell>
          <cell r="AS207">
            <v>-220365</v>
          </cell>
          <cell r="AT207">
            <v>-215956</v>
          </cell>
          <cell r="AU207">
            <v>0</v>
          </cell>
          <cell r="AV207">
            <v>-4408</v>
          </cell>
          <cell r="AW207">
            <v>-440728</v>
          </cell>
          <cell r="AX207">
            <v>-2794013</v>
          </cell>
          <cell r="AY207">
            <v>-2738130</v>
          </cell>
          <cell r="AZ207">
            <v>0</v>
          </cell>
          <cell r="BA207">
            <v>-55879</v>
          </cell>
          <cell r="BB207">
            <v>-5588023</v>
          </cell>
          <cell r="BC207">
            <v>62324464</v>
          </cell>
          <cell r="BD207">
            <v>-3212743</v>
          </cell>
          <cell r="BE207">
            <v>1731333</v>
          </cell>
          <cell r="BF207">
            <v>0</v>
          </cell>
          <cell r="BG207">
            <v>-5686660</v>
          </cell>
          <cell r="BH207">
            <v>-50989</v>
          </cell>
          <cell r="BI207">
            <v>0</v>
          </cell>
          <cell r="BJ207">
            <v>-40519</v>
          </cell>
          <cell r="BK207">
            <v>-1665502</v>
          </cell>
          <cell r="BL207">
            <v>-182216</v>
          </cell>
          <cell r="BM207">
            <v>-39718</v>
          </cell>
          <cell r="BN207">
            <v>-4557</v>
          </cell>
          <cell r="BO207">
            <v>0</v>
          </cell>
          <cell r="BP207">
            <v>0</v>
          </cell>
          <cell r="BQ207">
            <v>0</v>
          </cell>
          <cell r="BR207">
            <v>0</v>
          </cell>
          <cell r="BS207">
            <v>0</v>
          </cell>
          <cell r="BT207">
            <v>62764720</v>
          </cell>
          <cell r="BU207">
            <v>-301351</v>
          </cell>
          <cell r="BV207">
            <v>1208671</v>
          </cell>
          <cell r="BW207">
            <v>-1200806</v>
          </cell>
          <cell r="BX207">
            <v>2401994</v>
          </cell>
          <cell r="BY207">
            <v>2364959</v>
          </cell>
          <cell r="BZ207">
            <v>57060586</v>
          </cell>
          <cell r="CA207">
            <v>1200996</v>
          </cell>
          <cell r="CB207">
            <v>1176977</v>
          </cell>
          <cell r="CC207">
            <v>0</v>
          </cell>
          <cell r="CD207">
            <v>24021</v>
          </cell>
          <cell r="CE207">
            <v>1182479</v>
          </cell>
          <cell r="CF207">
            <v>1158830</v>
          </cell>
          <cell r="CG207">
            <v>0</v>
          </cell>
          <cell r="CH207">
            <v>23650</v>
          </cell>
        </row>
        <row r="208">
          <cell r="A208">
            <v>201</v>
          </cell>
          <cell r="B208" t="str">
            <v>Portsmouth</v>
          </cell>
          <cell r="C208" t="str">
            <v>E1701</v>
          </cell>
          <cell r="D208">
            <v>274758</v>
          </cell>
          <cell r="H208">
            <v>0</v>
          </cell>
          <cell r="I208">
            <v>0</v>
          </cell>
          <cell r="J208">
            <v>274758</v>
          </cell>
          <cell r="K208">
            <v>0</v>
          </cell>
          <cell r="L208">
            <v>0</v>
          </cell>
          <cell r="M208">
            <v>0</v>
          </cell>
          <cell r="N208">
            <v>0</v>
          </cell>
          <cell r="O208">
            <v>0</v>
          </cell>
          <cell r="P208">
            <v>0</v>
          </cell>
          <cell r="Q208">
            <v>0</v>
          </cell>
          <cell r="R208">
            <v>1591553</v>
          </cell>
          <cell r="S208">
            <v>0</v>
          </cell>
          <cell r="T208">
            <v>32481</v>
          </cell>
          <cell r="U208">
            <v>0</v>
          </cell>
          <cell r="V208">
            <v>0</v>
          </cell>
          <cell r="W208">
            <v>0</v>
          </cell>
          <cell r="X208">
            <v>0</v>
          </cell>
          <cell r="Y208">
            <v>0</v>
          </cell>
          <cell r="Z208">
            <v>0</v>
          </cell>
          <cell r="AA208">
            <v>24868</v>
          </cell>
          <cell r="AB208">
            <v>0</v>
          </cell>
          <cell r="AC208">
            <v>508</v>
          </cell>
          <cell r="AD208">
            <v>0</v>
          </cell>
          <cell r="AE208">
            <v>0</v>
          </cell>
          <cell r="AF208">
            <v>0</v>
          </cell>
          <cell r="AG208">
            <v>0</v>
          </cell>
          <cell r="AH208">
            <v>0</v>
          </cell>
          <cell r="AI208">
            <v>0</v>
          </cell>
          <cell r="AM208">
            <v>0</v>
          </cell>
          <cell r="AN208">
            <v>0</v>
          </cell>
          <cell r="AO208">
            <v>0</v>
          </cell>
          <cell r="AP208">
            <v>600155</v>
          </cell>
          <cell r="AQ208">
            <v>0</v>
          </cell>
          <cell r="AR208">
            <v>12248</v>
          </cell>
          <cell r="AS208">
            <v>-1456500</v>
          </cell>
          <cell r="AT208">
            <v>-1427370</v>
          </cell>
          <cell r="AU208">
            <v>0</v>
          </cell>
          <cell r="AV208">
            <v>-29130</v>
          </cell>
          <cell r="AW208">
            <v>-2913000</v>
          </cell>
          <cell r="AX208">
            <v>-7204427</v>
          </cell>
          <cell r="AY208">
            <v>-7060338</v>
          </cell>
          <cell r="AZ208">
            <v>0</v>
          </cell>
          <cell r="BA208">
            <v>-144090</v>
          </cell>
          <cell r="BB208">
            <v>-14408855</v>
          </cell>
          <cell r="BC208">
            <v>84065031</v>
          </cell>
          <cell r="BD208">
            <v>-3766813</v>
          </cell>
          <cell r="BE208">
            <v>2331710</v>
          </cell>
          <cell r="BF208">
            <v>0</v>
          </cell>
          <cell r="BG208">
            <v>-6956859</v>
          </cell>
          <cell r="BH208">
            <v>-34842</v>
          </cell>
          <cell r="BI208">
            <v>0</v>
          </cell>
          <cell r="BJ208">
            <v>-10927</v>
          </cell>
          <cell r="BK208">
            <v>-2237985</v>
          </cell>
          <cell r="BL208">
            <v>-204932</v>
          </cell>
          <cell r="BM208">
            <v>0</v>
          </cell>
          <cell r="BN208">
            <v>-924</v>
          </cell>
          <cell r="BO208">
            <v>0</v>
          </cell>
          <cell r="BP208">
            <v>0</v>
          </cell>
          <cell r="BQ208">
            <v>0</v>
          </cell>
          <cell r="BR208">
            <v>0</v>
          </cell>
          <cell r="BS208">
            <v>0</v>
          </cell>
          <cell r="BT208">
            <v>86550295</v>
          </cell>
          <cell r="BU208">
            <v>-740631</v>
          </cell>
          <cell r="BV208">
            <v>3407220</v>
          </cell>
          <cell r="BW208">
            <v>-2621411</v>
          </cell>
          <cell r="BX208">
            <v>3221406</v>
          </cell>
          <cell r="BY208">
            <v>3017262</v>
          </cell>
          <cell r="BZ208">
            <v>81537055</v>
          </cell>
          <cell r="CA208">
            <v>1610703</v>
          </cell>
          <cell r="CB208">
            <v>1578489</v>
          </cell>
          <cell r="CC208">
            <v>0</v>
          </cell>
          <cell r="CD208">
            <v>32214</v>
          </cell>
          <cell r="CE208">
            <v>1508631</v>
          </cell>
          <cell r="CF208">
            <v>1478458</v>
          </cell>
          <cell r="CG208">
            <v>0</v>
          </cell>
          <cell r="CH208">
            <v>30173</v>
          </cell>
        </row>
        <row r="209">
          <cell r="A209">
            <v>202</v>
          </cell>
          <cell r="B209" t="str">
            <v>Preston</v>
          </cell>
          <cell r="C209" t="str">
            <v>E2339</v>
          </cell>
          <cell r="D209">
            <v>224997</v>
          </cell>
          <cell r="H209">
            <v>-8711463</v>
          </cell>
          <cell r="I209">
            <v>0</v>
          </cell>
          <cell r="J209">
            <v>224997</v>
          </cell>
          <cell r="K209">
            <v>0</v>
          </cell>
          <cell r="L209">
            <v>15543</v>
          </cell>
          <cell r="M209">
            <v>0</v>
          </cell>
          <cell r="N209">
            <v>0</v>
          </cell>
          <cell r="O209">
            <v>0</v>
          </cell>
          <cell r="P209">
            <v>0</v>
          </cell>
          <cell r="Q209">
            <v>0</v>
          </cell>
          <cell r="R209">
            <v>876396</v>
          </cell>
          <cell r="S209">
            <v>197189</v>
          </cell>
          <cell r="T209">
            <v>21910</v>
          </cell>
          <cell r="U209">
            <v>8158</v>
          </cell>
          <cell r="V209">
            <v>1835</v>
          </cell>
          <cell r="W209">
            <v>204</v>
          </cell>
          <cell r="X209">
            <v>0</v>
          </cell>
          <cell r="Y209">
            <v>0</v>
          </cell>
          <cell r="Z209">
            <v>0</v>
          </cell>
          <cell r="AA209">
            <v>17846</v>
          </cell>
          <cell r="AB209">
            <v>4015</v>
          </cell>
          <cell r="AC209">
            <v>446</v>
          </cell>
          <cell r="AD209">
            <v>0</v>
          </cell>
          <cell r="AE209">
            <v>0</v>
          </cell>
          <cell r="AF209">
            <v>0</v>
          </cell>
          <cell r="AG209">
            <v>0</v>
          </cell>
          <cell r="AH209">
            <v>0</v>
          </cell>
          <cell r="AI209">
            <v>0</v>
          </cell>
          <cell r="AM209">
            <v>0</v>
          </cell>
          <cell r="AN209">
            <v>0</v>
          </cell>
          <cell r="AO209">
            <v>0</v>
          </cell>
          <cell r="AP209">
            <v>320883</v>
          </cell>
          <cell r="AQ209">
            <v>72146</v>
          </cell>
          <cell r="AR209">
            <v>8016</v>
          </cell>
          <cell r="AS209">
            <v>-1934669.8</v>
          </cell>
          <cell r="AT209">
            <v>-1547734</v>
          </cell>
          <cell r="AU209">
            <v>-348239</v>
          </cell>
          <cell r="AV209">
            <v>-38693</v>
          </cell>
          <cell r="AW209">
            <v>-3869335.8</v>
          </cell>
          <cell r="AX209">
            <v>-3972585.2</v>
          </cell>
          <cell r="AY209">
            <v>-3178068</v>
          </cell>
          <cell r="AZ209">
            <v>-715064</v>
          </cell>
          <cell r="BA209">
            <v>-79452</v>
          </cell>
          <cell r="BB209">
            <v>-7945169.1999999993</v>
          </cell>
          <cell r="BC209">
            <v>69782996</v>
          </cell>
          <cell r="BD209">
            <v>-3550373</v>
          </cell>
          <cell r="BE209">
            <v>1949726</v>
          </cell>
          <cell r="BF209">
            <v>0</v>
          </cell>
          <cell r="BG209">
            <v>-5056227</v>
          </cell>
          <cell r="BH209">
            <v>-95873</v>
          </cell>
          <cell r="BI209">
            <v>-1839</v>
          </cell>
          <cell r="BJ209">
            <v>-975</v>
          </cell>
          <cell r="BK209">
            <v>-3069777</v>
          </cell>
          <cell r="BL209">
            <v>-88289</v>
          </cell>
          <cell r="BM209">
            <v>-27362</v>
          </cell>
          <cell r="BN209">
            <v>-5477</v>
          </cell>
          <cell r="BO209">
            <v>-1218</v>
          </cell>
          <cell r="BP209">
            <v>0</v>
          </cell>
          <cell r="BQ209">
            <v>0</v>
          </cell>
          <cell r="BR209">
            <v>0</v>
          </cell>
          <cell r="BS209">
            <v>0</v>
          </cell>
          <cell r="BT209">
            <v>69491624</v>
          </cell>
          <cell r="BU209">
            <v>-235990</v>
          </cell>
          <cell r="BV209">
            <v>5662820</v>
          </cell>
          <cell r="BW209">
            <v>-1754885</v>
          </cell>
          <cell r="BX209">
            <v>-838984</v>
          </cell>
          <cell r="BY209">
            <v>-4463891</v>
          </cell>
          <cell r="BZ209">
            <v>53365287</v>
          </cell>
          <cell r="CA209">
            <v>-419492</v>
          </cell>
          <cell r="CB209">
            <v>-335594</v>
          </cell>
          <cell r="CC209">
            <v>-75508</v>
          </cell>
          <cell r="CD209">
            <v>-8390</v>
          </cell>
          <cell r="CE209">
            <v>-2231946</v>
          </cell>
          <cell r="CF209">
            <v>-1785556</v>
          </cell>
          <cell r="CG209">
            <v>-401750</v>
          </cell>
          <cell r="CH209">
            <v>-44639</v>
          </cell>
        </row>
        <row r="210">
          <cell r="A210">
            <v>203</v>
          </cell>
          <cell r="B210" t="str">
            <v>Purbeck</v>
          </cell>
          <cell r="C210" t="str">
            <v>E1236</v>
          </cell>
          <cell r="D210">
            <v>98958</v>
          </cell>
          <cell r="H210">
            <v>367229</v>
          </cell>
          <cell r="I210">
            <v>0</v>
          </cell>
          <cell r="J210">
            <v>98958</v>
          </cell>
          <cell r="K210">
            <v>0</v>
          </cell>
          <cell r="L210">
            <v>105380</v>
          </cell>
          <cell r="M210">
            <v>0</v>
          </cell>
          <cell r="N210">
            <v>0</v>
          </cell>
          <cell r="O210">
            <v>0</v>
          </cell>
          <cell r="P210">
            <v>0</v>
          </cell>
          <cell r="Q210">
            <v>0</v>
          </cell>
          <cell r="R210">
            <v>472535</v>
          </cell>
          <cell r="S210">
            <v>106320</v>
          </cell>
          <cell r="T210">
            <v>11813</v>
          </cell>
          <cell r="U210">
            <v>0</v>
          </cell>
          <cell r="V210">
            <v>0</v>
          </cell>
          <cell r="W210">
            <v>0</v>
          </cell>
          <cell r="X210">
            <v>6138</v>
          </cell>
          <cell r="Y210">
            <v>1381</v>
          </cell>
          <cell r="Z210">
            <v>153</v>
          </cell>
          <cell r="AA210">
            <v>0</v>
          </cell>
          <cell r="AB210">
            <v>0</v>
          </cell>
          <cell r="AC210">
            <v>0</v>
          </cell>
          <cell r="AD210">
            <v>0</v>
          </cell>
          <cell r="AE210">
            <v>0</v>
          </cell>
          <cell r="AF210">
            <v>0</v>
          </cell>
          <cell r="AG210">
            <v>0</v>
          </cell>
          <cell r="AH210">
            <v>0</v>
          </cell>
          <cell r="AI210">
            <v>0</v>
          </cell>
          <cell r="AM210">
            <v>0</v>
          </cell>
          <cell r="AN210">
            <v>0</v>
          </cell>
          <cell r="AO210">
            <v>0</v>
          </cell>
          <cell r="AP210">
            <v>96289</v>
          </cell>
          <cell r="AQ210">
            <v>21309</v>
          </cell>
          <cell r="AR210">
            <v>2368</v>
          </cell>
          <cell r="AS210">
            <v>-85302</v>
          </cell>
          <cell r="AT210">
            <v>-68242</v>
          </cell>
          <cell r="AU210">
            <v>-15355</v>
          </cell>
          <cell r="AV210">
            <v>-1706</v>
          </cell>
          <cell r="AW210">
            <v>-170605</v>
          </cell>
          <cell r="AX210">
            <v>-1948544</v>
          </cell>
          <cell r="AY210">
            <v>-1558834</v>
          </cell>
          <cell r="AZ210">
            <v>-350738</v>
          </cell>
          <cell r="BA210">
            <v>-38971</v>
          </cell>
          <cell r="BB210">
            <v>-3897087</v>
          </cell>
          <cell r="BC210">
            <v>9983731</v>
          </cell>
          <cell r="BD210">
            <v>-1955000</v>
          </cell>
          <cell r="BE210">
            <v>402696</v>
          </cell>
          <cell r="BF210">
            <v>0</v>
          </cell>
          <cell r="BG210">
            <v>-1044139</v>
          </cell>
          <cell r="BH210">
            <v>-46221</v>
          </cell>
          <cell r="BI210">
            <v>-7381</v>
          </cell>
          <cell r="BJ210">
            <v>0</v>
          </cell>
          <cell r="BK210">
            <v>-194731</v>
          </cell>
          <cell r="BL210">
            <v>-16616</v>
          </cell>
          <cell r="BM210">
            <v>-5168</v>
          </cell>
          <cell r="BN210">
            <v>-1700</v>
          </cell>
          <cell r="BO210">
            <v>-4064</v>
          </cell>
          <cell r="BP210">
            <v>0</v>
          </cell>
          <cell r="BQ210">
            <v>0</v>
          </cell>
          <cell r="BR210">
            <v>0</v>
          </cell>
          <cell r="BS210">
            <v>0</v>
          </cell>
          <cell r="BT210">
            <v>11138239</v>
          </cell>
          <cell r="BU210">
            <v>-96783</v>
          </cell>
          <cell r="BV210">
            <v>539107</v>
          </cell>
          <cell r="BW210">
            <v>-368021</v>
          </cell>
          <cell r="BX210">
            <v>-7901121</v>
          </cell>
          <cell r="BY210">
            <v>-7896242</v>
          </cell>
          <cell r="BZ210">
            <v>15761836</v>
          </cell>
          <cell r="CA210">
            <v>-3950560</v>
          </cell>
          <cell r="CB210">
            <v>-3160449</v>
          </cell>
          <cell r="CC210">
            <v>-711100</v>
          </cell>
          <cell r="CD210">
            <v>-79012</v>
          </cell>
          <cell r="CE210">
            <v>-3948121</v>
          </cell>
          <cell r="CF210">
            <v>-3158497</v>
          </cell>
          <cell r="CG210">
            <v>-710662</v>
          </cell>
          <cell r="CH210">
            <v>-78962</v>
          </cell>
        </row>
        <row r="211">
          <cell r="A211">
            <v>204</v>
          </cell>
          <cell r="B211" t="str">
            <v>Reading</v>
          </cell>
          <cell r="C211" t="str">
            <v>E0303</v>
          </cell>
          <cell r="D211">
            <v>282531</v>
          </cell>
          <cell r="H211">
            <v>5808733</v>
          </cell>
          <cell r="I211">
            <v>0</v>
          </cell>
          <cell r="J211">
            <v>282531</v>
          </cell>
          <cell r="K211">
            <v>0</v>
          </cell>
          <cell r="L211">
            <v>0</v>
          </cell>
          <cell r="M211">
            <v>0</v>
          </cell>
          <cell r="N211">
            <v>0</v>
          </cell>
          <cell r="O211">
            <v>0</v>
          </cell>
          <cell r="P211">
            <v>0</v>
          </cell>
          <cell r="Q211">
            <v>0</v>
          </cell>
          <cell r="R211">
            <v>676662</v>
          </cell>
          <cell r="S211">
            <v>0</v>
          </cell>
          <cell r="T211">
            <v>13809</v>
          </cell>
          <cell r="U211">
            <v>0</v>
          </cell>
          <cell r="V211">
            <v>0</v>
          </cell>
          <cell r="W211">
            <v>0</v>
          </cell>
          <cell r="X211">
            <v>49498</v>
          </cell>
          <cell r="Y211">
            <v>0</v>
          </cell>
          <cell r="Z211">
            <v>1010</v>
          </cell>
          <cell r="AA211">
            <v>2806</v>
          </cell>
          <cell r="AB211">
            <v>0</v>
          </cell>
          <cell r="AC211">
            <v>57</v>
          </cell>
          <cell r="AD211">
            <v>0</v>
          </cell>
          <cell r="AE211">
            <v>0</v>
          </cell>
          <cell r="AF211">
            <v>0</v>
          </cell>
          <cell r="AG211">
            <v>0</v>
          </cell>
          <cell r="AH211">
            <v>0</v>
          </cell>
          <cell r="AI211">
            <v>0</v>
          </cell>
          <cell r="AM211">
            <v>0</v>
          </cell>
          <cell r="AN211">
            <v>0</v>
          </cell>
          <cell r="AO211">
            <v>0</v>
          </cell>
          <cell r="AP211">
            <v>912704</v>
          </cell>
          <cell r="AQ211">
            <v>0</v>
          </cell>
          <cell r="AR211">
            <v>18627</v>
          </cell>
          <cell r="AS211">
            <v>-1454749.1</v>
          </cell>
          <cell r="AT211">
            <v>-1425654</v>
          </cell>
          <cell r="AU211">
            <v>0</v>
          </cell>
          <cell r="AV211">
            <v>-29096</v>
          </cell>
          <cell r="AW211">
            <v>-2909499.1</v>
          </cell>
          <cell r="AX211">
            <v>-5275000.2899999991</v>
          </cell>
          <cell r="AY211">
            <v>-5169500</v>
          </cell>
          <cell r="AZ211">
            <v>0</v>
          </cell>
          <cell r="BA211">
            <v>-105500</v>
          </cell>
          <cell r="BB211">
            <v>-10550000.289999999</v>
          </cell>
          <cell r="BC211">
            <v>118500000</v>
          </cell>
          <cell r="BD211">
            <v>-1947087</v>
          </cell>
          <cell r="BE211">
            <v>3053780</v>
          </cell>
          <cell r="BF211">
            <v>0</v>
          </cell>
          <cell r="BG211">
            <v>-4314048</v>
          </cell>
          <cell r="BH211">
            <v>-6839</v>
          </cell>
          <cell r="BI211">
            <v>0</v>
          </cell>
          <cell r="BJ211">
            <v>-31630</v>
          </cell>
          <cell r="BK211">
            <v>-3712261</v>
          </cell>
          <cell r="BL211">
            <v>-748</v>
          </cell>
          <cell r="BM211">
            <v>0</v>
          </cell>
          <cell r="BN211">
            <v>0</v>
          </cell>
          <cell r="BO211">
            <v>0</v>
          </cell>
          <cell r="BP211">
            <v>0</v>
          </cell>
          <cell r="BQ211">
            <v>0</v>
          </cell>
          <cell r="BR211">
            <v>0</v>
          </cell>
          <cell r="BS211">
            <v>0</v>
          </cell>
          <cell r="BT211">
            <v>113422254</v>
          </cell>
          <cell r="BU211">
            <v>-265739</v>
          </cell>
          <cell r="BV211">
            <v>6075322</v>
          </cell>
          <cell r="BW211">
            <v>-2625725</v>
          </cell>
          <cell r="BX211">
            <v>11199999.710000008</v>
          </cell>
          <cell r="BY211">
            <v>1800000</v>
          </cell>
          <cell r="BZ211">
            <v>124000000</v>
          </cell>
          <cell r="CA211">
            <v>5599999.7100000083</v>
          </cell>
          <cell r="CB211">
            <v>5488000</v>
          </cell>
          <cell r="CC211">
            <v>0</v>
          </cell>
          <cell r="CD211">
            <v>112000</v>
          </cell>
          <cell r="CE211">
            <v>900000</v>
          </cell>
          <cell r="CF211">
            <v>882000</v>
          </cell>
          <cell r="CG211">
            <v>0</v>
          </cell>
          <cell r="CH211">
            <v>18000</v>
          </cell>
        </row>
        <row r="212">
          <cell r="A212">
            <v>205</v>
          </cell>
          <cell r="B212" t="str">
            <v>Redbridge</v>
          </cell>
          <cell r="C212" t="str">
            <v>E5046</v>
          </cell>
          <cell r="D212">
            <v>281336</v>
          </cell>
          <cell r="H212">
            <v>3967979</v>
          </cell>
          <cell r="I212">
            <v>0</v>
          </cell>
          <cell r="J212">
            <v>281336</v>
          </cell>
          <cell r="K212">
            <v>0</v>
          </cell>
          <cell r="L212">
            <v>0</v>
          </cell>
          <cell r="M212">
            <v>0</v>
          </cell>
          <cell r="N212">
            <v>0</v>
          </cell>
          <cell r="O212">
            <v>0</v>
          </cell>
          <cell r="P212">
            <v>0</v>
          </cell>
          <cell r="Q212">
            <v>0</v>
          </cell>
          <cell r="R212">
            <v>806099</v>
          </cell>
          <cell r="S212">
            <v>994190</v>
          </cell>
          <cell r="T212">
            <v>0</v>
          </cell>
          <cell r="U212">
            <v>3328</v>
          </cell>
          <cell r="V212">
            <v>4104</v>
          </cell>
          <cell r="W212">
            <v>0</v>
          </cell>
          <cell r="X212">
            <v>423</v>
          </cell>
          <cell r="Y212">
            <v>522</v>
          </cell>
          <cell r="Z212">
            <v>0</v>
          </cell>
          <cell r="AA212">
            <v>8855</v>
          </cell>
          <cell r="AB212">
            <v>10920</v>
          </cell>
          <cell r="AC212">
            <v>0</v>
          </cell>
          <cell r="AD212">
            <v>0</v>
          </cell>
          <cell r="AE212">
            <v>0</v>
          </cell>
          <cell r="AF212">
            <v>0</v>
          </cell>
          <cell r="AG212">
            <v>0</v>
          </cell>
          <cell r="AH212">
            <v>0</v>
          </cell>
          <cell r="AI212">
            <v>0</v>
          </cell>
          <cell r="AM212">
            <v>0</v>
          </cell>
          <cell r="AN212">
            <v>0</v>
          </cell>
          <cell r="AO212">
            <v>0</v>
          </cell>
          <cell r="AP212">
            <v>265380</v>
          </cell>
          <cell r="AQ212">
            <v>327302</v>
          </cell>
          <cell r="AR212">
            <v>0</v>
          </cell>
          <cell r="AS212">
            <v>-4173175</v>
          </cell>
          <cell r="AT212">
            <v>-2503905</v>
          </cell>
          <cell r="AU212">
            <v>-1669269</v>
          </cell>
          <cell r="AV212">
            <v>0</v>
          </cell>
          <cell r="AW212">
            <v>-8346349</v>
          </cell>
          <cell r="AX212">
            <v>-275000</v>
          </cell>
          <cell r="AY212">
            <v>-165000</v>
          </cell>
          <cell r="AZ212">
            <v>-110000</v>
          </cell>
          <cell r="BA212">
            <v>0</v>
          </cell>
          <cell r="BB212">
            <v>-550000</v>
          </cell>
          <cell r="BC212">
            <v>54239720</v>
          </cell>
          <cell r="BD212">
            <v>-4111130</v>
          </cell>
          <cell r="BE212">
            <v>1261944</v>
          </cell>
          <cell r="BF212">
            <v>0</v>
          </cell>
          <cell r="BG212">
            <v>-4796768</v>
          </cell>
          <cell r="BH212">
            <v>-130681</v>
          </cell>
          <cell r="BI212">
            <v>0</v>
          </cell>
          <cell r="BJ212">
            <v>-7920</v>
          </cell>
          <cell r="BK212">
            <v>-1904646</v>
          </cell>
          <cell r="BL212">
            <v>-134203</v>
          </cell>
          <cell r="BM212">
            <v>-17569</v>
          </cell>
          <cell r="BN212">
            <v>0</v>
          </cell>
          <cell r="BO212">
            <v>0</v>
          </cell>
          <cell r="BP212">
            <v>0</v>
          </cell>
          <cell r="BQ212">
            <v>0</v>
          </cell>
          <cell r="BR212">
            <v>0</v>
          </cell>
          <cell r="BS212">
            <v>0</v>
          </cell>
          <cell r="BT212">
            <v>55206733</v>
          </cell>
          <cell r="BU212">
            <v>-1391164</v>
          </cell>
          <cell r="BV212">
            <v>9379417</v>
          </cell>
          <cell r="BW212">
            <v>-3306138</v>
          </cell>
          <cell r="BX212">
            <v>-236131</v>
          </cell>
          <cell r="BY212">
            <v>-207056</v>
          </cell>
          <cell r="BZ212">
            <v>58889106</v>
          </cell>
          <cell r="CA212">
            <v>-118065</v>
          </cell>
          <cell r="CB212">
            <v>-70840</v>
          </cell>
          <cell r="CC212">
            <v>-47226</v>
          </cell>
          <cell r="CD212">
            <v>0</v>
          </cell>
          <cell r="CE212">
            <v>-103528</v>
          </cell>
          <cell r="CF212">
            <v>-62117</v>
          </cell>
          <cell r="CG212">
            <v>-41411</v>
          </cell>
          <cell r="CH212">
            <v>0</v>
          </cell>
        </row>
        <row r="213">
          <cell r="A213">
            <v>206</v>
          </cell>
          <cell r="B213" t="str">
            <v>Redcar and Cleveland</v>
          </cell>
          <cell r="C213" t="str">
            <v>E0703</v>
          </cell>
          <cell r="D213">
            <v>157055</v>
          </cell>
          <cell r="H213">
            <v>-790999</v>
          </cell>
          <cell r="I213">
            <v>0</v>
          </cell>
          <cell r="J213">
            <v>157055</v>
          </cell>
          <cell r="K213">
            <v>356805</v>
          </cell>
          <cell r="L213">
            <v>0</v>
          </cell>
          <cell r="M213">
            <v>0</v>
          </cell>
          <cell r="N213">
            <v>0</v>
          </cell>
          <cell r="O213">
            <v>0</v>
          </cell>
          <cell r="P213">
            <v>0</v>
          </cell>
          <cell r="Q213">
            <v>0</v>
          </cell>
          <cell r="R213">
            <v>788027</v>
          </cell>
          <cell r="S213">
            <v>0</v>
          </cell>
          <cell r="T213">
            <v>16082</v>
          </cell>
          <cell r="U213">
            <v>0</v>
          </cell>
          <cell r="V213">
            <v>0</v>
          </cell>
          <cell r="W213">
            <v>0</v>
          </cell>
          <cell r="X213">
            <v>0</v>
          </cell>
          <cell r="Y213">
            <v>0</v>
          </cell>
          <cell r="Z213">
            <v>0</v>
          </cell>
          <cell r="AA213">
            <v>99472</v>
          </cell>
          <cell r="AB213">
            <v>0</v>
          </cell>
          <cell r="AC213">
            <v>2030</v>
          </cell>
          <cell r="AD213">
            <v>0</v>
          </cell>
          <cell r="AE213">
            <v>0</v>
          </cell>
          <cell r="AF213">
            <v>0</v>
          </cell>
          <cell r="AG213">
            <v>0</v>
          </cell>
          <cell r="AH213">
            <v>0</v>
          </cell>
          <cell r="AI213">
            <v>0</v>
          </cell>
          <cell r="AM213">
            <v>0</v>
          </cell>
          <cell r="AN213">
            <v>0</v>
          </cell>
          <cell r="AO213">
            <v>0</v>
          </cell>
          <cell r="AP213">
            <v>259372</v>
          </cell>
          <cell r="AQ213">
            <v>0</v>
          </cell>
          <cell r="AR213">
            <v>5184</v>
          </cell>
          <cell r="AS213">
            <v>-5894772</v>
          </cell>
          <cell r="AT213">
            <v>-5776877</v>
          </cell>
          <cell r="AU213">
            <v>0</v>
          </cell>
          <cell r="AV213">
            <v>-117896</v>
          </cell>
          <cell r="AW213">
            <v>-11789545</v>
          </cell>
          <cell r="AX213">
            <v>-2262882.2999999998</v>
          </cell>
          <cell r="AY213">
            <v>-2217627</v>
          </cell>
          <cell r="AZ213">
            <v>0</v>
          </cell>
          <cell r="BA213">
            <v>-45257</v>
          </cell>
          <cell r="BB213">
            <v>-4525766.3</v>
          </cell>
          <cell r="BC213">
            <v>36185584</v>
          </cell>
          <cell r="BD213">
            <v>-2674008</v>
          </cell>
          <cell r="BE213">
            <v>1330748</v>
          </cell>
          <cell r="BF213">
            <v>0</v>
          </cell>
          <cell r="BG213">
            <v>-2969312</v>
          </cell>
          <cell r="BH213">
            <v>-53101</v>
          </cell>
          <cell r="BI213">
            <v>-609</v>
          </cell>
          <cell r="BJ213">
            <v>0</v>
          </cell>
          <cell r="BK213">
            <v>-10819405</v>
          </cell>
          <cell r="BL213">
            <v>-34658</v>
          </cell>
          <cell r="BM213">
            <v>-313457</v>
          </cell>
          <cell r="BN213">
            <v>0</v>
          </cell>
          <cell r="BO213">
            <v>0</v>
          </cell>
          <cell r="BP213">
            <v>-7334</v>
          </cell>
          <cell r="BQ213">
            <v>0</v>
          </cell>
          <cell r="BR213">
            <v>0</v>
          </cell>
          <cell r="BS213">
            <v>0</v>
          </cell>
          <cell r="BT213">
            <v>37056401</v>
          </cell>
          <cell r="BU213">
            <v>-226224</v>
          </cell>
          <cell r="BV213">
            <v>14060645</v>
          </cell>
          <cell r="BW213">
            <v>-1247291</v>
          </cell>
          <cell r="BX213">
            <v>919533</v>
          </cell>
          <cell r="BY213">
            <v>1019093</v>
          </cell>
          <cell r="BZ213">
            <v>34510165</v>
          </cell>
          <cell r="CA213">
            <v>459766</v>
          </cell>
          <cell r="CB213">
            <v>450571</v>
          </cell>
          <cell r="CC213">
            <v>0</v>
          </cell>
          <cell r="CD213">
            <v>9196</v>
          </cell>
          <cell r="CE213">
            <v>509546</v>
          </cell>
          <cell r="CF213">
            <v>499356</v>
          </cell>
          <cell r="CG213">
            <v>0</v>
          </cell>
          <cell r="CH213">
            <v>10191</v>
          </cell>
        </row>
        <row r="214">
          <cell r="A214">
            <v>207</v>
          </cell>
          <cell r="B214" t="str">
            <v>Redditch</v>
          </cell>
          <cell r="C214" t="str">
            <v>E1835</v>
          </cell>
          <cell r="D214">
            <v>106549</v>
          </cell>
          <cell r="H214">
            <v>-2980302.81</v>
          </cell>
          <cell r="I214">
            <v>0</v>
          </cell>
          <cell r="J214">
            <v>106549</v>
          </cell>
          <cell r="K214">
            <v>0</v>
          </cell>
          <cell r="L214">
            <v>0</v>
          </cell>
          <cell r="M214">
            <v>0</v>
          </cell>
          <cell r="N214">
            <v>0</v>
          </cell>
          <cell r="O214">
            <v>0</v>
          </cell>
          <cell r="P214">
            <v>0</v>
          </cell>
          <cell r="Q214">
            <v>0</v>
          </cell>
          <cell r="R214">
            <v>402467</v>
          </cell>
          <cell r="S214">
            <v>90555</v>
          </cell>
          <cell r="T214">
            <v>10062</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M214">
            <v>0</v>
          </cell>
          <cell r="AN214">
            <v>0</v>
          </cell>
          <cell r="AO214">
            <v>0</v>
          </cell>
          <cell r="AP214">
            <v>190156</v>
          </cell>
          <cell r="AQ214">
            <v>42785</v>
          </cell>
          <cell r="AR214">
            <v>4754</v>
          </cell>
          <cell r="AS214">
            <v>-832572</v>
          </cell>
          <cell r="AT214">
            <v>-666057</v>
          </cell>
          <cell r="AU214">
            <v>-149863</v>
          </cell>
          <cell r="AV214">
            <v>-16651</v>
          </cell>
          <cell r="AW214">
            <v>-1665143</v>
          </cell>
          <cell r="AX214">
            <v>-1420970</v>
          </cell>
          <cell r="AY214">
            <v>-1136775</v>
          </cell>
          <cell r="AZ214">
            <v>-255773</v>
          </cell>
          <cell r="BA214">
            <v>-28420</v>
          </cell>
          <cell r="BB214">
            <v>-2841938</v>
          </cell>
          <cell r="BC214">
            <v>36632693</v>
          </cell>
          <cell r="BD214">
            <v>-1502660</v>
          </cell>
          <cell r="BE214">
            <v>968276</v>
          </cell>
          <cell r="BF214">
            <v>0</v>
          </cell>
          <cell r="BG214">
            <v>-1177093</v>
          </cell>
          <cell r="BH214">
            <v>-13777</v>
          </cell>
          <cell r="BI214">
            <v>-1416</v>
          </cell>
          <cell r="BJ214">
            <v>-50474</v>
          </cell>
          <cell r="BK214">
            <v>-1157448</v>
          </cell>
          <cell r="BL214">
            <v>-28993</v>
          </cell>
          <cell r="BM214">
            <v>-51303</v>
          </cell>
          <cell r="BN214">
            <v>0</v>
          </cell>
          <cell r="BO214">
            <v>-1416</v>
          </cell>
          <cell r="BP214">
            <v>0</v>
          </cell>
          <cell r="BQ214">
            <v>0</v>
          </cell>
          <cell r="BR214">
            <v>0</v>
          </cell>
          <cell r="BS214">
            <v>0</v>
          </cell>
          <cell r="BT214">
            <v>37073228</v>
          </cell>
          <cell r="BU214">
            <v>-175575</v>
          </cell>
          <cell r="BV214">
            <v>2774253</v>
          </cell>
          <cell r="BW214">
            <v>-309513</v>
          </cell>
          <cell r="BX214">
            <v>-239083.89999999991</v>
          </cell>
          <cell r="BY214">
            <v>-1217929</v>
          </cell>
          <cell r="BZ214">
            <v>31647374</v>
          </cell>
          <cell r="CA214">
            <v>-119541.89999999991</v>
          </cell>
          <cell r="CB214">
            <v>-95634</v>
          </cell>
          <cell r="CC214">
            <v>-21518</v>
          </cell>
          <cell r="CD214">
            <v>-2390</v>
          </cell>
          <cell r="CE214">
            <v>-608964</v>
          </cell>
          <cell r="CF214">
            <v>-487172</v>
          </cell>
          <cell r="CG214">
            <v>-109614</v>
          </cell>
          <cell r="CH214">
            <v>-12179</v>
          </cell>
        </row>
        <row r="215">
          <cell r="A215">
            <v>208</v>
          </cell>
          <cell r="B215" t="str">
            <v>Reigate and Banstead</v>
          </cell>
          <cell r="C215" t="str">
            <v>E3635</v>
          </cell>
          <cell r="D215">
            <v>174020</v>
          </cell>
          <cell r="H215">
            <v>769898</v>
          </cell>
          <cell r="I215">
            <v>0</v>
          </cell>
          <cell r="J215">
            <v>174020</v>
          </cell>
          <cell r="K215">
            <v>0</v>
          </cell>
          <cell r="L215">
            <v>0</v>
          </cell>
          <cell r="M215">
            <v>0</v>
          </cell>
          <cell r="N215">
            <v>0</v>
          </cell>
          <cell r="O215">
            <v>0</v>
          </cell>
          <cell r="P215">
            <v>0</v>
          </cell>
          <cell r="Q215">
            <v>0</v>
          </cell>
          <cell r="R215">
            <v>552818</v>
          </cell>
          <cell r="S215">
            <v>138205</v>
          </cell>
          <cell r="T215">
            <v>0</v>
          </cell>
          <cell r="U215">
            <v>1967</v>
          </cell>
          <cell r="V215">
            <v>492</v>
          </cell>
          <cell r="W215">
            <v>0</v>
          </cell>
          <cell r="X215">
            <v>16428</v>
          </cell>
          <cell r="Y215">
            <v>4107</v>
          </cell>
          <cell r="Z215">
            <v>0</v>
          </cell>
          <cell r="AA215">
            <v>0</v>
          </cell>
          <cell r="AB215">
            <v>0</v>
          </cell>
          <cell r="AC215">
            <v>0</v>
          </cell>
          <cell r="AD215">
            <v>0</v>
          </cell>
          <cell r="AE215">
            <v>0</v>
          </cell>
          <cell r="AF215">
            <v>0</v>
          </cell>
          <cell r="AG215">
            <v>0</v>
          </cell>
          <cell r="AH215">
            <v>0</v>
          </cell>
          <cell r="AI215">
            <v>0</v>
          </cell>
          <cell r="AM215">
            <v>0</v>
          </cell>
          <cell r="AN215">
            <v>0</v>
          </cell>
          <cell r="AO215">
            <v>0</v>
          </cell>
          <cell r="AP215">
            <v>338129</v>
          </cell>
          <cell r="AQ215">
            <v>84532</v>
          </cell>
          <cell r="AR215">
            <v>0</v>
          </cell>
          <cell r="AS215">
            <v>-47577.100000000006</v>
          </cell>
          <cell r="AT215">
            <v>-38060</v>
          </cell>
          <cell r="AU215">
            <v>-9515</v>
          </cell>
          <cell r="AV215">
            <v>0</v>
          </cell>
          <cell r="AW215">
            <v>-95152.1</v>
          </cell>
          <cell r="AX215">
            <v>-2087873</v>
          </cell>
          <cell r="AY215">
            <v>-1670301</v>
          </cell>
          <cell r="AZ215">
            <v>-417576</v>
          </cell>
          <cell r="BA215">
            <v>0</v>
          </cell>
          <cell r="BB215">
            <v>-4175750</v>
          </cell>
          <cell r="BC215">
            <v>49719722</v>
          </cell>
          <cell r="BD215">
            <v>-2057689</v>
          </cell>
          <cell r="BE215">
            <v>1361521</v>
          </cell>
          <cell r="BF215">
            <v>0</v>
          </cell>
          <cell r="BG215">
            <v>-3433121</v>
          </cell>
          <cell r="BH215">
            <v>-68635</v>
          </cell>
          <cell r="BI215">
            <v>0</v>
          </cell>
          <cell r="BJ215">
            <v>-73542</v>
          </cell>
          <cell r="BK215">
            <v>-1941313</v>
          </cell>
          <cell r="BL215">
            <v>-48720</v>
          </cell>
          <cell r="BM215">
            <v>-61153</v>
          </cell>
          <cell r="BN215">
            <v>-2032</v>
          </cell>
          <cell r="BO215">
            <v>-2635</v>
          </cell>
          <cell r="BP215">
            <v>0</v>
          </cell>
          <cell r="BQ215">
            <v>0</v>
          </cell>
          <cell r="BR215">
            <v>0</v>
          </cell>
          <cell r="BS215">
            <v>0</v>
          </cell>
          <cell r="BT215">
            <v>50551701</v>
          </cell>
          <cell r="BU215">
            <v>-157407</v>
          </cell>
          <cell r="BV215">
            <v>571552</v>
          </cell>
          <cell r="BW215">
            <v>-1747481</v>
          </cell>
          <cell r="BX215">
            <v>3561165</v>
          </cell>
          <cell r="BY215">
            <v>4641668</v>
          </cell>
          <cell r="BZ215">
            <v>56274311</v>
          </cell>
          <cell r="CA215">
            <v>1780583</v>
          </cell>
          <cell r="CB215">
            <v>1424466</v>
          </cell>
          <cell r="CC215">
            <v>356116</v>
          </cell>
          <cell r="CD215">
            <v>0</v>
          </cell>
          <cell r="CE215">
            <v>2320834</v>
          </cell>
          <cell r="CF215">
            <v>1856667</v>
          </cell>
          <cell r="CG215">
            <v>464167</v>
          </cell>
          <cell r="CH215">
            <v>0</v>
          </cell>
        </row>
        <row r="216">
          <cell r="A216">
            <v>209</v>
          </cell>
          <cell r="B216" t="str">
            <v>Ribble Valley</v>
          </cell>
          <cell r="C216" t="str">
            <v>E2340</v>
          </cell>
          <cell r="D216">
            <v>88997</v>
          </cell>
          <cell r="H216">
            <v>-23552</v>
          </cell>
          <cell r="I216">
            <v>0</v>
          </cell>
          <cell r="J216">
            <v>88997</v>
          </cell>
          <cell r="K216">
            <v>21152</v>
          </cell>
          <cell r="L216">
            <v>29091</v>
          </cell>
          <cell r="M216">
            <v>0</v>
          </cell>
          <cell r="N216">
            <v>0</v>
          </cell>
          <cell r="O216">
            <v>0</v>
          </cell>
          <cell r="P216">
            <v>0</v>
          </cell>
          <cell r="Q216">
            <v>0</v>
          </cell>
          <cell r="R216">
            <v>549639</v>
          </cell>
          <cell r="S216">
            <v>123669</v>
          </cell>
          <cell r="T216">
            <v>13741</v>
          </cell>
          <cell r="U216">
            <v>1851</v>
          </cell>
          <cell r="V216">
            <v>416</v>
          </cell>
          <cell r="W216">
            <v>46</v>
          </cell>
          <cell r="X216">
            <v>0</v>
          </cell>
          <cell r="Y216">
            <v>0</v>
          </cell>
          <cell r="Z216">
            <v>0</v>
          </cell>
          <cell r="AA216">
            <v>0</v>
          </cell>
          <cell r="AB216">
            <v>0</v>
          </cell>
          <cell r="AC216">
            <v>0</v>
          </cell>
          <cell r="AD216">
            <v>0</v>
          </cell>
          <cell r="AE216">
            <v>0</v>
          </cell>
          <cell r="AF216">
            <v>0</v>
          </cell>
          <cell r="AG216">
            <v>0</v>
          </cell>
          <cell r="AH216">
            <v>0</v>
          </cell>
          <cell r="AI216">
            <v>0</v>
          </cell>
          <cell r="AM216">
            <v>0</v>
          </cell>
          <cell r="AN216">
            <v>0</v>
          </cell>
          <cell r="AO216">
            <v>0</v>
          </cell>
          <cell r="AP216">
            <v>86529</v>
          </cell>
          <cell r="AQ216">
            <v>19299</v>
          </cell>
          <cell r="AR216">
            <v>2144</v>
          </cell>
          <cell r="AS216">
            <v>-165000</v>
          </cell>
          <cell r="AT216">
            <v>-132000</v>
          </cell>
          <cell r="AU216">
            <v>-29700</v>
          </cell>
          <cell r="AV216">
            <v>-3300</v>
          </cell>
          <cell r="AW216">
            <v>-330000</v>
          </cell>
          <cell r="AX216">
            <v>-634450</v>
          </cell>
          <cell r="AY216">
            <v>-507560</v>
          </cell>
          <cell r="AZ216">
            <v>-114201</v>
          </cell>
          <cell r="BA216">
            <v>-12689</v>
          </cell>
          <cell r="BB216">
            <v>-1268900</v>
          </cell>
          <cell r="BC216">
            <v>14805649</v>
          </cell>
          <cell r="BD216">
            <v>-2028878</v>
          </cell>
          <cell r="BE216">
            <v>380045</v>
          </cell>
          <cell r="BF216">
            <v>0</v>
          </cell>
          <cell r="BG216">
            <v>-954433</v>
          </cell>
          <cell r="BH216">
            <v>-42235</v>
          </cell>
          <cell r="BI216">
            <v>-26858</v>
          </cell>
          <cell r="BJ216">
            <v>0</v>
          </cell>
          <cell r="BK216">
            <v>-417266</v>
          </cell>
          <cell r="BL216">
            <v>-30857</v>
          </cell>
          <cell r="BM216">
            <v>-10422</v>
          </cell>
          <cell r="BN216">
            <v>0</v>
          </cell>
          <cell r="BO216">
            <v>-11883</v>
          </cell>
          <cell r="BP216">
            <v>-1634</v>
          </cell>
          <cell r="BQ216">
            <v>0</v>
          </cell>
          <cell r="BR216">
            <v>0</v>
          </cell>
          <cell r="BS216">
            <v>0</v>
          </cell>
          <cell r="BT216">
            <v>15227605</v>
          </cell>
          <cell r="BU216">
            <v>-130947</v>
          </cell>
          <cell r="BV216">
            <v>495809</v>
          </cell>
          <cell r="BW216">
            <v>-139946</v>
          </cell>
          <cell r="BX216">
            <v>87265</v>
          </cell>
          <cell r="BY216">
            <v>113422</v>
          </cell>
          <cell r="BZ216">
            <v>14275299</v>
          </cell>
          <cell r="CA216">
            <v>43633</v>
          </cell>
          <cell r="CB216">
            <v>34906</v>
          </cell>
          <cell r="CC216">
            <v>7854</v>
          </cell>
          <cell r="CD216">
            <v>872</v>
          </cell>
          <cell r="CE216">
            <v>56711</v>
          </cell>
          <cell r="CF216">
            <v>45369</v>
          </cell>
          <cell r="CG216">
            <v>10208</v>
          </cell>
          <cell r="CH216">
            <v>1134</v>
          </cell>
        </row>
        <row r="217">
          <cell r="A217">
            <v>210</v>
          </cell>
          <cell r="B217" t="str">
            <v>Richmond upon Thames</v>
          </cell>
          <cell r="C217" t="str">
            <v>E5047</v>
          </cell>
          <cell r="D217">
            <v>287918</v>
          </cell>
          <cell r="H217">
            <v>2512534</v>
          </cell>
          <cell r="I217">
            <v>0</v>
          </cell>
          <cell r="J217">
            <v>287918</v>
          </cell>
          <cell r="K217">
            <v>0</v>
          </cell>
          <cell r="L217">
            <v>0</v>
          </cell>
          <cell r="M217">
            <v>0</v>
          </cell>
          <cell r="N217">
            <v>0</v>
          </cell>
          <cell r="O217">
            <v>0</v>
          </cell>
          <cell r="P217">
            <v>0</v>
          </cell>
          <cell r="Q217">
            <v>0</v>
          </cell>
          <cell r="R217">
            <v>626809</v>
          </cell>
          <cell r="S217">
            <v>773065</v>
          </cell>
          <cell r="T217">
            <v>0</v>
          </cell>
          <cell r="U217">
            <v>0</v>
          </cell>
          <cell r="V217">
            <v>0</v>
          </cell>
          <cell r="W217">
            <v>0</v>
          </cell>
          <cell r="X217">
            <v>11289</v>
          </cell>
          <cell r="Y217">
            <v>13924</v>
          </cell>
          <cell r="Z217">
            <v>0</v>
          </cell>
          <cell r="AA217">
            <v>15162</v>
          </cell>
          <cell r="AB217">
            <v>18700</v>
          </cell>
          <cell r="AC217">
            <v>0</v>
          </cell>
          <cell r="AD217">
            <v>0</v>
          </cell>
          <cell r="AE217">
            <v>0</v>
          </cell>
          <cell r="AF217">
            <v>0</v>
          </cell>
          <cell r="AG217">
            <v>0</v>
          </cell>
          <cell r="AH217">
            <v>0</v>
          </cell>
          <cell r="AI217">
            <v>0</v>
          </cell>
          <cell r="AM217">
            <v>0</v>
          </cell>
          <cell r="AN217">
            <v>0</v>
          </cell>
          <cell r="AO217">
            <v>0</v>
          </cell>
          <cell r="AP217">
            <v>384746</v>
          </cell>
          <cell r="AQ217">
            <v>474521</v>
          </cell>
          <cell r="AR217">
            <v>0</v>
          </cell>
          <cell r="AS217">
            <v>-54066</v>
          </cell>
          <cell r="AT217">
            <v>-32440</v>
          </cell>
          <cell r="AU217">
            <v>-21626</v>
          </cell>
          <cell r="AV217">
            <v>0</v>
          </cell>
          <cell r="AW217">
            <v>-108132</v>
          </cell>
          <cell r="AX217">
            <v>-4543862</v>
          </cell>
          <cell r="AY217">
            <v>-2726319</v>
          </cell>
          <cell r="AZ217">
            <v>-1817546</v>
          </cell>
          <cell r="BA217">
            <v>0</v>
          </cell>
          <cell r="BB217">
            <v>-9087727</v>
          </cell>
          <cell r="BC217">
            <v>82994148</v>
          </cell>
          <cell r="BD217">
            <v>-2367727</v>
          </cell>
          <cell r="BE217">
            <v>2113382</v>
          </cell>
          <cell r="BF217">
            <v>0</v>
          </cell>
          <cell r="BG217">
            <v>-9143209</v>
          </cell>
          <cell r="BH217">
            <v>-67139</v>
          </cell>
          <cell r="BI217">
            <v>0</v>
          </cell>
          <cell r="BJ217">
            <v>0</v>
          </cell>
          <cell r="BK217">
            <v>-2369741</v>
          </cell>
          <cell r="BL217">
            <v>-156159</v>
          </cell>
          <cell r="BM217">
            <v>-164577</v>
          </cell>
          <cell r="BN217">
            <v>-6709</v>
          </cell>
          <cell r="BO217">
            <v>0</v>
          </cell>
          <cell r="BP217">
            <v>0</v>
          </cell>
          <cell r="BQ217">
            <v>0</v>
          </cell>
          <cell r="BR217">
            <v>0</v>
          </cell>
          <cell r="BS217">
            <v>0</v>
          </cell>
          <cell r="BT217">
            <v>83156720</v>
          </cell>
          <cell r="BU217">
            <v>0</v>
          </cell>
          <cell r="BV217">
            <v>3563756</v>
          </cell>
          <cell r="BW217">
            <v>-2833259</v>
          </cell>
          <cell r="BX217">
            <v>-6562157</v>
          </cell>
          <cell r="BY217">
            <v>-5000000</v>
          </cell>
          <cell r="BZ217">
            <v>85377064</v>
          </cell>
          <cell r="CA217">
            <v>-3281078</v>
          </cell>
          <cell r="CB217">
            <v>-1968648</v>
          </cell>
          <cell r="CC217">
            <v>-1312431</v>
          </cell>
          <cell r="CD217">
            <v>0</v>
          </cell>
          <cell r="CE217">
            <v>-2500000</v>
          </cell>
          <cell r="CF217">
            <v>-1500000</v>
          </cell>
          <cell r="CG217">
            <v>-1000000</v>
          </cell>
          <cell r="CH217">
            <v>0</v>
          </cell>
        </row>
        <row r="218">
          <cell r="A218">
            <v>211</v>
          </cell>
          <cell r="B218" t="str">
            <v>Richmondshire</v>
          </cell>
          <cell r="C218" t="str">
            <v>E2734</v>
          </cell>
          <cell r="D218">
            <v>98663</v>
          </cell>
          <cell r="H218">
            <v>373392</v>
          </cell>
          <cell r="I218">
            <v>0</v>
          </cell>
          <cell r="J218">
            <v>98663</v>
          </cell>
          <cell r="K218">
            <v>0</v>
          </cell>
          <cell r="L218">
            <v>0</v>
          </cell>
          <cell r="M218">
            <v>0</v>
          </cell>
          <cell r="N218">
            <v>0</v>
          </cell>
          <cell r="O218">
            <v>0</v>
          </cell>
          <cell r="P218">
            <v>0</v>
          </cell>
          <cell r="Q218">
            <v>0</v>
          </cell>
          <cell r="R218">
            <v>490447</v>
          </cell>
          <cell r="S218">
            <v>110351</v>
          </cell>
          <cell r="T218">
            <v>12261</v>
          </cell>
          <cell r="U218">
            <v>39957</v>
          </cell>
          <cell r="V218">
            <v>8990</v>
          </cell>
          <cell r="W218">
            <v>999</v>
          </cell>
          <cell r="X218">
            <v>25166</v>
          </cell>
          <cell r="Y218">
            <v>5662</v>
          </cell>
          <cell r="Z218">
            <v>629</v>
          </cell>
          <cell r="AA218">
            <v>0</v>
          </cell>
          <cell r="AB218">
            <v>0</v>
          </cell>
          <cell r="AC218">
            <v>0</v>
          </cell>
          <cell r="AD218">
            <v>0</v>
          </cell>
          <cell r="AE218">
            <v>0</v>
          </cell>
          <cell r="AF218">
            <v>0</v>
          </cell>
          <cell r="AG218">
            <v>0</v>
          </cell>
          <cell r="AH218">
            <v>0</v>
          </cell>
          <cell r="AI218">
            <v>0</v>
          </cell>
          <cell r="AM218">
            <v>0</v>
          </cell>
          <cell r="AN218">
            <v>0</v>
          </cell>
          <cell r="AO218">
            <v>0</v>
          </cell>
          <cell r="AP218">
            <v>77890</v>
          </cell>
          <cell r="AQ218">
            <v>17525</v>
          </cell>
          <cell r="AR218">
            <v>1947</v>
          </cell>
          <cell r="AS218">
            <v>-80496</v>
          </cell>
          <cell r="AT218">
            <v>-64396</v>
          </cell>
          <cell r="AU218">
            <v>-14489</v>
          </cell>
          <cell r="AV218">
            <v>-1610</v>
          </cell>
          <cell r="AW218">
            <v>-160991</v>
          </cell>
          <cell r="AX218">
            <v>-583941</v>
          </cell>
          <cell r="AY218">
            <v>-467154</v>
          </cell>
          <cell r="AZ218">
            <v>-105110</v>
          </cell>
          <cell r="BA218">
            <v>-11679</v>
          </cell>
          <cell r="BB218">
            <v>-1167884</v>
          </cell>
          <cell r="BC218">
            <v>12535386</v>
          </cell>
          <cell r="BD218">
            <v>-2092252</v>
          </cell>
          <cell r="BE218">
            <v>328793</v>
          </cell>
          <cell r="BF218">
            <v>0</v>
          </cell>
          <cell r="BG218">
            <v>-571807</v>
          </cell>
          <cell r="BH218">
            <v>-50428</v>
          </cell>
          <cell r="BI218">
            <v>-45841</v>
          </cell>
          <cell r="BJ218">
            <v>-810</v>
          </cell>
          <cell r="BK218">
            <v>-332701</v>
          </cell>
          <cell r="BL218">
            <v>-32463</v>
          </cell>
          <cell r="BM218">
            <v>-4208</v>
          </cell>
          <cell r="BN218">
            <v>-3065</v>
          </cell>
          <cell r="BO218">
            <v>-23373</v>
          </cell>
          <cell r="BP218">
            <v>0</v>
          </cell>
          <cell r="BQ218">
            <v>0</v>
          </cell>
          <cell r="BR218">
            <v>0</v>
          </cell>
          <cell r="BS218">
            <v>0</v>
          </cell>
          <cell r="BT218">
            <v>13233303</v>
          </cell>
          <cell r="BU218">
            <v>-130041</v>
          </cell>
          <cell r="BV218">
            <v>330523</v>
          </cell>
          <cell r="BW218">
            <v>-201454</v>
          </cell>
          <cell r="BX218">
            <v>-300051</v>
          </cell>
          <cell r="BY218">
            <v>-1014177</v>
          </cell>
          <cell r="BZ218">
            <v>12963132</v>
          </cell>
          <cell r="CA218">
            <v>-150025</v>
          </cell>
          <cell r="CB218">
            <v>-120021</v>
          </cell>
          <cell r="CC218">
            <v>-27004</v>
          </cell>
          <cell r="CD218">
            <v>-3001</v>
          </cell>
          <cell r="CE218">
            <v>-507088</v>
          </cell>
          <cell r="CF218">
            <v>-405671</v>
          </cell>
          <cell r="CG218">
            <v>-91276</v>
          </cell>
          <cell r="CH218">
            <v>-10142</v>
          </cell>
        </row>
        <row r="219">
          <cell r="A219">
            <v>212</v>
          </cell>
          <cell r="B219" t="str">
            <v>Rochdale</v>
          </cell>
          <cell r="C219" t="str">
            <v>E4205</v>
          </cell>
          <cell r="D219">
            <v>281477</v>
          </cell>
          <cell r="H219">
            <v>-3093178</v>
          </cell>
          <cell r="I219">
            <v>0</v>
          </cell>
          <cell r="J219">
            <v>281477</v>
          </cell>
          <cell r="K219">
            <v>0</v>
          </cell>
          <cell r="L219">
            <v>495837</v>
          </cell>
          <cell r="M219">
            <v>0</v>
          </cell>
          <cell r="N219">
            <v>0</v>
          </cell>
          <cell r="O219">
            <v>0</v>
          </cell>
          <cell r="P219">
            <v>0</v>
          </cell>
          <cell r="Q219">
            <v>0</v>
          </cell>
          <cell r="R219">
            <v>3768267</v>
          </cell>
          <cell r="S219">
            <v>0</v>
          </cell>
          <cell r="T219">
            <v>38063</v>
          </cell>
          <cell r="U219">
            <v>0</v>
          </cell>
          <cell r="V219">
            <v>0</v>
          </cell>
          <cell r="W219">
            <v>0</v>
          </cell>
          <cell r="X219">
            <v>120585</v>
          </cell>
          <cell r="Y219">
            <v>0</v>
          </cell>
          <cell r="Z219">
            <v>1218</v>
          </cell>
          <cell r="AA219">
            <v>2010</v>
          </cell>
          <cell r="AB219">
            <v>0</v>
          </cell>
          <cell r="AC219">
            <v>20</v>
          </cell>
          <cell r="AD219">
            <v>0</v>
          </cell>
          <cell r="AE219">
            <v>0</v>
          </cell>
          <cell r="AF219">
            <v>0</v>
          </cell>
          <cell r="AG219">
            <v>0</v>
          </cell>
          <cell r="AH219">
            <v>0</v>
          </cell>
          <cell r="AI219">
            <v>0</v>
          </cell>
          <cell r="AM219">
            <v>0</v>
          </cell>
          <cell r="AN219">
            <v>0</v>
          </cell>
          <cell r="AO219">
            <v>0</v>
          </cell>
          <cell r="AP219">
            <v>839943</v>
          </cell>
          <cell r="AQ219">
            <v>0</v>
          </cell>
          <cell r="AR219">
            <v>8409</v>
          </cell>
          <cell r="AS219">
            <v>-349329</v>
          </cell>
          <cell r="AT219">
            <v>-342340</v>
          </cell>
          <cell r="AU219">
            <v>0</v>
          </cell>
          <cell r="AV219">
            <v>-6986</v>
          </cell>
          <cell r="AW219">
            <v>-698655</v>
          </cell>
          <cell r="AX219">
            <v>-4947853</v>
          </cell>
          <cell r="AY219">
            <v>-4848896</v>
          </cell>
          <cell r="AZ219">
            <v>0</v>
          </cell>
          <cell r="BA219">
            <v>-98955</v>
          </cell>
          <cell r="BB219">
            <v>-9895704</v>
          </cell>
          <cell r="BC219">
            <v>62363354</v>
          </cell>
          <cell r="BD219">
            <v>-5622636</v>
          </cell>
          <cell r="BE219">
            <v>1845937</v>
          </cell>
          <cell r="BF219">
            <v>0</v>
          </cell>
          <cell r="BG219">
            <v>-3636211</v>
          </cell>
          <cell r="BH219">
            <v>-83148</v>
          </cell>
          <cell r="BI219">
            <v>0</v>
          </cell>
          <cell r="BJ219">
            <v>-156482</v>
          </cell>
          <cell r="BK219">
            <v>-4955513</v>
          </cell>
          <cell r="BL219">
            <v>-289284</v>
          </cell>
          <cell r="BM219">
            <v>-124547</v>
          </cell>
          <cell r="BN219">
            <v>-9259</v>
          </cell>
          <cell r="BO219">
            <v>0</v>
          </cell>
          <cell r="BP219">
            <v>0</v>
          </cell>
          <cell r="BQ219">
            <v>-404963</v>
          </cell>
          <cell r="BR219">
            <v>0</v>
          </cell>
          <cell r="BS219">
            <v>0</v>
          </cell>
          <cell r="BT219">
            <v>65305007</v>
          </cell>
          <cell r="BU219">
            <v>-890350</v>
          </cell>
          <cell r="BV219">
            <v>1808362</v>
          </cell>
          <cell r="BW219">
            <v>-1167553</v>
          </cell>
          <cell r="BX219">
            <v>-101263</v>
          </cell>
          <cell r="BY219">
            <v>-57446</v>
          </cell>
          <cell r="BZ219">
            <v>55980163</v>
          </cell>
          <cell r="CA219">
            <v>-50631</v>
          </cell>
          <cell r="CB219">
            <v>-49619</v>
          </cell>
          <cell r="CC219">
            <v>0</v>
          </cell>
          <cell r="CD219">
            <v>-1013</v>
          </cell>
          <cell r="CE219">
            <v>-28723</v>
          </cell>
          <cell r="CF219">
            <v>-28149</v>
          </cell>
          <cell r="CG219">
            <v>0</v>
          </cell>
          <cell r="CH219">
            <v>-574</v>
          </cell>
        </row>
        <row r="220">
          <cell r="A220">
            <v>213</v>
          </cell>
          <cell r="B220" t="str">
            <v>Rochford</v>
          </cell>
          <cell r="C220" t="str">
            <v>E1540</v>
          </cell>
          <cell r="D220">
            <v>84456</v>
          </cell>
          <cell r="H220">
            <v>305269</v>
          </cell>
          <cell r="I220">
            <v>0</v>
          </cell>
          <cell r="J220">
            <v>84456</v>
          </cell>
          <cell r="K220">
            <v>0</v>
          </cell>
          <cell r="L220">
            <v>11855</v>
          </cell>
          <cell r="M220">
            <v>0</v>
          </cell>
          <cell r="N220">
            <v>0</v>
          </cell>
          <cell r="O220">
            <v>0</v>
          </cell>
          <cell r="P220">
            <v>0</v>
          </cell>
          <cell r="Q220">
            <v>0</v>
          </cell>
          <cell r="R220">
            <v>485462</v>
          </cell>
          <cell r="S220">
            <v>109229</v>
          </cell>
          <cell r="T220">
            <v>12137</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M220">
            <v>0</v>
          </cell>
          <cell r="AN220">
            <v>0</v>
          </cell>
          <cell r="AO220">
            <v>0</v>
          </cell>
          <cell r="AP220">
            <v>98596</v>
          </cell>
          <cell r="AQ220">
            <v>22144</v>
          </cell>
          <cell r="AR220">
            <v>2460</v>
          </cell>
          <cell r="AS220">
            <v>-78976</v>
          </cell>
          <cell r="AT220">
            <v>-63182</v>
          </cell>
          <cell r="AU220">
            <v>-14217</v>
          </cell>
          <cell r="AV220">
            <v>-1579</v>
          </cell>
          <cell r="AW220">
            <v>-157954</v>
          </cell>
          <cell r="AX220">
            <v>-278684</v>
          </cell>
          <cell r="AY220">
            <v>-222947</v>
          </cell>
          <cell r="AZ220">
            <v>-50163</v>
          </cell>
          <cell r="BA220">
            <v>-5574</v>
          </cell>
          <cell r="BB220">
            <v>-557368</v>
          </cell>
          <cell r="BC220">
            <v>15306375</v>
          </cell>
          <cell r="BD220">
            <v>-1886743</v>
          </cell>
          <cell r="BE220">
            <v>385836</v>
          </cell>
          <cell r="BF220">
            <v>0</v>
          </cell>
          <cell r="BG220">
            <v>-1279620</v>
          </cell>
          <cell r="BH220">
            <v>-13627</v>
          </cell>
          <cell r="BI220">
            <v>-87</v>
          </cell>
          <cell r="BJ220">
            <v>0</v>
          </cell>
          <cell r="BK220">
            <v>-325890</v>
          </cell>
          <cell r="BL220">
            <v>-6920</v>
          </cell>
          <cell r="BM220">
            <v>0</v>
          </cell>
          <cell r="BN220">
            <v>-86</v>
          </cell>
          <cell r="BO220">
            <v>0</v>
          </cell>
          <cell r="BP220">
            <v>0</v>
          </cell>
          <cell r="BQ220">
            <v>0</v>
          </cell>
          <cell r="BR220">
            <v>0</v>
          </cell>
          <cell r="BS220">
            <v>0</v>
          </cell>
          <cell r="BT220">
            <v>15760115</v>
          </cell>
          <cell r="BU220">
            <v>0</v>
          </cell>
          <cell r="BV220">
            <v>296558</v>
          </cell>
          <cell r="BW220">
            <v>-179029</v>
          </cell>
          <cell r="BX220">
            <v>-850857</v>
          </cell>
          <cell r="BY220">
            <v>-19313</v>
          </cell>
          <cell r="BZ220">
            <v>16379551</v>
          </cell>
          <cell r="CA220">
            <v>-425428</v>
          </cell>
          <cell r="CB220">
            <v>-340344</v>
          </cell>
          <cell r="CC220">
            <v>-76577</v>
          </cell>
          <cell r="CD220">
            <v>-8508</v>
          </cell>
          <cell r="CE220">
            <v>-9657</v>
          </cell>
          <cell r="CF220">
            <v>-7725</v>
          </cell>
          <cell r="CG220">
            <v>-1738</v>
          </cell>
          <cell r="CH220">
            <v>-193</v>
          </cell>
        </row>
        <row r="221">
          <cell r="A221">
            <v>214</v>
          </cell>
          <cell r="B221" t="str">
            <v>Rossendale</v>
          </cell>
          <cell r="C221" t="str">
            <v>E2341</v>
          </cell>
          <cell r="D221">
            <v>98815</v>
          </cell>
          <cell r="H221">
            <v>-759702</v>
          </cell>
          <cell r="I221">
            <v>0</v>
          </cell>
          <cell r="J221">
            <v>98815</v>
          </cell>
          <cell r="K221">
            <v>0</v>
          </cell>
          <cell r="L221">
            <v>152836</v>
          </cell>
          <cell r="M221">
            <v>0</v>
          </cell>
          <cell r="N221">
            <v>0</v>
          </cell>
          <cell r="O221">
            <v>0</v>
          </cell>
          <cell r="P221">
            <v>0</v>
          </cell>
          <cell r="Q221">
            <v>0</v>
          </cell>
          <cell r="R221">
            <v>534325</v>
          </cell>
          <cell r="S221">
            <v>120223</v>
          </cell>
          <cell r="T221">
            <v>13358</v>
          </cell>
          <cell r="U221">
            <v>6121</v>
          </cell>
          <cell r="V221">
            <v>1377</v>
          </cell>
          <cell r="W221">
            <v>153</v>
          </cell>
          <cell r="X221">
            <v>0</v>
          </cell>
          <cell r="Y221">
            <v>0</v>
          </cell>
          <cell r="Z221">
            <v>0</v>
          </cell>
          <cell r="AA221">
            <v>0</v>
          </cell>
          <cell r="AB221">
            <v>0</v>
          </cell>
          <cell r="AC221">
            <v>0</v>
          </cell>
          <cell r="AD221">
            <v>0</v>
          </cell>
          <cell r="AE221">
            <v>0</v>
          </cell>
          <cell r="AF221">
            <v>0</v>
          </cell>
          <cell r="AG221">
            <v>0</v>
          </cell>
          <cell r="AH221">
            <v>0</v>
          </cell>
          <cell r="AI221">
            <v>0</v>
          </cell>
          <cell r="AM221">
            <v>0</v>
          </cell>
          <cell r="AN221">
            <v>0</v>
          </cell>
          <cell r="AO221">
            <v>0</v>
          </cell>
          <cell r="AP221">
            <v>71465</v>
          </cell>
          <cell r="AQ221">
            <v>15563</v>
          </cell>
          <cell r="AR221">
            <v>1729</v>
          </cell>
          <cell r="AS221">
            <v>-570896</v>
          </cell>
          <cell r="AT221">
            <v>-456720</v>
          </cell>
          <cell r="AU221">
            <v>-102762</v>
          </cell>
          <cell r="AV221">
            <v>-11418</v>
          </cell>
          <cell r="AW221">
            <v>-1141796</v>
          </cell>
          <cell r="AX221">
            <v>-1251496</v>
          </cell>
          <cell r="AY221">
            <v>-1001196</v>
          </cell>
          <cell r="AZ221">
            <v>-225268</v>
          </cell>
          <cell r="BA221">
            <v>-25029</v>
          </cell>
          <cell r="BB221">
            <v>-2502989</v>
          </cell>
          <cell r="BC221">
            <v>14031570</v>
          </cell>
          <cell r="BD221">
            <v>-2193505</v>
          </cell>
          <cell r="BE221">
            <v>358455</v>
          </cell>
          <cell r="BF221">
            <v>0</v>
          </cell>
          <cell r="BG221">
            <v>-505506</v>
          </cell>
          <cell r="BH221">
            <v>-49766</v>
          </cell>
          <cell r="BI221">
            <v>0</v>
          </cell>
          <cell r="BJ221">
            <v>0</v>
          </cell>
          <cell r="BK221">
            <v>-741510</v>
          </cell>
          <cell r="BL221">
            <v>-56777</v>
          </cell>
          <cell r="BM221">
            <v>-25542</v>
          </cell>
          <cell r="BN221">
            <v>-3084</v>
          </cell>
          <cell r="BO221">
            <v>0</v>
          </cell>
          <cell r="BP221">
            <v>0</v>
          </cell>
          <cell r="BQ221">
            <v>0</v>
          </cell>
          <cell r="BR221">
            <v>0</v>
          </cell>
          <cell r="BS221">
            <v>0</v>
          </cell>
          <cell r="BT221">
            <v>14739591</v>
          </cell>
          <cell r="BU221">
            <v>-92766</v>
          </cell>
          <cell r="BV221">
            <v>1511030</v>
          </cell>
          <cell r="BW221">
            <v>-157746</v>
          </cell>
          <cell r="BX221">
            <v>-1085661</v>
          </cell>
          <cell r="BY221">
            <v>-621860</v>
          </cell>
          <cell r="BZ221">
            <v>11511667</v>
          </cell>
          <cell r="CA221">
            <v>-542832</v>
          </cell>
          <cell r="CB221">
            <v>-434264</v>
          </cell>
          <cell r="CC221">
            <v>-97709</v>
          </cell>
          <cell r="CD221">
            <v>-10856</v>
          </cell>
          <cell r="CE221">
            <v>-310930</v>
          </cell>
          <cell r="CF221">
            <v>-248744</v>
          </cell>
          <cell r="CG221">
            <v>-55967</v>
          </cell>
          <cell r="CH221">
            <v>-6219</v>
          </cell>
        </row>
        <row r="222">
          <cell r="A222">
            <v>215</v>
          </cell>
          <cell r="B222" t="str">
            <v>Rother</v>
          </cell>
          <cell r="C222" t="str">
            <v>E1436</v>
          </cell>
          <cell r="D222">
            <v>146049</v>
          </cell>
          <cell r="H222">
            <v>893929</v>
          </cell>
          <cell r="I222">
            <v>0</v>
          </cell>
          <cell r="J222">
            <v>146049</v>
          </cell>
          <cell r="K222">
            <v>0</v>
          </cell>
          <cell r="L222">
            <v>0</v>
          </cell>
          <cell r="M222">
            <v>0</v>
          </cell>
          <cell r="N222">
            <v>0</v>
          </cell>
          <cell r="O222">
            <v>0</v>
          </cell>
          <cell r="P222">
            <v>0</v>
          </cell>
          <cell r="Q222">
            <v>0</v>
          </cell>
          <cell r="R222">
            <v>781586</v>
          </cell>
          <cell r="S222">
            <v>175857</v>
          </cell>
          <cell r="T222">
            <v>19540</v>
          </cell>
          <cell r="U222">
            <v>1262</v>
          </cell>
          <cell r="V222">
            <v>284</v>
          </cell>
          <cell r="W222">
            <v>32</v>
          </cell>
          <cell r="X222">
            <v>0</v>
          </cell>
          <cell r="Y222">
            <v>0</v>
          </cell>
          <cell r="Z222">
            <v>0</v>
          </cell>
          <cell r="AA222">
            <v>6126</v>
          </cell>
          <cell r="AB222">
            <v>1378</v>
          </cell>
          <cell r="AC222">
            <v>153</v>
          </cell>
          <cell r="AD222">
            <v>0</v>
          </cell>
          <cell r="AE222">
            <v>0</v>
          </cell>
          <cell r="AF222">
            <v>0</v>
          </cell>
          <cell r="AG222">
            <v>0</v>
          </cell>
          <cell r="AH222">
            <v>0</v>
          </cell>
          <cell r="AI222">
            <v>0</v>
          </cell>
          <cell r="AM222">
            <v>0</v>
          </cell>
          <cell r="AN222">
            <v>0</v>
          </cell>
          <cell r="AO222">
            <v>0</v>
          </cell>
          <cell r="AP222">
            <v>105169</v>
          </cell>
          <cell r="AQ222">
            <v>23663</v>
          </cell>
          <cell r="AR222">
            <v>2629</v>
          </cell>
          <cell r="AS222">
            <v>-249224.39</v>
          </cell>
          <cell r="AT222">
            <v>-199381</v>
          </cell>
          <cell r="AU222">
            <v>-44862</v>
          </cell>
          <cell r="AV222">
            <v>-4985</v>
          </cell>
          <cell r="AW222">
            <v>-498452.39</v>
          </cell>
          <cell r="AX222">
            <v>-858285</v>
          </cell>
          <cell r="AY222">
            <v>-686628</v>
          </cell>
          <cell r="AZ222">
            <v>-154492</v>
          </cell>
          <cell r="BA222">
            <v>-17166</v>
          </cell>
          <cell r="BB222">
            <v>-1716571</v>
          </cell>
          <cell r="BC222">
            <v>17399592</v>
          </cell>
          <cell r="BD222">
            <v>-3119269</v>
          </cell>
          <cell r="BE222">
            <v>438062</v>
          </cell>
          <cell r="BF222">
            <v>0</v>
          </cell>
          <cell r="BG222">
            <v>-2246303</v>
          </cell>
          <cell r="BH222">
            <v>-71558</v>
          </cell>
          <cell r="BI222">
            <v>-35332</v>
          </cell>
          <cell r="BJ222">
            <v>-1642</v>
          </cell>
          <cell r="BK222">
            <v>-389735</v>
          </cell>
          <cell r="BL222">
            <v>-51662</v>
          </cell>
          <cell r="BM222">
            <v>0</v>
          </cell>
          <cell r="BN222">
            <v>-6759</v>
          </cell>
          <cell r="BO222">
            <v>-17056</v>
          </cell>
          <cell r="BP222">
            <v>0</v>
          </cell>
          <cell r="BQ222">
            <v>0</v>
          </cell>
          <cell r="BR222">
            <v>0</v>
          </cell>
          <cell r="BS222">
            <v>0</v>
          </cell>
          <cell r="BT222">
            <v>17711215</v>
          </cell>
          <cell r="BU222">
            <v>0</v>
          </cell>
          <cell r="BV222">
            <v>738356</v>
          </cell>
          <cell r="BW222">
            <v>-206025</v>
          </cell>
          <cell r="BX222">
            <v>-54066</v>
          </cell>
          <cell r="BY222">
            <v>-80872</v>
          </cell>
          <cell r="BZ222">
            <v>17503191</v>
          </cell>
          <cell r="CA222">
            <v>-27033</v>
          </cell>
          <cell r="CB222">
            <v>-21626</v>
          </cell>
          <cell r="CC222">
            <v>-4866</v>
          </cell>
          <cell r="CD222">
            <v>-541</v>
          </cell>
          <cell r="CE222">
            <v>-40436</v>
          </cell>
          <cell r="CF222">
            <v>-32349</v>
          </cell>
          <cell r="CG222">
            <v>-7278</v>
          </cell>
          <cell r="CH222">
            <v>-809</v>
          </cell>
        </row>
        <row r="223">
          <cell r="A223">
            <v>216</v>
          </cell>
          <cell r="B223" t="str">
            <v>Rotherham</v>
          </cell>
          <cell r="C223" t="str">
            <v>E4403</v>
          </cell>
          <cell r="D223">
            <v>302614</v>
          </cell>
          <cell r="H223">
            <v>-4676228</v>
          </cell>
          <cell r="I223">
            <v>-1477</v>
          </cell>
          <cell r="J223">
            <v>302614</v>
          </cell>
          <cell r="K223">
            <v>0</v>
          </cell>
          <cell r="L223">
            <v>189477</v>
          </cell>
          <cell r="M223">
            <v>0</v>
          </cell>
          <cell r="N223">
            <v>203404</v>
          </cell>
          <cell r="O223">
            <v>203404</v>
          </cell>
          <cell r="P223">
            <v>0</v>
          </cell>
          <cell r="Q223">
            <v>0</v>
          </cell>
          <cell r="R223">
            <v>1651044</v>
          </cell>
          <cell r="S223">
            <v>0</v>
          </cell>
          <cell r="T223">
            <v>33695</v>
          </cell>
          <cell r="U223">
            <v>6301</v>
          </cell>
          <cell r="V223">
            <v>0</v>
          </cell>
          <cell r="W223">
            <v>129</v>
          </cell>
          <cell r="X223">
            <v>0</v>
          </cell>
          <cell r="Y223">
            <v>0</v>
          </cell>
          <cell r="Z223">
            <v>0</v>
          </cell>
          <cell r="AA223">
            <v>0</v>
          </cell>
          <cell r="AB223">
            <v>0</v>
          </cell>
          <cell r="AC223">
            <v>0</v>
          </cell>
          <cell r="AD223">
            <v>0</v>
          </cell>
          <cell r="AE223">
            <v>0</v>
          </cell>
          <cell r="AF223">
            <v>0</v>
          </cell>
          <cell r="AG223">
            <v>0</v>
          </cell>
          <cell r="AH223">
            <v>0</v>
          </cell>
          <cell r="AI223">
            <v>0</v>
          </cell>
          <cell r="AM223">
            <v>0</v>
          </cell>
          <cell r="AN223">
            <v>0</v>
          </cell>
          <cell r="AO223">
            <v>0</v>
          </cell>
          <cell r="AP223">
            <v>501970</v>
          </cell>
          <cell r="AQ223">
            <v>0</v>
          </cell>
          <cell r="AR223">
            <v>10124</v>
          </cell>
          <cell r="AS223">
            <v>-564624</v>
          </cell>
          <cell r="AT223">
            <v>-553331</v>
          </cell>
          <cell r="AU223">
            <v>0</v>
          </cell>
          <cell r="AV223">
            <v>-11293</v>
          </cell>
          <cell r="AW223">
            <v>-1129248</v>
          </cell>
          <cell r="AX223">
            <v>-3292250</v>
          </cell>
          <cell r="AY223">
            <v>-3226405</v>
          </cell>
          <cell r="AZ223">
            <v>0</v>
          </cell>
          <cell r="BA223">
            <v>-65847</v>
          </cell>
          <cell r="BB223">
            <v>-6584502</v>
          </cell>
          <cell r="BC223">
            <v>77103829</v>
          </cell>
          <cell r="BD223">
            <v>-5432355</v>
          </cell>
          <cell r="BE223">
            <v>2083869</v>
          </cell>
          <cell r="BF223">
            <v>0</v>
          </cell>
          <cell r="BG223">
            <v>-4824512</v>
          </cell>
          <cell r="BH223">
            <v>-14552</v>
          </cell>
          <cell r="BI223">
            <v>-11542</v>
          </cell>
          <cell r="BJ223">
            <v>0</v>
          </cell>
          <cell r="BK223">
            <v>-2473473</v>
          </cell>
          <cell r="BL223">
            <v>-120574</v>
          </cell>
          <cell r="BM223">
            <v>-643325</v>
          </cell>
          <cell r="BN223">
            <v>-3638</v>
          </cell>
          <cell r="BO223">
            <v>-2743</v>
          </cell>
          <cell r="BP223">
            <v>0</v>
          </cell>
          <cell r="BQ223">
            <v>-389638</v>
          </cell>
          <cell r="BR223">
            <v>-398113</v>
          </cell>
          <cell r="BS223">
            <v>0</v>
          </cell>
          <cell r="BT223">
            <v>75400000</v>
          </cell>
          <cell r="BU223">
            <v>-551595</v>
          </cell>
          <cell r="BV223">
            <v>2817004</v>
          </cell>
          <cell r="BW223">
            <v>-851449</v>
          </cell>
          <cell r="BX223">
            <v>2998102</v>
          </cell>
          <cell r="BY223">
            <v>3735921</v>
          </cell>
          <cell r="BZ223">
            <v>67395884</v>
          </cell>
          <cell r="CA223">
            <v>1499052</v>
          </cell>
          <cell r="CB223">
            <v>1469070</v>
          </cell>
          <cell r="CC223">
            <v>0</v>
          </cell>
          <cell r="CD223">
            <v>29980</v>
          </cell>
          <cell r="CE223">
            <v>1867961</v>
          </cell>
          <cell r="CF223">
            <v>1830601</v>
          </cell>
          <cell r="CG223">
            <v>0</v>
          </cell>
          <cell r="CH223">
            <v>37359</v>
          </cell>
        </row>
        <row r="224">
          <cell r="A224">
            <v>217</v>
          </cell>
          <cell r="B224" t="str">
            <v>Rugby</v>
          </cell>
          <cell r="C224" t="str">
            <v>E3733</v>
          </cell>
          <cell r="D224">
            <v>135863</v>
          </cell>
          <cell r="H224">
            <v>-2272397</v>
          </cell>
          <cell r="I224">
            <v>0</v>
          </cell>
          <cell r="J224">
            <v>135863</v>
          </cell>
          <cell r="K224">
            <v>0</v>
          </cell>
          <cell r="L224">
            <v>0</v>
          </cell>
          <cell r="M224">
            <v>0</v>
          </cell>
          <cell r="N224">
            <v>0</v>
          </cell>
          <cell r="O224">
            <v>0</v>
          </cell>
          <cell r="P224">
            <v>0</v>
          </cell>
          <cell r="Q224">
            <v>0</v>
          </cell>
          <cell r="R224">
            <v>561233</v>
          </cell>
          <cell r="S224">
            <v>140308</v>
          </cell>
          <cell r="T224">
            <v>0</v>
          </cell>
          <cell r="U224">
            <v>0</v>
          </cell>
          <cell r="V224">
            <v>0</v>
          </cell>
          <cell r="W224">
            <v>0</v>
          </cell>
          <cell r="X224">
            <v>0</v>
          </cell>
          <cell r="Y224">
            <v>0</v>
          </cell>
          <cell r="Z224">
            <v>0</v>
          </cell>
          <cell r="AA224">
            <v>2620</v>
          </cell>
          <cell r="AB224">
            <v>655</v>
          </cell>
          <cell r="AC224">
            <v>0</v>
          </cell>
          <cell r="AD224">
            <v>0</v>
          </cell>
          <cell r="AE224">
            <v>0</v>
          </cell>
          <cell r="AF224">
            <v>0</v>
          </cell>
          <cell r="AG224">
            <v>0</v>
          </cell>
          <cell r="AH224">
            <v>0</v>
          </cell>
          <cell r="AI224">
            <v>0</v>
          </cell>
          <cell r="AM224">
            <v>0</v>
          </cell>
          <cell r="AN224">
            <v>0</v>
          </cell>
          <cell r="AO224">
            <v>0</v>
          </cell>
          <cell r="AP224">
            <v>271515</v>
          </cell>
          <cell r="AQ224">
            <v>67879</v>
          </cell>
          <cell r="AR224">
            <v>0</v>
          </cell>
          <cell r="AS224">
            <v>-110716</v>
          </cell>
          <cell r="AT224">
            <v>-88574</v>
          </cell>
          <cell r="AU224">
            <v>-22143</v>
          </cell>
          <cell r="AV224">
            <v>0</v>
          </cell>
          <cell r="AW224">
            <v>-221433</v>
          </cell>
          <cell r="AX224">
            <v>-2471282</v>
          </cell>
          <cell r="AY224">
            <v>-1977026</v>
          </cell>
          <cell r="AZ224">
            <v>-494257</v>
          </cell>
          <cell r="BA224">
            <v>0</v>
          </cell>
          <cell r="BB224">
            <v>-4942565</v>
          </cell>
          <cell r="BC224">
            <v>47805339</v>
          </cell>
          <cell r="BD224">
            <v>-1962193</v>
          </cell>
          <cell r="BE224">
            <v>1327024</v>
          </cell>
          <cell r="BF224">
            <v>0</v>
          </cell>
          <cell r="BG224">
            <v>-3062339</v>
          </cell>
          <cell r="BH224">
            <v>-75966</v>
          </cell>
          <cell r="BI224">
            <v>-11233</v>
          </cell>
          <cell r="BJ224">
            <v>-205582</v>
          </cell>
          <cell r="BK224">
            <v>-1094407</v>
          </cell>
          <cell r="BL224">
            <v>-99687</v>
          </cell>
          <cell r="BM224">
            <v>-28261</v>
          </cell>
          <cell r="BN224">
            <v>0</v>
          </cell>
          <cell r="BO224">
            <v>0</v>
          </cell>
          <cell r="BP224">
            <v>0</v>
          </cell>
          <cell r="BQ224">
            <v>0</v>
          </cell>
          <cell r="BR224">
            <v>0</v>
          </cell>
          <cell r="BS224">
            <v>0</v>
          </cell>
          <cell r="BT224">
            <v>49350973</v>
          </cell>
          <cell r="BU224">
            <v>-55112</v>
          </cell>
          <cell r="BV224">
            <v>1152502</v>
          </cell>
          <cell r="BW224">
            <v>-418678</v>
          </cell>
          <cell r="BX224">
            <v>208883</v>
          </cell>
          <cell r="BY224">
            <v>601570</v>
          </cell>
          <cell r="BZ224">
            <v>45187874</v>
          </cell>
          <cell r="CA224">
            <v>104440</v>
          </cell>
          <cell r="CB224">
            <v>83554</v>
          </cell>
          <cell r="CC224">
            <v>20889</v>
          </cell>
          <cell r="CD224">
            <v>0</v>
          </cell>
          <cell r="CE224">
            <v>300785</v>
          </cell>
          <cell r="CF224">
            <v>240628</v>
          </cell>
          <cell r="CG224">
            <v>60157</v>
          </cell>
          <cell r="CH224">
            <v>0</v>
          </cell>
        </row>
        <row r="225">
          <cell r="A225">
            <v>218</v>
          </cell>
          <cell r="B225" t="str">
            <v>Runnymede</v>
          </cell>
          <cell r="C225" t="str">
            <v>E3636</v>
          </cell>
          <cell r="D225">
            <v>131332</v>
          </cell>
          <cell r="H225">
            <v>2264469</v>
          </cell>
          <cell r="I225">
            <v>1518</v>
          </cell>
          <cell r="J225">
            <v>131332</v>
          </cell>
          <cell r="K225">
            <v>0</v>
          </cell>
          <cell r="L225">
            <v>0</v>
          </cell>
          <cell r="M225">
            <v>0</v>
          </cell>
          <cell r="N225">
            <v>0</v>
          </cell>
          <cell r="O225">
            <v>0</v>
          </cell>
          <cell r="P225">
            <v>0</v>
          </cell>
          <cell r="Q225">
            <v>0</v>
          </cell>
          <cell r="R225">
            <v>368879</v>
          </cell>
          <cell r="S225">
            <v>92220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M225">
            <v>0</v>
          </cell>
          <cell r="AN225">
            <v>0</v>
          </cell>
          <cell r="AO225">
            <v>0</v>
          </cell>
          <cell r="AP225">
            <v>342951</v>
          </cell>
          <cell r="AQ225">
            <v>85738</v>
          </cell>
          <cell r="AR225">
            <v>0</v>
          </cell>
          <cell r="AS225">
            <v>-313950</v>
          </cell>
          <cell r="AT225">
            <v>-251160</v>
          </cell>
          <cell r="AU225">
            <v>-62790</v>
          </cell>
          <cell r="AV225">
            <v>0</v>
          </cell>
          <cell r="AW225">
            <v>-627900</v>
          </cell>
          <cell r="AX225">
            <v>-3911149.06</v>
          </cell>
          <cell r="AY225">
            <v>-3128921</v>
          </cell>
          <cell r="AZ225">
            <v>-782230</v>
          </cell>
          <cell r="BA225">
            <v>0</v>
          </cell>
          <cell r="BB225">
            <v>-7822300.0600000005</v>
          </cell>
          <cell r="BC225">
            <v>44697379</v>
          </cell>
          <cell r="BD225">
            <v>-1341245</v>
          </cell>
          <cell r="BE225">
            <v>1269871</v>
          </cell>
          <cell r="BF225">
            <v>0</v>
          </cell>
          <cell r="BG225">
            <v>-3236541</v>
          </cell>
          <cell r="BH225">
            <v>-37943</v>
          </cell>
          <cell r="BI225">
            <v>-1694</v>
          </cell>
          <cell r="BJ225">
            <v>0</v>
          </cell>
          <cell r="BK225">
            <v>-1524003</v>
          </cell>
          <cell r="BL225">
            <v>-21853</v>
          </cell>
          <cell r="BM225">
            <v>-282</v>
          </cell>
          <cell r="BN225">
            <v>0</v>
          </cell>
          <cell r="BO225">
            <v>0</v>
          </cell>
          <cell r="BP225">
            <v>-2551</v>
          </cell>
          <cell r="BQ225">
            <v>0</v>
          </cell>
          <cell r="BR225">
            <v>0</v>
          </cell>
          <cell r="BS225">
            <v>0</v>
          </cell>
          <cell r="BT225">
            <v>46805719</v>
          </cell>
          <cell r="BU225">
            <v>0</v>
          </cell>
          <cell r="BV225">
            <v>983900</v>
          </cell>
          <cell r="BW225">
            <v>-1103300</v>
          </cell>
          <cell r="BX225">
            <v>1062434.2199999988</v>
          </cell>
          <cell r="BY225">
            <v>-5961367</v>
          </cell>
          <cell r="BZ225">
            <v>57076913</v>
          </cell>
          <cell r="CA225">
            <v>531217.21999999881</v>
          </cell>
          <cell r="CB225">
            <v>424973</v>
          </cell>
          <cell r="CC225">
            <v>106244</v>
          </cell>
          <cell r="CD225">
            <v>0</v>
          </cell>
          <cell r="CE225">
            <v>-2980683</v>
          </cell>
          <cell r="CF225">
            <v>-2384547</v>
          </cell>
          <cell r="CG225">
            <v>-596137</v>
          </cell>
          <cell r="CH225">
            <v>0</v>
          </cell>
        </row>
        <row r="226">
          <cell r="A226">
            <v>219</v>
          </cell>
          <cell r="B226" t="str">
            <v>Rushcliffe</v>
          </cell>
          <cell r="C226" t="str">
            <v>E3038</v>
          </cell>
          <cell r="D226">
            <v>111888</v>
          </cell>
          <cell r="H226">
            <v>-2977258</v>
          </cell>
          <cell r="I226">
            <v>0</v>
          </cell>
          <cell r="J226">
            <v>111888</v>
          </cell>
          <cell r="K226">
            <v>0</v>
          </cell>
          <cell r="L226">
            <v>117335</v>
          </cell>
          <cell r="M226">
            <v>0</v>
          </cell>
          <cell r="N226">
            <v>0</v>
          </cell>
          <cell r="O226">
            <v>0</v>
          </cell>
          <cell r="P226">
            <v>0</v>
          </cell>
          <cell r="Q226">
            <v>0</v>
          </cell>
          <cell r="R226">
            <v>500165</v>
          </cell>
          <cell r="S226">
            <v>112537</v>
          </cell>
          <cell r="T226">
            <v>12504</v>
          </cell>
          <cell r="U226">
            <v>4294</v>
          </cell>
          <cell r="V226">
            <v>966</v>
          </cell>
          <cell r="W226">
            <v>107</v>
          </cell>
          <cell r="X226">
            <v>1335</v>
          </cell>
          <cell r="Y226">
            <v>300</v>
          </cell>
          <cell r="Z226">
            <v>33</v>
          </cell>
          <cell r="AA226">
            <v>0</v>
          </cell>
          <cell r="AB226">
            <v>0</v>
          </cell>
          <cell r="AC226">
            <v>0</v>
          </cell>
          <cell r="AD226">
            <v>0</v>
          </cell>
          <cell r="AE226">
            <v>0</v>
          </cell>
          <cell r="AF226">
            <v>0</v>
          </cell>
          <cell r="AG226">
            <v>0</v>
          </cell>
          <cell r="AH226">
            <v>0</v>
          </cell>
          <cell r="AI226">
            <v>0</v>
          </cell>
          <cell r="AM226">
            <v>0</v>
          </cell>
          <cell r="AN226">
            <v>0</v>
          </cell>
          <cell r="AO226">
            <v>0</v>
          </cell>
          <cell r="AP226">
            <v>144904</v>
          </cell>
          <cell r="AQ226">
            <v>32207</v>
          </cell>
          <cell r="AR226">
            <v>3579</v>
          </cell>
          <cell r="AS226">
            <v>-190149</v>
          </cell>
          <cell r="AT226">
            <v>-152119</v>
          </cell>
          <cell r="AU226">
            <v>-34227</v>
          </cell>
          <cell r="AV226">
            <v>-3803</v>
          </cell>
          <cell r="AW226">
            <v>-380298</v>
          </cell>
          <cell r="AX226">
            <v>-1852733</v>
          </cell>
          <cell r="AY226">
            <v>-1482187</v>
          </cell>
          <cell r="AZ226">
            <v>-333493</v>
          </cell>
          <cell r="BA226">
            <v>-37054</v>
          </cell>
          <cell r="BB226">
            <v>-3705467</v>
          </cell>
          <cell r="BC226">
            <v>27251585</v>
          </cell>
          <cell r="BD226">
            <v>-2042029</v>
          </cell>
          <cell r="BE226">
            <v>769073</v>
          </cell>
          <cell r="BF226">
            <v>0</v>
          </cell>
          <cell r="BG226">
            <v>-2769094</v>
          </cell>
          <cell r="BH226">
            <v>-69588</v>
          </cell>
          <cell r="BI226">
            <v>-7789</v>
          </cell>
          <cell r="BJ226">
            <v>0</v>
          </cell>
          <cell r="BK226">
            <v>-374497</v>
          </cell>
          <cell r="BL226">
            <v>-15146</v>
          </cell>
          <cell r="BM226">
            <v>-270891</v>
          </cell>
          <cell r="BN226">
            <v>0</v>
          </cell>
          <cell r="BO226">
            <v>-635</v>
          </cell>
          <cell r="BP226">
            <v>-8198</v>
          </cell>
          <cell r="BQ226">
            <v>0</v>
          </cell>
          <cell r="BR226">
            <v>0</v>
          </cell>
          <cell r="BS226">
            <v>0</v>
          </cell>
          <cell r="BT226">
            <v>28876335</v>
          </cell>
          <cell r="BU226">
            <v>-249593</v>
          </cell>
          <cell r="BV226">
            <v>521724</v>
          </cell>
          <cell r="BW226">
            <v>-723016</v>
          </cell>
          <cell r="BX226">
            <v>520090</v>
          </cell>
          <cell r="BY226">
            <v>277814</v>
          </cell>
          <cell r="BZ226">
            <v>23822848</v>
          </cell>
          <cell r="CA226">
            <v>260046</v>
          </cell>
          <cell r="CB226">
            <v>208036</v>
          </cell>
          <cell r="CC226">
            <v>46808</v>
          </cell>
          <cell r="CD226">
            <v>5200</v>
          </cell>
          <cell r="CE226">
            <v>138907</v>
          </cell>
          <cell r="CF226">
            <v>111126</v>
          </cell>
          <cell r="CG226">
            <v>25003</v>
          </cell>
          <cell r="CH226">
            <v>2778</v>
          </cell>
        </row>
        <row r="227">
          <cell r="A227">
            <v>220</v>
          </cell>
          <cell r="B227" t="str">
            <v>Rushmoor</v>
          </cell>
          <cell r="C227" t="str">
            <v>E1740</v>
          </cell>
          <cell r="D227">
            <v>120627</v>
          </cell>
          <cell r="H227">
            <v>341199</v>
          </cell>
          <cell r="I227">
            <v>0</v>
          </cell>
          <cell r="J227">
            <v>120627</v>
          </cell>
          <cell r="K227">
            <v>0</v>
          </cell>
          <cell r="L227">
            <v>0</v>
          </cell>
          <cell r="M227">
            <v>0</v>
          </cell>
          <cell r="N227">
            <v>0</v>
          </cell>
          <cell r="O227">
            <v>0</v>
          </cell>
          <cell r="P227">
            <v>0</v>
          </cell>
          <cell r="Q227">
            <v>0</v>
          </cell>
          <cell r="R227">
            <v>336595</v>
          </cell>
          <cell r="S227">
            <v>75734</v>
          </cell>
          <cell r="T227">
            <v>8415</v>
          </cell>
          <cell r="U227">
            <v>4259</v>
          </cell>
          <cell r="V227">
            <v>958</v>
          </cell>
          <cell r="W227">
            <v>106</v>
          </cell>
          <cell r="X227">
            <v>0</v>
          </cell>
          <cell r="Y227">
            <v>0</v>
          </cell>
          <cell r="Z227">
            <v>0</v>
          </cell>
          <cell r="AA227">
            <v>0</v>
          </cell>
          <cell r="AB227">
            <v>0</v>
          </cell>
          <cell r="AC227">
            <v>0</v>
          </cell>
          <cell r="AD227">
            <v>0</v>
          </cell>
          <cell r="AE227">
            <v>0</v>
          </cell>
          <cell r="AF227">
            <v>0</v>
          </cell>
          <cell r="AG227">
            <v>0</v>
          </cell>
          <cell r="AH227">
            <v>0</v>
          </cell>
          <cell r="AI227">
            <v>0</v>
          </cell>
          <cell r="AM227">
            <v>0</v>
          </cell>
          <cell r="AN227">
            <v>0</v>
          </cell>
          <cell r="AO227">
            <v>0</v>
          </cell>
          <cell r="AP227">
            <v>285251</v>
          </cell>
          <cell r="AQ227">
            <v>64181</v>
          </cell>
          <cell r="AR227">
            <v>7131</v>
          </cell>
          <cell r="AS227">
            <v>-387866.73</v>
          </cell>
          <cell r="AT227">
            <v>-310294</v>
          </cell>
          <cell r="AU227">
            <v>-69817</v>
          </cell>
          <cell r="AV227">
            <v>-7759</v>
          </cell>
          <cell r="AW227">
            <v>-775736.73</v>
          </cell>
          <cell r="AX227">
            <v>-3422551</v>
          </cell>
          <cell r="AY227">
            <v>-2738043</v>
          </cell>
          <cell r="AZ227">
            <v>-616060</v>
          </cell>
          <cell r="BA227">
            <v>-68452</v>
          </cell>
          <cell r="BB227">
            <v>-6845106</v>
          </cell>
          <cell r="BC227">
            <v>46602819</v>
          </cell>
          <cell r="BD227">
            <v>-1278433</v>
          </cell>
          <cell r="BE227">
            <v>1294618</v>
          </cell>
          <cell r="BF227">
            <v>0</v>
          </cell>
          <cell r="BG227">
            <v>-1705336</v>
          </cell>
          <cell r="BH227">
            <v>-15785</v>
          </cell>
          <cell r="BI227">
            <v>0</v>
          </cell>
          <cell r="BJ227">
            <v>-234248</v>
          </cell>
          <cell r="BK227">
            <v>-1639283</v>
          </cell>
          <cell r="BL227">
            <v>-67728</v>
          </cell>
          <cell r="BM227">
            <v>-316202</v>
          </cell>
          <cell r="BN227">
            <v>-3946</v>
          </cell>
          <cell r="BO227">
            <v>0</v>
          </cell>
          <cell r="BP227">
            <v>0</v>
          </cell>
          <cell r="BQ227">
            <v>0</v>
          </cell>
          <cell r="BR227">
            <v>0</v>
          </cell>
          <cell r="BS227">
            <v>0</v>
          </cell>
          <cell r="BT227">
            <v>47886987</v>
          </cell>
          <cell r="BU227">
            <v>-260288</v>
          </cell>
          <cell r="BV227">
            <v>1523730</v>
          </cell>
          <cell r="BW227">
            <v>-1346802</v>
          </cell>
          <cell r="BX227">
            <v>-1904219</v>
          </cell>
          <cell r="BY227">
            <v>-1947042</v>
          </cell>
          <cell r="BZ227">
            <v>47473860</v>
          </cell>
          <cell r="CA227">
            <v>-952109</v>
          </cell>
          <cell r="CB227">
            <v>-761688</v>
          </cell>
          <cell r="CC227">
            <v>-171380</v>
          </cell>
          <cell r="CD227">
            <v>-19042</v>
          </cell>
          <cell r="CE227">
            <v>-973521</v>
          </cell>
          <cell r="CF227">
            <v>-778817</v>
          </cell>
          <cell r="CG227">
            <v>-175234</v>
          </cell>
          <cell r="CH227">
            <v>-19470</v>
          </cell>
        </row>
        <row r="228">
          <cell r="A228">
            <v>221</v>
          </cell>
          <cell r="B228" t="str">
            <v>Rutland</v>
          </cell>
          <cell r="C228" t="str">
            <v>E2402</v>
          </cell>
          <cell r="D228">
            <v>58754</v>
          </cell>
          <cell r="H228">
            <v>687754</v>
          </cell>
          <cell r="I228">
            <v>0</v>
          </cell>
          <cell r="J228">
            <v>58754</v>
          </cell>
          <cell r="K228">
            <v>0</v>
          </cell>
          <cell r="L228">
            <v>20477</v>
          </cell>
          <cell r="M228">
            <v>0</v>
          </cell>
          <cell r="N228">
            <v>0</v>
          </cell>
          <cell r="O228">
            <v>0</v>
          </cell>
          <cell r="P228">
            <v>0</v>
          </cell>
          <cell r="Q228">
            <v>0</v>
          </cell>
          <cell r="R228">
            <v>303246</v>
          </cell>
          <cell r="S228">
            <v>0</v>
          </cell>
          <cell r="T228">
            <v>6189</v>
          </cell>
          <cell r="U228">
            <v>0</v>
          </cell>
          <cell r="V228">
            <v>0</v>
          </cell>
          <cell r="W228">
            <v>0</v>
          </cell>
          <cell r="X228">
            <v>0</v>
          </cell>
          <cell r="Y228">
            <v>0</v>
          </cell>
          <cell r="Z228">
            <v>0</v>
          </cell>
          <cell r="AA228">
            <v>2735</v>
          </cell>
          <cell r="AB228">
            <v>0</v>
          </cell>
          <cell r="AC228">
            <v>56</v>
          </cell>
          <cell r="AD228">
            <v>0</v>
          </cell>
          <cell r="AE228">
            <v>0</v>
          </cell>
          <cell r="AF228">
            <v>0</v>
          </cell>
          <cell r="AG228">
            <v>0</v>
          </cell>
          <cell r="AH228">
            <v>0</v>
          </cell>
          <cell r="AI228">
            <v>0</v>
          </cell>
          <cell r="AM228">
            <v>0</v>
          </cell>
          <cell r="AN228">
            <v>0</v>
          </cell>
          <cell r="AO228">
            <v>0</v>
          </cell>
          <cell r="AP228">
            <v>83004</v>
          </cell>
          <cell r="AQ228">
            <v>0</v>
          </cell>
          <cell r="AR228">
            <v>1688</v>
          </cell>
          <cell r="AS228">
            <v>-34123</v>
          </cell>
          <cell r="AT228">
            <v>-33441</v>
          </cell>
          <cell r="AU228">
            <v>0</v>
          </cell>
          <cell r="AV228">
            <v>-682</v>
          </cell>
          <cell r="AW228">
            <v>-68246</v>
          </cell>
          <cell r="AX228">
            <v>-270265.40000000002</v>
          </cell>
          <cell r="AY228">
            <v>-264859</v>
          </cell>
          <cell r="AZ228">
            <v>0</v>
          </cell>
          <cell r="BA228">
            <v>-5405</v>
          </cell>
          <cell r="BB228">
            <v>-540529.4</v>
          </cell>
          <cell r="BC228">
            <v>10617748</v>
          </cell>
          <cell r="BD228">
            <v>-1113531</v>
          </cell>
          <cell r="BE228">
            <v>278443</v>
          </cell>
          <cell r="BF228">
            <v>0</v>
          </cell>
          <cell r="BG228">
            <v>-1291060</v>
          </cell>
          <cell r="BH228">
            <v>-22478</v>
          </cell>
          <cell r="BI228">
            <v>-11345</v>
          </cell>
          <cell r="BJ228">
            <v>0</v>
          </cell>
          <cell r="BK228">
            <v>-184423</v>
          </cell>
          <cell r="BL228">
            <v>-41497</v>
          </cell>
          <cell r="BM228">
            <v>-27210</v>
          </cell>
          <cell r="BN228">
            <v>-3563</v>
          </cell>
          <cell r="BO228">
            <v>-11345</v>
          </cell>
          <cell r="BP228">
            <v>-1573</v>
          </cell>
          <cell r="BQ228">
            <v>0</v>
          </cell>
          <cell r="BR228">
            <v>0</v>
          </cell>
          <cell r="BS228">
            <v>0</v>
          </cell>
          <cell r="BT228">
            <v>10742999</v>
          </cell>
          <cell r="BU228">
            <v>-10133</v>
          </cell>
          <cell r="BV228">
            <v>114527</v>
          </cell>
          <cell r="BW228">
            <v>-1462</v>
          </cell>
          <cell r="BX228">
            <v>9698</v>
          </cell>
          <cell r="BY228">
            <v>65902</v>
          </cell>
          <cell r="BZ228">
            <v>11235206</v>
          </cell>
          <cell r="CA228">
            <v>4848</v>
          </cell>
          <cell r="CB228">
            <v>4753</v>
          </cell>
          <cell r="CC228">
            <v>0</v>
          </cell>
          <cell r="CD228">
            <v>97</v>
          </cell>
          <cell r="CE228">
            <v>32951</v>
          </cell>
          <cell r="CF228">
            <v>32292</v>
          </cell>
          <cell r="CG228">
            <v>0</v>
          </cell>
          <cell r="CH228">
            <v>659</v>
          </cell>
        </row>
        <row r="229">
          <cell r="A229">
            <v>222</v>
          </cell>
          <cell r="B229" t="str">
            <v>Ryedale</v>
          </cell>
          <cell r="C229" t="str">
            <v>E2755</v>
          </cell>
          <cell r="D229">
            <v>110030</v>
          </cell>
          <cell r="H229">
            <v>1069000</v>
          </cell>
          <cell r="I229">
            <v>0</v>
          </cell>
          <cell r="J229">
            <v>110030</v>
          </cell>
          <cell r="K229">
            <v>0</v>
          </cell>
          <cell r="L229">
            <v>49000</v>
          </cell>
          <cell r="M229">
            <v>0</v>
          </cell>
          <cell r="N229">
            <v>0</v>
          </cell>
          <cell r="O229">
            <v>0</v>
          </cell>
          <cell r="P229">
            <v>0</v>
          </cell>
          <cell r="Q229">
            <v>0</v>
          </cell>
          <cell r="R229">
            <v>632358</v>
          </cell>
          <cell r="S229">
            <v>142281</v>
          </cell>
          <cell r="T229">
            <v>15809</v>
          </cell>
          <cell r="U229">
            <v>14211</v>
          </cell>
          <cell r="V229">
            <v>3197</v>
          </cell>
          <cell r="W229">
            <v>355</v>
          </cell>
          <cell r="X229">
            <v>0</v>
          </cell>
          <cell r="Y229">
            <v>0</v>
          </cell>
          <cell r="Z229">
            <v>0</v>
          </cell>
          <cell r="AA229">
            <v>1827</v>
          </cell>
          <cell r="AB229">
            <v>411</v>
          </cell>
          <cell r="AC229">
            <v>46</v>
          </cell>
          <cell r="AD229">
            <v>0</v>
          </cell>
          <cell r="AE229">
            <v>0</v>
          </cell>
          <cell r="AF229">
            <v>0</v>
          </cell>
          <cell r="AG229">
            <v>0</v>
          </cell>
          <cell r="AH229">
            <v>0</v>
          </cell>
          <cell r="AI229">
            <v>0</v>
          </cell>
          <cell r="AM229">
            <v>0</v>
          </cell>
          <cell r="AN229">
            <v>0</v>
          </cell>
          <cell r="AO229">
            <v>0</v>
          </cell>
          <cell r="AP229">
            <v>102383</v>
          </cell>
          <cell r="AQ229">
            <v>22871</v>
          </cell>
          <cell r="AR229">
            <v>2541</v>
          </cell>
          <cell r="AS229">
            <v>-30000</v>
          </cell>
          <cell r="AT229">
            <v>-24000</v>
          </cell>
          <cell r="AU229">
            <v>-5400</v>
          </cell>
          <cell r="AV229">
            <v>-600</v>
          </cell>
          <cell r="AW229">
            <v>-60000</v>
          </cell>
          <cell r="AX229">
            <v>-927500</v>
          </cell>
          <cell r="AY229">
            <v>-742000</v>
          </cell>
          <cell r="AZ229">
            <v>-166950</v>
          </cell>
          <cell r="BA229">
            <v>-18550</v>
          </cell>
          <cell r="BB229">
            <v>-1855000</v>
          </cell>
          <cell r="BC229">
            <v>16349089</v>
          </cell>
          <cell r="BD229">
            <v>-2202682</v>
          </cell>
          <cell r="BE229">
            <v>399024</v>
          </cell>
          <cell r="BF229">
            <v>0</v>
          </cell>
          <cell r="BG229">
            <v>-898396</v>
          </cell>
          <cell r="BH229">
            <v>-10208</v>
          </cell>
          <cell r="BI229">
            <v>-44001</v>
          </cell>
          <cell r="BJ229">
            <v>0</v>
          </cell>
          <cell r="BK229">
            <v>-388374</v>
          </cell>
          <cell r="BL229">
            <v>-78122</v>
          </cell>
          <cell r="BM229">
            <v>-66313</v>
          </cell>
          <cell r="BN229">
            <v>-2552</v>
          </cell>
          <cell r="BO229">
            <v>-5769</v>
          </cell>
          <cell r="BP229">
            <v>-1480</v>
          </cell>
          <cell r="BQ229">
            <v>0</v>
          </cell>
          <cell r="BR229">
            <v>0</v>
          </cell>
          <cell r="BS229">
            <v>0</v>
          </cell>
          <cell r="BT229">
            <v>16872649</v>
          </cell>
          <cell r="BU229">
            <v>-22062</v>
          </cell>
          <cell r="BV229">
            <v>126223</v>
          </cell>
          <cell r="BW229">
            <v>-174001</v>
          </cell>
          <cell r="BX229">
            <v>-591015</v>
          </cell>
          <cell r="BY229">
            <v>-189524</v>
          </cell>
          <cell r="BZ229">
            <v>16916955</v>
          </cell>
          <cell r="CA229">
            <v>-295509</v>
          </cell>
          <cell r="CB229">
            <v>-236405</v>
          </cell>
          <cell r="CC229">
            <v>-53191</v>
          </cell>
          <cell r="CD229">
            <v>-5910</v>
          </cell>
          <cell r="CE229">
            <v>-94762</v>
          </cell>
          <cell r="CF229">
            <v>-75810</v>
          </cell>
          <cell r="CG229">
            <v>-17057</v>
          </cell>
          <cell r="CH229">
            <v>-1895</v>
          </cell>
        </row>
        <row r="230">
          <cell r="A230">
            <v>223</v>
          </cell>
          <cell r="B230" t="str">
            <v>Salford</v>
          </cell>
          <cell r="C230" t="str">
            <v>E4206</v>
          </cell>
          <cell r="D230">
            <v>449977</v>
          </cell>
          <cell r="H230">
            <v>-6411141</v>
          </cell>
          <cell r="I230">
            <v>0</v>
          </cell>
          <cell r="J230">
            <v>449977</v>
          </cell>
          <cell r="K230">
            <v>0</v>
          </cell>
          <cell r="L230">
            <v>0</v>
          </cell>
          <cell r="M230">
            <v>0</v>
          </cell>
          <cell r="N230">
            <v>0</v>
          </cell>
          <cell r="O230">
            <v>0</v>
          </cell>
          <cell r="P230">
            <v>0</v>
          </cell>
          <cell r="Q230">
            <v>0</v>
          </cell>
          <cell r="R230">
            <v>3056129</v>
          </cell>
          <cell r="S230">
            <v>0</v>
          </cell>
          <cell r="T230">
            <v>30870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M230">
            <v>0</v>
          </cell>
          <cell r="AN230">
            <v>0</v>
          </cell>
          <cell r="AO230">
            <v>0</v>
          </cell>
          <cell r="AP230">
            <v>1299364</v>
          </cell>
          <cell r="AQ230">
            <v>0</v>
          </cell>
          <cell r="AR230">
            <v>13125</v>
          </cell>
          <cell r="AS230">
            <v>-6911878</v>
          </cell>
          <cell r="AT230">
            <v>-6773644</v>
          </cell>
          <cell r="AU230">
            <v>0</v>
          </cell>
          <cell r="AV230">
            <v>-138238</v>
          </cell>
          <cell r="AW230">
            <v>-13823760</v>
          </cell>
          <cell r="AX230">
            <v>-7554335</v>
          </cell>
          <cell r="AY230">
            <v>-7403252</v>
          </cell>
          <cell r="AZ230">
            <v>0</v>
          </cell>
          <cell r="BA230">
            <v>-151086</v>
          </cell>
          <cell r="BB230">
            <v>-15108673</v>
          </cell>
          <cell r="BC230">
            <v>92107771</v>
          </cell>
          <cell r="BD230">
            <v>-4963557</v>
          </cell>
          <cell r="BE230">
            <v>2786308</v>
          </cell>
          <cell r="BF230">
            <v>0</v>
          </cell>
          <cell r="BG230">
            <v>-6899939</v>
          </cell>
          <cell r="BH230">
            <v>-121545</v>
          </cell>
          <cell r="BI230">
            <v>0</v>
          </cell>
          <cell r="BJ230">
            <v>-80864</v>
          </cell>
          <cell r="BK230">
            <v>-6378126</v>
          </cell>
          <cell r="BL230">
            <v>-209405</v>
          </cell>
          <cell r="BM230">
            <v>-93070</v>
          </cell>
          <cell r="BN230">
            <v>-732</v>
          </cell>
          <cell r="BO230">
            <v>0</v>
          </cell>
          <cell r="BP230">
            <v>0</v>
          </cell>
          <cell r="BQ230">
            <v>0</v>
          </cell>
          <cell r="BR230">
            <v>0</v>
          </cell>
          <cell r="BS230">
            <v>0</v>
          </cell>
          <cell r="BT230">
            <v>97920072</v>
          </cell>
          <cell r="BU230">
            <v>-5159454</v>
          </cell>
          <cell r="BV230">
            <v>28016080</v>
          </cell>
          <cell r="BW230">
            <v>-6337401</v>
          </cell>
          <cell r="BX230">
            <v>-2769000</v>
          </cell>
          <cell r="BY230">
            <v>-1791134</v>
          </cell>
          <cell r="BZ230">
            <v>87374282</v>
          </cell>
          <cell r="CA230">
            <v>-1384501</v>
          </cell>
          <cell r="CB230">
            <v>-1356809</v>
          </cell>
          <cell r="CC230">
            <v>0</v>
          </cell>
          <cell r="CD230">
            <v>-27690</v>
          </cell>
          <cell r="CE230">
            <v>-895567</v>
          </cell>
          <cell r="CF230">
            <v>-877656</v>
          </cell>
          <cell r="CG230">
            <v>0</v>
          </cell>
          <cell r="CH230">
            <v>-17911</v>
          </cell>
        </row>
        <row r="231">
          <cell r="A231">
            <v>224</v>
          </cell>
          <cell r="B231" t="str">
            <v>Sandwell</v>
          </cell>
          <cell r="C231" t="str">
            <v>E4604</v>
          </cell>
          <cell r="D231">
            <v>443826</v>
          </cell>
          <cell r="H231">
            <v>-3625539</v>
          </cell>
          <cell r="I231">
            <v>0</v>
          </cell>
          <cell r="J231">
            <v>443826</v>
          </cell>
          <cell r="K231">
            <v>0</v>
          </cell>
          <cell r="L231">
            <v>0</v>
          </cell>
          <cell r="M231">
            <v>0</v>
          </cell>
          <cell r="N231">
            <v>0</v>
          </cell>
          <cell r="O231">
            <v>0</v>
          </cell>
          <cell r="P231">
            <v>0</v>
          </cell>
          <cell r="Q231">
            <v>0</v>
          </cell>
          <cell r="R231">
            <v>5393654</v>
          </cell>
          <cell r="S231">
            <v>0</v>
          </cell>
          <cell r="T231">
            <v>54481</v>
          </cell>
          <cell r="U231">
            <v>24210</v>
          </cell>
          <cell r="V231">
            <v>0</v>
          </cell>
          <cell r="W231">
            <v>245</v>
          </cell>
          <cell r="X231">
            <v>0</v>
          </cell>
          <cell r="Y231">
            <v>0</v>
          </cell>
          <cell r="Z231">
            <v>0</v>
          </cell>
          <cell r="AA231">
            <v>9902</v>
          </cell>
          <cell r="AB231">
            <v>0</v>
          </cell>
          <cell r="AC231">
            <v>100</v>
          </cell>
          <cell r="AD231">
            <v>0</v>
          </cell>
          <cell r="AE231">
            <v>0</v>
          </cell>
          <cell r="AF231">
            <v>0</v>
          </cell>
          <cell r="AG231">
            <v>0</v>
          </cell>
          <cell r="AH231">
            <v>0</v>
          </cell>
          <cell r="AI231">
            <v>0</v>
          </cell>
          <cell r="AM231">
            <v>0</v>
          </cell>
          <cell r="AN231">
            <v>0</v>
          </cell>
          <cell r="AO231">
            <v>0</v>
          </cell>
          <cell r="AP231">
            <v>1462959</v>
          </cell>
          <cell r="AQ231">
            <v>0</v>
          </cell>
          <cell r="AR231">
            <v>14777</v>
          </cell>
          <cell r="AS231">
            <v>-666896</v>
          </cell>
          <cell r="AT231">
            <v>-653559</v>
          </cell>
          <cell r="AU231">
            <v>0</v>
          </cell>
          <cell r="AV231">
            <v>-13337</v>
          </cell>
          <cell r="AW231">
            <v>-1333792</v>
          </cell>
          <cell r="AX231">
            <v>-903729</v>
          </cell>
          <cell r="AY231">
            <v>-885654</v>
          </cell>
          <cell r="AZ231">
            <v>0</v>
          </cell>
          <cell r="BA231">
            <v>-18075</v>
          </cell>
          <cell r="BB231">
            <v>-1807458</v>
          </cell>
          <cell r="BC231">
            <v>101030034</v>
          </cell>
          <cell r="BD231">
            <v>-8477470</v>
          </cell>
          <cell r="BE231">
            <v>2783078</v>
          </cell>
          <cell r="BF231">
            <v>0</v>
          </cell>
          <cell r="BG231">
            <v>-5962327</v>
          </cell>
          <cell r="BH231">
            <v>-75091</v>
          </cell>
          <cell r="BI231">
            <v>0</v>
          </cell>
          <cell r="BJ231">
            <v>-268500</v>
          </cell>
          <cell r="BK231">
            <v>-4082636</v>
          </cell>
          <cell r="BL231">
            <v>-503426</v>
          </cell>
          <cell r="BM231">
            <v>-383219</v>
          </cell>
          <cell r="BN231">
            <v>-3704</v>
          </cell>
          <cell r="BO231">
            <v>0</v>
          </cell>
          <cell r="BP231">
            <v>0</v>
          </cell>
          <cell r="BQ231">
            <v>0</v>
          </cell>
          <cell r="BR231">
            <v>0</v>
          </cell>
          <cell r="BS231">
            <v>0</v>
          </cell>
          <cell r="BT231">
            <v>104341472</v>
          </cell>
          <cell r="BU231">
            <v>-3025272</v>
          </cell>
          <cell r="BV231">
            <v>4517730</v>
          </cell>
          <cell r="BW231">
            <v>-781530</v>
          </cell>
          <cell r="BX231">
            <v>-8433769</v>
          </cell>
          <cell r="BY231">
            <v>-9272003</v>
          </cell>
          <cell r="BZ231">
            <v>98374992</v>
          </cell>
          <cell r="CA231">
            <v>-4216885</v>
          </cell>
          <cell r="CB231">
            <v>-4132546</v>
          </cell>
          <cell r="CC231">
            <v>0</v>
          </cell>
          <cell r="CD231">
            <v>-84338</v>
          </cell>
          <cell r="CE231">
            <v>-4636002</v>
          </cell>
          <cell r="CF231">
            <v>-4543281</v>
          </cell>
          <cell r="CG231">
            <v>0</v>
          </cell>
          <cell r="CH231">
            <v>-92720</v>
          </cell>
        </row>
        <row r="232">
          <cell r="A232">
            <v>225</v>
          </cell>
          <cell r="B232" t="str">
            <v>Scarborough</v>
          </cell>
          <cell r="C232" t="str">
            <v>E2736</v>
          </cell>
          <cell r="D232">
            <v>259507</v>
          </cell>
          <cell r="H232">
            <v>3537381</v>
          </cell>
          <cell r="I232">
            <v>0</v>
          </cell>
          <cell r="J232">
            <v>259507</v>
          </cell>
          <cell r="K232">
            <v>0</v>
          </cell>
          <cell r="L232">
            <v>0</v>
          </cell>
          <cell r="M232">
            <v>0</v>
          </cell>
          <cell r="N232">
            <v>0</v>
          </cell>
          <cell r="O232">
            <v>0</v>
          </cell>
          <cell r="P232">
            <v>0</v>
          </cell>
          <cell r="Q232">
            <v>0</v>
          </cell>
          <cell r="R232">
            <v>1169232</v>
          </cell>
          <cell r="S232">
            <v>263077</v>
          </cell>
          <cell r="T232">
            <v>29231</v>
          </cell>
          <cell r="U232">
            <v>7</v>
          </cell>
          <cell r="V232">
            <v>2</v>
          </cell>
          <cell r="W232">
            <v>0</v>
          </cell>
          <cell r="X232">
            <v>0</v>
          </cell>
          <cell r="Y232">
            <v>0</v>
          </cell>
          <cell r="Z232">
            <v>0</v>
          </cell>
          <cell r="AA232">
            <v>407</v>
          </cell>
          <cell r="AB232">
            <v>91</v>
          </cell>
          <cell r="AC232">
            <v>10</v>
          </cell>
          <cell r="AD232">
            <v>0</v>
          </cell>
          <cell r="AE232">
            <v>0</v>
          </cell>
          <cell r="AF232">
            <v>0</v>
          </cell>
          <cell r="AG232">
            <v>0</v>
          </cell>
          <cell r="AH232">
            <v>0</v>
          </cell>
          <cell r="AI232">
            <v>0</v>
          </cell>
          <cell r="AM232">
            <v>0</v>
          </cell>
          <cell r="AN232">
            <v>0</v>
          </cell>
          <cell r="AO232">
            <v>0</v>
          </cell>
          <cell r="AP232">
            <v>215056</v>
          </cell>
          <cell r="AQ232">
            <v>48388</v>
          </cell>
          <cell r="AR232">
            <v>5376</v>
          </cell>
          <cell r="AS232">
            <v>-419352</v>
          </cell>
          <cell r="AT232">
            <v>-335481</v>
          </cell>
          <cell r="AU232">
            <v>-75484</v>
          </cell>
          <cell r="AV232">
            <v>-8386</v>
          </cell>
          <cell r="AW232">
            <v>-838703</v>
          </cell>
          <cell r="AX232">
            <v>-1712286</v>
          </cell>
          <cell r="AY232">
            <v>-1369829</v>
          </cell>
          <cell r="AZ232">
            <v>-308210</v>
          </cell>
          <cell r="BA232">
            <v>-34246</v>
          </cell>
          <cell r="BB232">
            <v>-3424571</v>
          </cell>
          <cell r="BC232">
            <v>33793341</v>
          </cell>
          <cell r="BD232">
            <v>-5609077</v>
          </cell>
          <cell r="BE232">
            <v>843340</v>
          </cell>
          <cell r="BF232">
            <v>0</v>
          </cell>
          <cell r="BG232">
            <v>-1887137</v>
          </cell>
          <cell r="BH232">
            <v>-106495</v>
          </cell>
          <cell r="BI232">
            <v>-31589</v>
          </cell>
          <cell r="BJ232">
            <v>-7516</v>
          </cell>
          <cell r="BK232">
            <v>-579712</v>
          </cell>
          <cell r="BL232">
            <v>-159575</v>
          </cell>
          <cell r="BM232">
            <v>-83823</v>
          </cell>
          <cell r="BN232">
            <v>0</v>
          </cell>
          <cell r="BO232">
            <v>-3496</v>
          </cell>
          <cell r="BP232">
            <v>0</v>
          </cell>
          <cell r="BQ232">
            <v>0</v>
          </cell>
          <cell r="BR232">
            <v>0</v>
          </cell>
          <cell r="BS232">
            <v>0</v>
          </cell>
          <cell r="BT232">
            <v>34277198</v>
          </cell>
          <cell r="BU232">
            <v>-330465</v>
          </cell>
          <cell r="BV232">
            <v>1510475</v>
          </cell>
          <cell r="BW232">
            <v>-1083658</v>
          </cell>
          <cell r="BX232">
            <v>550842</v>
          </cell>
          <cell r="BY232">
            <v>-96961</v>
          </cell>
          <cell r="BZ232">
            <v>35791403</v>
          </cell>
          <cell r="CA232">
            <v>275421</v>
          </cell>
          <cell r="CB232">
            <v>220337</v>
          </cell>
          <cell r="CC232">
            <v>49576</v>
          </cell>
          <cell r="CD232">
            <v>5508</v>
          </cell>
          <cell r="CE232">
            <v>-48481</v>
          </cell>
          <cell r="CF232">
            <v>-38784</v>
          </cell>
          <cell r="CG232">
            <v>-8726</v>
          </cell>
          <cell r="CH232">
            <v>-970</v>
          </cell>
        </row>
        <row r="233">
          <cell r="A233">
            <v>226</v>
          </cell>
          <cell r="B233" t="str">
            <v>Sedgemoor</v>
          </cell>
          <cell r="C233" t="str">
            <v>E3332</v>
          </cell>
          <cell r="D233">
            <v>163085</v>
          </cell>
          <cell r="H233">
            <v>-328911</v>
          </cell>
          <cell r="I233">
            <v>0</v>
          </cell>
          <cell r="J233">
            <v>163085</v>
          </cell>
          <cell r="K233">
            <v>0</v>
          </cell>
          <cell r="L233">
            <v>208290</v>
          </cell>
          <cell r="M233">
            <v>0</v>
          </cell>
          <cell r="N233">
            <v>0</v>
          </cell>
          <cell r="O233">
            <v>0</v>
          </cell>
          <cell r="P233">
            <v>0</v>
          </cell>
          <cell r="Q233">
            <v>0</v>
          </cell>
          <cell r="R233">
            <v>818727</v>
          </cell>
          <cell r="S233">
            <v>183655</v>
          </cell>
          <cell r="T233">
            <v>20406</v>
          </cell>
          <cell r="U233">
            <v>763</v>
          </cell>
          <cell r="V233">
            <v>172</v>
          </cell>
          <cell r="W233">
            <v>19</v>
          </cell>
          <cell r="X233">
            <v>5776</v>
          </cell>
          <cell r="Y233">
            <v>1299</v>
          </cell>
          <cell r="Z233">
            <v>144</v>
          </cell>
          <cell r="AA233">
            <v>115</v>
          </cell>
          <cell r="AB233">
            <v>26</v>
          </cell>
          <cell r="AC233">
            <v>3</v>
          </cell>
          <cell r="AD233">
            <v>0</v>
          </cell>
          <cell r="AE233">
            <v>0</v>
          </cell>
          <cell r="AF233">
            <v>0</v>
          </cell>
          <cell r="AG233">
            <v>0</v>
          </cell>
          <cell r="AH233">
            <v>0</v>
          </cell>
          <cell r="AI233">
            <v>0</v>
          </cell>
          <cell r="AM233">
            <v>0</v>
          </cell>
          <cell r="AN233">
            <v>0</v>
          </cell>
          <cell r="AO233">
            <v>0</v>
          </cell>
          <cell r="AP233">
            <v>233804</v>
          </cell>
          <cell r="AQ233">
            <v>51902</v>
          </cell>
          <cell r="AR233">
            <v>5767</v>
          </cell>
          <cell r="AS233">
            <v>-190598</v>
          </cell>
          <cell r="AT233">
            <v>-152479</v>
          </cell>
          <cell r="AU233">
            <v>-34307</v>
          </cell>
          <cell r="AV233">
            <v>-3813</v>
          </cell>
          <cell r="AW233">
            <v>-381197</v>
          </cell>
          <cell r="AX233">
            <v>-1816048</v>
          </cell>
          <cell r="AY233">
            <v>-1452840</v>
          </cell>
          <cell r="AZ233">
            <v>-326890</v>
          </cell>
          <cell r="BA233">
            <v>-36321</v>
          </cell>
          <cell r="BB233">
            <v>-3632099</v>
          </cell>
          <cell r="BC233">
            <v>38949578</v>
          </cell>
          <cell r="BD233">
            <v>-2979364</v>
          </cell>
          <cell r="BE233">
            <v>1031522</v>
          </cell>
          <cell r="BF233">
            <v>0</v>
          </cell>
          <cell r="BG233">
            <v>-2481893</v>
          </cell>
          <cell r="BH233">
            <v>-28448</v>
          </cell>
          <cell r="BI233">
            <v>-67444</v>
          </cell>
          <cell r="BJ233">
            <v>0</v>
          </cell>
          <cell r="BK233">
            <v>-1230347</v>
          </cell>
          <cell r="BL233">
            <v>-70863</v>
          </cell>
          <cell r="BM233">
            <v>-32792</v>
          </cell>
          <cell r="BN233">
            <v>0</v>
          </cell>
          <cell r="BO233">
            <v>-34604</v>
          </cell>
          <cell r="BP233">
            <v>-368</v>
          </cell>
          <cell r="BQ233">
            <v>0</v>
          </cell>
          <cell r="BR233">
            <v>0</v>
          </cell>
          <cell r="BS233">
            <v>0</v>
          </cell>
          <cell r="BT233">
            <v>39023307</v>
          </cell>
          <cell r="BU233">
            <v>-136632</v>
          </cell>
          <cell r="BV233">
            <v>853581</v>
          </cell>
          <cell r="BW233">
            <v>-1875563</v>
          </cell>
          <cell r="BX233">
            <v>40163</v>
          </cell>
          <cell r="BY233">
            <v>-669872</v>
          </cell>
          <cell r="BZ233">
            <v>38390903</v>
          </cell>
          <cell r="CA233">
            <v>20082</v>
          </cell>
          <cell r="CB233">
            <v>16065</v>
          </cell>
          <cell r="CC233">
            <v>3614</v>
          </cell>
          <cell r="CD233">
            <v>402</v>
          </cell>
          <cell r="CE233">
            <v>-334936</v>
          </cell>
          <cell r="CF233">
            <v>-267949</v>
          </cell>
          <cell r="CG233">
            <v>-60288</v>
          </cell>
          <cell r="CH233">
            <v>-6699</v>
          </cell>
        </row>
        <row r="234">
          <cell r="A234">
            <v>227</v>
          </cell>
          <cell r="B234" t="str">
            <v>Sefton</v>
          </cell>
          <cell r="C234" t="str">
            <v>E4304</v>
          </cell>
          <cell r="D234">
            <v>321434</v>
          </cell>
          <cell r="H234">
            <v>-1825745</v>
          </cell>
          <cell r="I234">
            <v>0</v>
          </cell>
          <cell r="J234">
            <v>321434</v>
          </cell>
          <cell r="K234">
            <v>0</v>
          </cell>
          <cell r="L234">
            <v>0</v>
          </cell>
          <cell r="M234">
            <v>0</v>
          </cell>
          <cell r="N234">
            <v>0</v>
          </cell>
          <cell r="O234">
            <v>0</v>
          </cell>
          <cell r="P234">
            <v>0</v>
          </cell>
          <cell r="Q234">
            <v>0</v>
          </cell>
          <cell r="R234">
            <v>3749992</v>
          </cell>
          <cell r="S234">
            <v>0</v>
          </cell>
          <cell r="T234">
            <v>37879</v>
          </cell>
          <cell r="U234">
            <v>8843</v>
          </cell>
          <cell r="V234">
            <v>0</v>
          </cell>
          <cell r="W234">
            <v>89</v>
          </cell>
          <cell r="X234">
            <v>60292</v>
          </cell>
          <cell r="Y234">
            <v>0</v>
          </cell>
          <cell r="Z234">
            <v>609</v>
          </cell>
          <cell r="AA234">
            <v>55268</v>
          </cell>
          <cell r="AB234">
            <v>0</v>
          </cell>
          <cell r="AC234">
            <v>558</v>
          </cell>
          <cell r="AD234">
            <v>0</v>
          </cell>
          <cell r="AE234">
            <v>0</v>
          </cell>
          <cell r="AF234">
            <v>0</v>
          </cell>
          <cell r="AG234">
            <v>0</v>
          </cell>
          <cell r="AH234">
            <v>0</v>
          </cell>
          <cell r="AI234">
            <v>0</v>
          </cell>
          <cell r="AM234">
            <v>0</v>
          </cell>
          <cell r="AN234">
            <v>0</v>
          </cell>
          <cell r="AO234">
            <v>0</v>
          </cell>
          <cell r="AP234">
            <v>945670</v>
          </cell>
          <cell r="AQ234">
            <v>0</v>
          </cell>
          <cell r="AR234">
            <v>9552</v>
          </cell>
          <cell r="AS234">
            <v>-637750</v>
          </cell>
          <cell r="AT234">
            <v>-624995</v>
          </cell>
          <cell r="AU234">
            <v>0</v>
          </cell>
          <cell r="AV234">
            <v>-12755</v>
          </cell>
          <cell r="AW234">
            <v>-1275500</v>
          </cell>
          <cell r="AX234">
            <v>-10053000</v>
          </cell>
          <cell r="AY234">
            <v>-9851940</v>
          </cell>
          <cell r="AZ234">
            <v>0</v>
          </cell>
          <cell r="BA234">
            <v>-201060</v>
          </cell>
          <cell r="BB234">
            <v>-20106000</v>
          </cell>
          <cell r="BC234">
            <v>66080913</v>
          </cell>
          <cell r="BD234">
            <v>-6109679</v>
          </cell>
          <cell r="BE234">
            <v>1933623</v>
          </cell>
          <cell r="BF234">
            <v>0</v>
          </cell>
          <cell r="BG234">
            <v>-4447807</v>
          </cell>
          <cell r="BH234">
            <v>-27334</v>
          </cell>
          <cell r="BI234">
            <v>-363</v>
          </cell>
          <cell r="BJ234">
            <v>0</v>
          </cell>
          <cell r="BK234">
            <v>-3260616</v>
          </cell>
          <cell r="BL234">
            <v>-221337</v>
          </cell>
          <cell r="BM234">
            <v>-83193</v>
          </cell>
          <cell r="BN234">
            <v>0</v>
          </cell>
          <cell r="BO234">
            <v>0</v>
          </cell>
          <cell r="BP234">
            <v>0</v>
          </cell>
          <cell r="BQ234">
            <v>0</v>
          </cell>
          <cell r="BR234">
            <v>0</v>
          </cell>
          <cell r="BS234">
            <v>0</v>
          </cell>
          <cell r="BT234">
            <v>71886728</v>
          </cell>
          <cell r="BU234">
            <v>-823509</v>
          </cell>
          <cell r="BV234">
            <v>2086242</v>
          </cell>
          <cell r="BW234">
            <v>-1552237</v>
          </cell>
          <cell r="BX234">
            <v>-3652507</v>
          </cell>
          <cell r="BY234">
            <v>-2437379</v>
          </cell>
          <cell r="BZ234">
            <v>63590541</v>
          </cell>
          <cell r="CA234">
            <v>-1826254</v>
          </cell>
          <cell r="CB234">
            <v>-1789729</v>
          </cell>
          <cell r="CC234">
            <v>0</v>
          </cell>
          <cell r="CD234">
            <v>-36524</v>
          </cell>
          <cell r="CE234">
            <v>-1218689</v>
          </cell>
          <cell r="CF234">
            <v>-1194316</v>
          </cell>
          <cell r="CG234">
            <v>0</v>
          </cell>
          <cell r="CH234">
            <v>-24374</v>
          </cell>
        </row>
        <row r="235">
          <cell r="A235">
            <v>228</v>
          </cell>
          <cell r="B235" t="str">
            <v>Selby</v>
          </cell>
          <cell r="C235" t="str">
            <v>E2757</v>
          </cell>
          <cell r="D235">
            <v>112514</v>
          </cell>
          <cell r="H235">
            <v>-3154014</v>
          </cell>
          <cell r="I235">
            <v>0</v>
          </cell>
          <cell r="J235">
            <v>112514</v>
          </cell>
          <cell r="K235">
            <v>0</v>
          </cell>
          <cell r="L235">
            <v>7862212</v>
          </cell>
          <cell r="M235">
            <v>0</v>
          </cell>
          <cell r="N235">
            <v>0</v>
          </cell>
          <cell r="O235">
            <v>0</v>
          </cell>
          <cell r="P235">
            <v>0</v>
          </cell>
          <cell r="Q235">
            <v>0</v>
          </cell>
          <cell r="R235">
            <v>470268</v>
          </cell>
          <cell r="S235">
            <v>105810</v>
          </cell>
          <cell r="T235">
            <v>11757</v>
          </cell>
          <cell r="U235">
            <v>439</v>
          </cell>
          <cell r="V235">
            <v>99</v>
          </cell>
          <cell r="W235">
            <v>11</v>
          </cell>
          <cell r="X235">
            <v>0</v>
          </cell>
          <cell r="Y235">
            <v>0</v>
          </cell>
          <cell r="Z235">
            <v>0</v>
          </cell>
          <cell r="AA235">
            <v>380</v>
          </cell>
          <cell r="AB235">
            <v>85</v>
          </cell>
          <cell r="AC235">
            <v>9</v>
          </cell>
          <cell r="AD235">
            <v>0</v>
          </cell>
          <cell r="AE235">
            <v>0</v>
          </cell>
          <cell r="AF235">
            <v>0</v>
          </cell>
          <cell r="AG235">
            <v>0</v>
          </cell>
          <cell r="AH235">
            <v>0</v>
          </cell>
          <cell r="AI235">
            <v>0</v>
          </cell>
          <cell r="AM235">
            <v>0</v>
          </cell>
          <cell r="AN235">
            <v>0</v>
          </cell>
          <cell r="AO235">
            <v>0</v>
          </cell>
          <cell r="AP235">
            <v>273636</v>
          </cell>
          <cell r="AQ235">
            <v>34995</v>
          </cell>
          <cell r="AR235">
            <v>3888</v>
          </cell>
          <cell r="AS235">
            <v>-213650</v>
          </cell>
          <cell r="AT235">
            <v>-170921</v>
          </cell>
          <cell r="AU235">
            <v>-38457</v>
          </cell>
          <cell r="AV235">
            <v>-4272</v>
          </cell>
          <cell r="AW235">
            <v>-427300</v>
          </cell>
          <cell r="AX235">
            <v>-1907297</v>
          </cell>
          <cell r="AY235">
            <v>-1525839</v>
          </cell>
          <cell r="AZ235">
            <v>-343313</v>
          </cell>
          <cell r="BA235">
            <v>-38147</v>
          </cell>
          <cell r="BB235">
            <v>-3814596</v>
          </cell>
          <cell r="BC235">
            <v>34404644</v>
          </cell>
          <cell r="BD235">
            <v>-1824605</v>
          </cell>
          <cell r="BE235">
            <v>1103037</v>
          </cell>
          <cell r="BF235">
            <v>0</v>
          </cell>
          <cell r="BG235">
            <v>-1090313</v>
          </cell>
          <cell r="BH235">
            <v>-50371</v>
          </cell>
          <cell r="BI235">
            <v>-20291</v>
          </cell>
          <cell r="BJ235">
            <v>-503</v>
          </cell>
          <cell r="BK235">
            <v>-559067</v>
          </cell>
          <cell r="BL235">
            <v>-101146</v>
          </cell>
          <cell r="BM235">
            <v>-18455</v>
          </cell>
          <cell r="BN235">
            <v>-1389</v>
          </cell>
          <cell r="BO235">
            <v>-12570</v>
          </cell>
          <cell r="BP235">
            <v>-2868</v>
          </cell>
          <cell r="BQ235">
            <v>-9386</v>
          </cell>
          <cell r="BR235">
            <v>0</v>
          </cell>
          <cell r="BS235">
            <v>0</v>
          </cell>
          <cell r="BT235">
            <v>40923009</v>
          </cell>
          <cell r="BU235">
            <v>-243362</v>
          </cell>
          <cell r="BV235">
            <v>1161094</v>
          </cell>
          <cell r="BW235">
            <v>-595232</v>
          </cell>
          <cell r="BX235">
            <v>-1485038</v>
          </cell>
          <cell r="BY235">
            <v>-3088230</v>
          </cell>
          <cell r="BZ235">
            <v>25885393</v>
          </cell>
          <cell r="CA235">
            <v>-742520</v>
          </cell>
          <cell r="CB235">
            <v>-594015</v>
          </cell>
          <cell r="CC235">
            <v>-133653</v>
          </cell>
          <cell r="CD235">
            <v>-14850</v>
          </cell>
          <cell r="CE235">
            <v>-1544115</v>
          </cell>
          <cell r="CF235">
            <v>-1235292</v>
          </cell>
          <cell r="CG235">
            <v>-277941</v>
          </cell>
          <cell r="CH235">
            <v>-30882</v>
          </cell>
        </row>
        <row r="236">
          <cell r="A236">
            <v>229</v>
          </cell>
          <cell r="B236" t="str">
            <v>Sevenoaks</v>
          </cell>
          <cell r="C236" t="str">
            <v>E2239</v>
          </cell>
          <cell r="D236">
            <v>163555</v>
          </cell>
          <cell r="H236">
            <v>317286</v>
          </cell>
          <cell r="I236">
            <v>0</v>
          </cell>
          <cell r="J236">
            <v>163555</v>
          </cell>
          <cell r="K236">
            <v>0</v>
          </cell>
          <cell r="L236">
            <v>0</v>
          </cell>
          <cell r="M236">
            <v>0</v>
          </cell>
          <cell r="N236">
            <v>0</v>
          </cell>
          <cell r="O236">
            <v>0</v>
          </cell>
          <cell r="P236">
            <v>0</v>
          </cell>
          <cell r="Q236">
            <v>0</v>
          </cell>
          <cell r="R236">
            <v>859652</v>
          </cell>
          <cell r="S236">
            <v>193422</v>
          </cell>
          <cell r="T236">
            <v>21491</v>
          </cell>
          <cell r="U236">
            <v>7795</v>
          </cell>
          <cell r="V236">
            <v>1754</v>
          </cell>
          <cell r="W236">
            <v>195</v>
          </cell>
          <cell r="X236">
            <v>5446</v>
          </cell>
          <cell r="Y236">
            <v>1225</v>
          </cell>
          <cell r="Z236">
            <v>136</v>
          </cell>
          <cell r="AA236">
            <v>1631</v>
          </cell>
          <cell r="AB236">
            <v>367</v>
          </cell>
          <cell r="AC236">
            <v>41</v>
          </cell>
          <cell r="AD236">
            <v>0</v>
          </cell>
          <cell r="AE236">
            <v>0</v>
          </cell>
          <cell r="AF236">
            <v>0</v>
          </cell>
          <cell r="AG236">
            <v>0</v>
          </cell>
          <cell r="AH236">
            <v>0</v>
          </cell>
          <cell r="AI236">
            <v>0</v>
          </cell>
          <cell r="AM236">
            <v>0</v>
          </cell>
          <cell r="AN236">
            <v>0</v>
          </cell>
          <cell r="AO236">
            <v>0</v>
          </cell>
          <cell r="AP236">
            <v>202867</v>
          </cell>
          <cell r="AQ236">
            <v>45645</v>
          </cell>
          <cell r="AR236">
            <v>5072</v>
          </cell>
          <cell r="AS236">
            <v>-393450</v>
          </cell>
          <cell r="AT236">
            <v>-314760</v>
          </cell>
          <cell r="AU236">
            <v>-70821</v>
          </cell>
          <cell r="AV236">
            <v>-7869</v>
          </cell>
          <cell r="AW236">
            <v>-786900</v>
          </cell>
          <cell r="AX236">
            <v>-3085844</v>
          </cell>
          <cell r="AY236">
            <v>-2468675</v>
          </cell>
          <cell r="AZ236">
            <v>-555453</v>
          </cell>
          <cell r="BA236">
            <v>-61717</v>
          </cell>
          <cell r="BB236">
            <v>-6171689</v>
          </cell>
          <cell r="BC236">
            <v>36100519</v>
          </cell>
          <cell r="BD236">
            <v>-2532970</v>
          </cell>
          <cell r="BE236">
            <v>935762</v>
          </cell>
          <cell r="BF236">
            <v>0</v>
          </cell>
          <cell r="BG236">
            <v>-2682393</v>
          </cell>
          <cell r="BH236">
            <v>-88777</v>
          </cell>
          <cell r="BI236">
            <v>-14032</v>
          </cell>
          <cell r="BJ236">
            <v>0</v>
          </cell>
          <cell r="BK236">
            <v>-1201164</v>
          </cell>
          <cell r="BL236">
            <v>-122218</v>
          </cell>
          <cell r="BM236">
            <v>-42305</v>
          </cell>
          <cell r="BN236">
            <v>0</v>
          </cell>
          <cell r="BO236">
            <v>-1291</v>
          </cell>
          <cell r="BP236">
            <v>-7335</v>
          </cell>
          <cell r="BQ236">
            <v>0</v>
          </cell>
          <cell r="BR236">
            <v>0</v>
          </cell>
          <cell r="BS236">
            <v>0</v>
          </cell>
          <cell r="BT236">
            <v>36322837</v>
          </cell>
          <cell r="BU236">
            <v>-219586</v>
          </cell>
          <cell r="BV236">
            <v>1736700</v>
          </cell>
          <cell r="BW236">
            <v>-1515535</v>
          </cell>
          <cell r="BX236">
            <v>-471876</v>
          </cell>
          <cell r="BY236">
            <v>-287351</v>
          </cell>
          <cell r="BZ236">
            <v>33762869</v>
          </cell>
          <cell r="CA236">
            <v>-235937</v>
          </cell>
          <cell r="CB236">
            <v>-188750</v>
          </cell>
          <cell r="CC236">
            <v>-42469</v>
          </cell>
          <cell r="CD236">
            <v>-4720</v>
          </cell>
          <cell r="CE236">
            <v>-143675</v>
          </cell>
          <cell r="CF236">
            <v>-114940</v>
          </cell>
          <cell r="CG236">
            <v>-25862</v>
          </cell>
          <cell r="CH236">
            <v>-2874</v>
          </cell>
        </row>
        <row r="237">
          <cell r="A237">
            <v>230</v>
          </cell>
          <cell r="B237" t="str">
            <v>Sheffield</v>
          </cell>
          <cell r="C237" t="str">
            <v>E4404</v>
          </cell>
          <cell r="D237">
            <v>765222</v>
          </cell>
          <cell r="H237">
            <v>-13644403</v>
          </cell>
          <cell r="I237">
            <v>-291051</v>
          </cell>
          <cell r="J237">
            <v>765222</v>
          </cell>
          <cell r="K237">
            <v>904151</v>
          </cell>
          <cell r="L237">
            <v>1043840</v>
          </cell>
          <cell r="M237">
            <v>0</v>
          </cell>
          <cell r="N237">
            <v>57198</v>
          </cell>
          <cell r="O237">
            <v>57198</v>
          </cell>
          <cell r="P237">
            <v>0</v>
          </cell>
          <cell r="Q237">
            <v>0</v>
          </cell>
          <cell r="R237">
            <v>3959504</v>
          </cell>
          <cell r="S237">
            <v>0</v>
          </cell>
          <cell r="T237">
            <v>79851</v>
          </cell>
          <cell r="U237">
            <v>32328</v>
          </cell>
          <cell r="V237">
            <v>0</v>
          </cell>
          <cell r="W237">
            <v>660</v>
          </cell>
          <cell r="X237">
            <v>0</v>
          </cell>
          <cell r="Y237">
            <v>0</v>
          </cell>
          <cell r="Z237">
            <v>0</v>
          </cell>
          <cell r="AA237">
            <v>57991</v>
          </cell>
          <cell r="AB237">
            <v>0</v>
          </cell>
          <cell r="AC237">
            <v>1183</v>
          </cell>
          <cell r="AD237">
            <v>0</v>
          </cell>
          <cell r="AE237">
            <v>0</v>
          </cell>
          <cell r="AF237">
            <v>0</v>
          </cell>
          <cell r="AG237">
            <v>0</v>
          </cell>
          <cell r="AH237">
            <v>0</v>
          </cell>
          <cell r="AI237">
            <v>0</v>
          </cell>
          <cell r="AM237">
            <v>0</v>
          </cell>
          <cell r="AN237">
            <v>0</v>
          </cell>
          <cell r="AO237">
            <v>0</v>
          </cell>
          <cell r="AP237">
            <v>1467707</v>
          </cell>
          <cell r="AQ237">
            <v>0</v>
          </cell>
          <cell r="AR237">
            <v>29338</v>
          </cell>
          <cell r="AS237">
            <v>-4901833</v>
          </cell>
          <cell r="AT237">
            <v>-4803796</v>
          </cell>
          <cell r="AU237">
            <v>0</v>
          </cell>
          <cell r="AV237">
            <v>-98037</v>
          </cell>
          <cell r="AW237">
            <v>-9803666</v>
          </cell>
          <cell r="AX237">
            <v>-13619109</v>
          </cell>
          <cell r="AY237">
            <v>-13346727</v>
          </cell>
          <cell r="AZ237">
            <v>0</v>
          </cell>
          <cell r="BA237">
            <v>-272382</v>
          </cell>
          <cell r="BB237">
            <v>-27238218</v>
          </cell>
          <cell r="BC237">
            <v>207535236</v>
          </cell>
          <cell r="BD237">
            <v>-11876021</v>
          </cell>
          <cell r="BE237">
            <v>6148433</v>
          </cell>
          <cell r="BF237">
            <v>0</v>
          </cell>
          <cell r="BG237">
            <v>-20693937</v>
          </cell>
          <cell r="BH237">
            <v>-25124</v>
          </cell>
          <cell r="BI237">
            <v>0</v>
          </cell>
          <cell r="BJ237">
            <v>-106594</v>
          </cell>
          <cell r="BK237">
            <v>-8925162</v>
          </cell>
          <cell r="BL237">
            <v>0</v>
          </cell>
          <cell r="BM237">
            <v>-280511</v>
          </cell>
          <cell r="BN237">
            <v>0</v>
          </cell>
          <cell r="BO237">
            <v>0</v>
          </cell>
          <cell r="BP237">
            <v>0</v>
          </cell>
          <cell r="BQ237">
            <v>-79022</v>
          </cell>
          <cell r="BR237">
            <v>-55000</v>
          </cell>
          <cell r="BS237">
            <v>0</v>
          </cell>
          <cell r="BT237">
            <v>217720521</v>
          </cell>
          <cell r="BU237">
            <v>-1424904</v>
          </cell>
          <cell r="BV237">
            <v>13824846</v>
          </cell>
          <cell r="BW237">
            <v>-4878410</v>
          </cell>
          <cell r="BX237">
            <v>-14888073</v>
          </cell>
          <cell r="BY237">
            <v>-12079325</v>
          </cell>
          <cell r="BZ237">
            <v>195310547</v>
          </cell>
          <cell r="CA237">
            <v>-7444036</v>
          </cell>
          <cell r="CB237">
            <v>-7295156</v>
          </cell>
          <cell r="CC237">
            <v>0</v>
          </cell>
          <cell r="CD237">
            <v>-148881</v>
          </cell>
          <cell r="CE237">
            <v>-6039663</v>
          </cell>
          <cell r="CF237">
            <v>-5918869</v>
          </cell>
          <cell r="CG237">
            <v>0</v>
          </cell>
          <cell r="CH237">
            <v>-120793</v>
          </cell>
        </row>
        <row r="238">
          <cell r="A238">
            <v>231</v>
          </cell>
          <cell r="B238" t="str">
            <v>Shepway</v>
          </cell>
          <cell r="C238" t="str">
            <v>E2240</v>
          </cell>
          <cell r="D238">
            <v>147234</v>
          </cell>
          <cell r="H238">
            <v>-2139399</v>
          </cell>
          <cell r="I238">
            <v>0</v>
          </cell>
          <cell r="J238">
            <v>147234</v>
          </cell>
          <cell r="K238">
            <v>0</v>
          </cell>
          <cell r="L238">
            <v>0</v>
          </cell>
          <cell r="M238">
            <v>0</v>
          </cell>
          <cell r="N238">
            <v>0</v>
          </cell>
          <cell r="O238">
            <v>0</v>
          </cell>
          <cell r="P238">
            <v>0</v>
          </cell>
          <cell r="Q238">
            <v>0</v>
          </cell>
          <cell r="R238">
            <v>755585</v>
          </cell>
          <cell r="S238">
            <v>170007</v>
          </cell>
          <cell r="T238">
            <v>18890</v>
          </cell>
          <cell r="U238">
            <v>6255</v>
          </cell>
          <cell r="V238">
            <v>1407</v>
          </cell>
          <cell r="W238">
            <v>156</v>
          </cell>
          <cell r="X238">
            <v>0</v>
          </cell>
          <cell r="Y238">
            <v>0</v>
          </cell>
          <cell r="Z238">
            <v>0</v>
          </cell>
          <cell r="AA238">
            <v>1845</v>
          </cell>
          <cell r="AB238">
            <v>415</v>
          </cell>
          <cell r="AC238">
            <v>46</v>
          </cell>
          <cell r="AD238">
            <v>0</v>
          </cell>
          <cell r="AE238">
            <v>0</v>
          </cell>
          <cell r="AF238">
            <v>0</v>
          </cell>
          <cell r="AG238">
            <v>0</v>
          </cell>
          <cell r="AH238">
            <v>0</v>
          </cell>
          <cell r="AI238">
            <v>0</v>
          </cell>
          <cell r="AM238">
            <v>0</v>
          </cell>
          <cell r="AN238">
            <v>0</v>
          </cell>
          <cell r="AO238">
            <v>0</v>
          </cell>
          <cell r="AP238">
            <v>163380</v>
          </cell>
          <cell r="AQ238">
            <v>36760</v>
          </cell>
          <cell r="AR238">
            <v>4084</v>
          </cell>
          <cell r="AS238">
            <v>-123304</v>
          </cell>
          <cell r="AT238">
            <v>-98642</v>
          </cell>
          <cell r="AU238">
            <v>-22195</v>
          </cell>
          <cell r="AV238">
            <v>-2465</v>
          </cell>
          <cell r="AW238">
            <v>-246606</v>
          </cell>
          <cell r="AX238">
            <v>-1601278</v>
          </cell>
          <cell r="AY238">
            <v>-1281024</v>
          </cell>
          <cell r="AZ238">
            <v>-288231</v>
          </cell>
          <cell r="BA238">
            <v>-32026</v>
          </cell>
          <cell r="BB238">
            <v>-3202559</v>
          </cell>
          <cell r="BC238">
            <v>28453684</v>
          </cell>
          <cell r="BD238">
            <v>-2947275</v>
          </cell>
          <cell r="BE238">
            <v>772383</v>
          </cell>
          <cell r="BF238">
            <v>0</v>
          </cell>
          <cell r="BG238">
            <v>-2486152</v>
          </cell>
          <cell r="BH238">
            <v>-94661</v>
          </cell>
          <cell r="BI238">
            <v>-21056</v>
          </cell>
          <cell r="BJ238">
            <v>-22096</v>
          </cell>
          <cell r="BK238">
            <v>-862218</v>
          </cell>
          <cell r="BL238">
            <v>-66167</v>
          </cell>
          <cell r="BM238">
            <v>-3570</v>
          </cell>
          <cell r="BN238">
            <v>-1327</v>
          </cell>
          <cell r="BO238">
            <v>0</v>
          </cell>
          <cell r="BP238">
            <v>0</v>
          </cell>
          <cell r="BQ238">
            <v>-130520</v>
          </cell>
          <cell r="BR238">
            <v>0</v>
          </cell>
          <cell r="BS238">
            <v>0</v>
          </cell>
          <cell r="BT238">
            <v>28821103</v>
          </cell>
          <cell r="BU238">
            <v>-135657</v>
          </cell>
          <cell r="BV238">
            <v>732835</v>
          </cell>
          <cell r="BW238">
            <v>-644366</v>
          </cell>
          <cell r="BX238">
            <v>-141474</v>
          </cell>
          <cell r="BY238">
            <v>870936</v>
          </cell>
          <cell r="BZ238">
            <v>27191018</v>
          </cell>
          <cell r="CA238">
            <v>-70738</v>
          </cell>
          <cell r="CB238">
            <v>-56589</v>
          </cell>
          <cell r="CC238">
            <v>-12732</v>
          </cell>
          <cell r="CD238">
            <v>-1415</v>
          </cell>
          <cell r="CE238">
            <v>435469</v>
          </cell>
          <cell r="CF238">
            <v>348374</v>
          </cell>
          <cell r="CG238">
            <v>78384</v>
          </cell>
          <cell r="CH238">
            <v>8709</v>
          </cell>
        </row>
        <row r="239">
          <cell r="A239">
            <v>232</v>
          </cell>
          <cell r="B239" t="str">
            <v>Shropshire UA</v>
          </cell>
          <cell r="C239" t="str">
            <v>E3202</v>
          </cell>
          <cell r="D239">
            <v>462690</v>
          </cell>
          <cell r="H239">
            <v>4522012</v>
          </cell>
          <cell r="I239">
            <v>0</v>
          </cell>
          <cell r="J239">
            <v>462690</v>
          </cell>
          <cell r="K239">
            <v>0</v>
          </cell>
          <cell r="L239">
            <v>467024</v>
          </cell>
          <cell r="M239">
            <v>0</v>
          </cell>
          <cell r="N239">
            <v>0</v>
          </cell>
          <cell r="O239">
            <v>0</v>
          </cell>
          <cell r="P239">
            <v>0</v>
          </cell>
          <cell r="Q239">
            <v>0</v>
          </cell>
          <cell r="R239">
            <v>2690070</v>
          </cell>
          <cell r="S239">
            <v>0</v>
          </cell>
          <cell r="T239">
            <v>54899</v>
          </cell>
          <cell r="U239">
            <v>11939</v>
          </cell>
          <cell r="V239">
            <v>0</v>
          </cell>
          <cell r="W239">
            <v>244</v>
          </cell>
          <cell r="X239">
            <v>0</v>
          </cell>
          <cell r="Y239">
            <v>0</v>
          </cell>
          <cell r="Z239">
            <v>0</v>
          </cell>
          <cell r="AA239">
            <v>0</v>
          </cell>
          <cell r="AB239">
            <v>0</v>
          </cell>
          <cell r="AC239">
            <v>0</v>
          </cell>
          <cell r="AD239">
            <v>0</v>
          </cell>
          <cell r="AE239">
            <v>0</v>
          </cell>
          <cell r="AF239">
            <v>0</v>
          </cell>
          <cell r="AG239">
            <v>0</v>
          </cell>
          <cell r="AH239">
            <v>0</v>
          </cell>
          <cell r="AI239">
            <v>0</v>
          </cell>
          <cell r="AM239">
            <v>0</v>
          </cell>
          <cell r="AN239">
            <v>0</v>
          </cell>
          <cell r="AO239">
            <v>0</v>
          </cell>
          <cell r="AP239">
            <v>632225</v>
          </cell>
          <cell r="AQ239">
            <v>0</v>
          </cell>
          <cell r="AR239">
            <v>12759</v>
          </cell>
          <cell r="AS239">
            <v>-904867</v>
          </cell>
          <cell r="AT239">
            <v>-886770</v>
          </cell>
          <cell r="AU239">
            <v>0</v>
          </cell>
          <cell r="AV239">
            <v>-18096</v>
          </cell>
          <cell r="AW239">
            <v>-1809733</v>
          </cell>
          <cell r="AX239">
            <v>-3392255</v>
          </cell>
          <cell r="AY239">
            <v>-3324408</v>
          </cell>
          <cell r="AZ239">
            <v>0</v>
          </cell>
          <cell r="BA239">
            <v>-67846</v>
          </cell>
          <cell r="BB239">
            <v>-6784509</v>
          </cell>
          <cell r="BC239">
            <v>80024143</v>
          </cell>
          <cell r="BD239">
            <v>-8810702</v>
          </cell>
          <cell r="BE239">
            <v>2053153</v>
          </cell>
          <cell r="BF239">
            <v>0</v>
          </cell>
          <cell r="BG239">
            <v>-6864919</v>
          </cell>
          <cell r="BH239">
            <v>-134602</v>
          </cell>
          <cell r="BI239">
            <v>-73547</v>
          </cell>
          <cell r="BJ239">
            <v>-1945</v>
          </cell>
          <cell r="BK239">
            <v>-2444480</v>
          </cell>
          <cell r="BL239">
            <v>-572793</v>
          </cell>
          <cell r="BM239">
            <v>-366248</v>
          </cell>
          <cell r="BN239">
            <v>-22239</v>
          </cell>
          <cell r="BO239">
            <v>-8881</v>
          </cell>
          <cell r="BP239">
            <v>0</v>
          </cell>
          <cell r="BQ239">
            <v>0</v>
          </cell>
          <cell r="BR239">
            <v>0</v>
          </cell>
          <cell r="BS239">
            <v>0</v>
          </cell>
          <cell r="BT239">
            <v>78790098</v>
          </cell>
          <cell r="BU239">
            <v>-238463</v>
          </cell>
          <cell r="BV239">
            <v>3619020</v>
          </cell>
          <cell r="BW239">
            <v>-3363560</v>
          </cell>
          <cell r="BX239">
            <v>4247100</v>
          </cell>
          <cell r="BY239">
            <v>2863636</v>
          </cell>
          <cell r="BZ239">
            <v>84940995</v>
          </cell>
          <cell r="CA239">
            <v>2123551</v>
          </cell>
          <cell r="CB239">
            <v>2081079</v>
          </cell>
          <cell r="CC239">
            <v>0</v>
          </cell>
          <cell r="CD239">
            <v>42470</v>
          </cell>
          <cell r="CE239">
            <v>1431818</v>
          </cell>
          <cell r="CF239">
            <v>1403182</v>
          </cell>
          <cell r="CG239">
            <v>0</v>
          </cell>
          <cell r="CH239">
            <v>28636</v>
          </cell>
        </row>
        <row r="240">
          <cell r="A240">
            <v>233</v>
          </cell>
          <cell r="B240" t="str">
            <v>Slough</v>
          </cell>
          <cell r="C240" t="str">
            <v>E0304</v>
          </cell>
          <cell r="D240">
            <v>207734</v>
          </cell>
          <cell r="H240">
            <v>-505049</v>
          </cell>
          <cell r="I240">
            <v>0</v>
          </cell>
          <cell r="J240">
            <v>207734</v>
          </cell>
          <cell r="K240">
            <v>0</v>
          </cell>
          <cell r="L240">
            <v>0</v>
          </cell>
          <cell r="M240">
            <v>0</v>
          </cell>
          <cell r="N240">
            <v>0</v>
          </cell>
          <cell r="O240">
            <v>0</v>
          </cell>
          <cell r="P240">
            <v>0</v>
          </cell>
          <cell r="Q240">
            <v>0</v>
          </cell>
          <cell r="R240">
            <v>506259</v>
          </cell>
          <cell r="S240">
            <v>0</v>
          </cell>
          <cell r="T240">
            <v>10332</v>
          </cell>
          <cell r="U240">
            <v>5423</v>
          </cell>
          <cell r="V240">
            <v>0</v>
          </cell>
          <cell r="W240">
            <v>111</v>
          </cell>
          <cell r="X240">
            <v>0</v>
          </cell>
          <cell r="Y240">
            <v>0</v>
          </cell>
          <cell r="Z240">
            <v>0</v>
          </cell>
          <cell r="AA240">
            <v>8923</v>
          </cell>
          <cell r="AB240">
            <v>0</v>
          </cell>
          <cell r="AC240">
            <v>182</v>
          </cell>
          <cell r="AD240">
            <v>0</v>
          </cell>
          <cell r="AE240">
            <v>0</v>
          </cell>
          <cell r="AF240">
            <v>0</v>
          </cell>
          <cell r="AG240">
            <v>0</v>
          </cell>
          <cell r="AH240">
            <v>0</v>
          </cell>
          <cell r="AI240">
            <v>0</v>
          </cell>
          <cell r="AM240">
            <v>0</v>
          </cell>
          <cell r="AN240">
            <v>0</v>
          </cell>
          <cell r="AO240">
            <v>0</v>
          </cell>
          <cell r="AP240">
            <v>750555</v>
          </cell>
          <cell r="AQ240">
            <v>0</v>
          </cell>
          <cell r="AR240">
            <v>15317</v>
          </cell>
          <cell r="AS240">
            <v>-1056255.8999999999</v>
          </cell>
          <cell r="AT240">
            <v>-1035132</v>
          </cell>
          <cell r="AU240">
            <v>0</v>
          </cell>
          <cell r="AV240">
            <v>-21125</v>
          </cell>
          <cell r="AW240">
            <v>-2112512.9</v>
          </cell>
          <cell r="AX240">
            <v>-1030230</v>
          </cell>
          <cell r="AY240">
            <v>-1009627</v>
          </cell>
          <cell r="AZ240">
            <v>0</v>
          </cell>
          <cell r="BA240">
            <v>-20605</v>
          </cell>
          <cell r="BB240">
            <v>-2060462</v>
          </cell>
          <cell r="BC240">
            <v>97603359</v>
          </cell>
          <cell r="BD240">
            <v>-1394527</v>
          </cell>
          <cell r="BE240">
            <v>2774867</v>
          </cell>
          <cell r="BF240">
            <v>0</v>
          </cell>
          <cell r="BG240">
            <v>-3908294</v>
          </cell>
          <cell r="BH240">
            <v>0</v>
          </cell>
          <cell r="BI240">
            <v>0</v>
          </cell>
          <cell r="BJ240">
            <v>-49647</v>
          </cell>
          <cell r="BK240">
            <v>-5536934</v>
          </cell>
          <cell r="BL240">
            <v>-107112</v>
          </cell>
          <cell r="BM240">
            <v>-87154</v>
          </cell>
          <cell r="BN240">
            <v>0</v>
          </cell>
          <cell r="BO240">
            <v>0</v>
          </cell>
          <cell r="BP240">
            <v>0</v>
          </cell>
          <cell r="BQ240">
            <v>0</v>
          </cell>
          <cell r="BR240">
            <v>0</v>
          </cell>
          <cell r="BS240">
            <v>0</v>
          </cell>
          <cell r="BT240">
            <v>99093139</v>
          </cell>
          <cell r="BU240">
            <v>-1326883</v>
          </cell>
          <cell r="BV240">
            <v>4041585</v>
          </cell>
          <cell r="BW240">
            <v>-596810</v>
          </cell>
          <cell r="BX240">
            <v>-1905893</v>
          </cell>
          <cell r="BY240">
            <v>-722792</v>
          </cell>
          <cell r="BZ240">
            <v>101970399</v>
          </cell>
          <cell r="CA240">
            <v>-952947</v>
          </cell>
          <cell r="CB240">
            <v>-933887</v>
          </cell>
          <cell r="CC240">
            <v>0</v>
          </cell>
          <cell r="CD240">
            <v>-19059</v>
          </cell>
          <cell r="CE240">
            <v>-361396</v>
          </cell>
          <cell r="CF240">
            <v>-354168</v>
          </cell>
          <cell r="CG240">
            <v>0</v>
          </cell>
          <cell r="CH240">
            <v>-7228</v>
          </cell>
        </row>
        <row r="241">
          <cell r="A241">
            <v>234</v>
          </cell>
          <cell r="B241" t="str">
            <v>Solihull</v>
          </cell>
          <cell r="C241" t="str">
            <v>E4605</v>
          </cell>
          <cell r="D241">
            <v>246543</v>
          </cell>
          <cell r="H241">
            <v>-7380918</v>
          </cell>
          <cell r="I241">
            <v>0</v>
          </cell>
          <cell r="J241">
            <v>246543</v>
          </cell>
          <cell r="K241">
            <v>0</v>
          </cell>
          <cell r="L241">
            <v>0</v>
          </cell>
          <cell r="M241">
            <v>0</v>
          </cell>
          <cell r="N241">
            <v>0</v>
          </cell>
          <cell r="O241">
            <v>0</v>
          </cell>
          <cell r="P241">
            <v>0</v>
          </cell>
          <cell r="Q241">
            <v>0</v>
          </cell>
          <cell r="R241">
            <v>1681093</v>
          </cell>
          <cell r="S241">
            <v>0</v>
          </cell>
          <cell r="T241">
            <v>16981</v>
          </cell>
          <cell r="U241">
            <v>3015</v>
          </cell>
          <cell r="V241">
            <v>0</v>
          </cell>
          <cell r="W241">
            <v>30</v>
          </cell>
          <cell r="X241">
            <v>1439</v>
          </cell>
          <cell r="Y241">
            <v>0</v>
          </cell>
          <cell r="Z241">
            <v>15</v>
          </cell>
          <cell r="AA241">
            <v>2905</v>
          </cell>
          <cell r="AB241">
            <v>0</v>
          </cell>
          <cell r="AC241">
            <v>29</v>
          </cell>
          <cell r="AD241">
            <v>0</v>
          </cell>
          <cell r="AE241">
            <v>0</v>
          </cell>
          <cell r="AF241">
            <v>0</v>
          </cell>
          <cell r="AG241">
            <v>0</v>
          </cell>
          <cell r="AH241">
            <v>0</v>
          </cell>
          <cell r="AI241">
            <v>0</v>
          </cell>
          <cell r="AM241">
            <v>0</v>
          </cell>
          <cell r="AN241">
            <v>0</v>
          </cell>
          <cell r="AO241">
            <v>0</v>
          </cell>
          <cell r="AP241">
            <v>1585240</v>
          </cell>
          <cell r="AQ241">
            <v>0</v>
          </cell>
          <cell r="AR241">
            <v>16013</v>
          </cell>
          <cell r="AS241">
            <v>-1014581</v>
          </cell>
          <cell r="AT241">
            <v>-994288</v>
          </cell>
          <cell r="AU241">
            <v>0</v>
          </cell>
          <cell r="AV241">
            <v>-20292</v>
          </cell>
          <cell r="AW241">
            <v>-2029161</v>
          </cell>
          <cell r="AX241">
            <v>-6708526</v>
          </cell>
          <cell r="AY241">
            <v>-6574355</v>
          </cell>
          <cell r="AZ241">
            <v>0</v>
          </cell>
          <cell r="BA241">
            <v>-134171</v>
          </cell>
          <cell r="BB241">
            <v>-13417052</v>
          </cell>
          <cell r="BC241">
            <v>111798291</v>
          </cell>
          <cell r="BD241">
            <v>-2389703</v>
          </cell>
          <cell r="BE241">
            <v>3299888</v>
          </cell>
          <cell r="BF241">
            <v>0</v>
          </cell>
          <cell r="BG241">
            <v>-5026763</v>
          </cell>
          <cell r="BH241">
            <v>-118060</v>
          </cell>
          <cell r="BI241">
            <v>-994</v>
          </cell>
          <cell r="BJ241">
            <v>-50640</v>
          </cell>
          <cell r="BK241">
            <v>-3413140</v>
          </cell>
          <cell r="BL241">
            <v>-33336</v>
          </cell>
          <cell r="BM241">
            <v>-379805</v>
          </cell>
          <cell r="BN241">
            <v>0</v>
          </cell>
          <cell r="BO241">
            <v>0</v>
          </cell>
          <cell r="BP241">
            <v>0</v>
          </cell>
          <cell r="BQ241">
            <v>0</v>
          </cell>
          <cell r="BR241">
            <v>0</v>
          </cell>
          <cell r="BS241">
            <v>0</v>
          </cell>
          <cell r="BT241">
            <v>116101566</v>
          </cell>
          <cell r="BU241">
            <v>-356906</v>
          </cell>
          <cell r="BV241">
            <v>3340899</v>
          </cell>
          <cell r="BW241">
            <v>-5330146</v>
          </cell>
          <cell r="BX241">
            <v>-8317795.5</v>
          </cell>
          <cell r="BY241">
            <v>-9078390</v>
          </cell>
          <cell r="BZ241">
            <v>106597691</v>
          </cell>
          <cell r="CA241">
            <v>-4158899.5</v>
          </cell>
          <cell r="CB241">
            <v>-4075719</v>
          </cell>
          <cell r="CC241">
            <v>0</v>
          </cell>
          <cell r="CD241">
            <v>-83177</v>
          </cell>
          <cell r="CE241">
            <v>-4539195</v>
          </cell>
          <cell r="CF241">
            <v>-4448411</v>
          </cell>
          <cell r="CG241">
            <v>0</v>
          </cell>
          <cell r="CH241">
            <v>-90784</v>
          </cell>
        </row>
        <row r="242">
          <cell r="A242">
            <v>235</v>
          </cell>
          <cell r="B242" t="str">
            <v>South Bucks</v>
          </cell>
          <cell r="C242" t="str">
            <v>E0434</v>
          </cell>
          <cell r="D242">
            <v>95679</v>
          </cell>
          <cell r="H242">
            <v>-222751</v>
          </cell>
          <cell r="I242">
            <v>0</v>
          </cell>
          <cell r="J242">
            <v>95679</v>
          </cell>
          <cell r="K242">
            <v>0</v>
          </cell>
          <cell r="L242">
            <v>0</v>
          </cell>
          <cell r="M242">
            <v>0</v>
          </cell>
          <cell r="N242">
            <v>0</v>
          </cell>
          <cell r="O242">
            <v>0</v>
          </cell>
          <cell r="P242">
            <v>0</v>
          </cell>
          <cell r="Q242">
            <v>0</v>
          </cell>
          <cell r="R242">
            <v>277762</v>
          </cell>
          <cell r="S242">
            <v>62497</v>
          </cell>
          <cell r="T242">
            <v>6944</v>
          </cell>
          <cell r="U242">
            <v>588</v>
          </cell>
          <cell r="V242">
            <v>133</v>
          </cell>
          <cell r="W242">
            <v>15</v>
          </cell>
          <cell r="X242">
            <v>0</v>
          </cell>
          <cell r="Y242">
            <v>0</v>
          </cell>
          <cell r="Z242">
            <v>0</v>
          </cell>
          <cell r="AA242">
            <v>0</v>
          </cell>
          <cell r="AB242">
            <v>0</v>
          </cell>
          <cell r="AC242">
            <v>0</v>
          </cell>
          <cell r="AD242">
            <v>0</v>
          </cell>
          <cell r="AE242">
            <v>0</v>
          </cell>
          <cell r="AF242">
            <v>0</v>
          </cell>
          <cell r="AG242">
            <v>0</v>
          </cell>
          <cell r="AH242">
            <v>0</v>
          </cell>
          <cell r="AI242">
            <v>0</v>
          </cell>
          <cell r="AM242">
            <v>0</v>
          </cell>
          <cell r="AN242">
            <v>0</v>
          </cell>
          <cell r="AO242">
            <v>0</v>
          </cell>
          <cell r="AP242">
            <v>183096</v>
          </cell>
          <cell r="AQ242">
            <v>41197</v>
          </cell>
          <cell r="AR242">
            <v>4577</v>
          </cell>
          <cell r="AS242">
            <v>-336000</v>
          </cell>
          <cell r="AT242">
            <v>-268800</v>
          </cell>
          <cell r="AU242">
            <v>-60480</v>
          </cell>
          <cell r="AV242">
            <v>-6720</v>
          </cell>
          <cell r="AW242">
            <v>-672000</v>
          </cell>
          <cell r="AX242">
            <v>-2085596</v>
          </cell>
          <cell r="AY242">
            <v>-1668477</v>
          </cell>
          <cell r="AZ242">
            <v>-375406</v>
          </cell>
          <cell r="BA242">
            <v>-41711</v>
          </cell>
          <cell r="BB242">
            <v>-4171190</v>
          </cell>
          <cell r="BC242">
            <v>30849105</v>
          </cell>
          <cell r="BD242">
            <v>-959982</v>
          </cell>
          <cell r="BE242">
            <v>875399</v>
          </cell>
          <cell r="BF242">
            <v>0</v>
          </cell>
          <cell r="BG242">
            <v>-1962466</v>
          </cell>
          <cell r="BH242">
            <v>-67592</v>
          </cell>
          <cell r="BI242">
            <v>-1168</v>
          </cell>
          <cell r="BJ242">
            <v>-8800</v>
          </cell>
          <cell r="BK242">
            <v>-2022384</v>
          </cell>
          <cell r="BL242">
            <v>-21409</v>
          </cell>
          <cell r="BM242">
            <v>-27832</v>
          </cell>
          <cell r="BN242">
            <v>-263</v>
          </cell>
          <cell r="BO242">
            <v>0</v>
          </cell>
          <cell r="BP242">
            <v>0</v>
          </cell>
          <cell r="BQ242">
            <v>0</v>
          </cell>
          <cell r="BR242">
            <v>0</v>
          </cell>
          <cell r="BS242">
            <v>0</v>
          </cell>
          <cell r="BT242">
            <v>31420356</v>
          </cell>
          <cell r="BU242">
            <v>-46556</v>
          </cell>
          <cell r="BV242">
            <v>1337257</v>
          </cell>
          <cell r="BW242">
            <v>-453932</v>
          </cell>
          <cell r="BX242">
            <v>-1831106</v>
          </cell>
          <cell r="BY242">
            <v>-449801</v>
          </cell>
          <cell r="BZ242">
            <v>30472344</v>
          </cell>
          <cell r="CA242">
            <v>-915553</v>
          </cell>
          <cell r="CB242">
            <v>-732443</v>
          </cell>
          <cell r="CC242">
            <v>-164800</v>
          </cell>
          <cell r="CD242">
            <v>-18310</v>
          </cell>
          <cell r="CE242">
            <v>-224901</v>
          </cell>
          <cell r="CF242">
            <v>-179920</v>
          </cell>
          <cell r="CG242">
            <v>-40482</v>
          </cell>
          <cell r="CH242">
            <v>-4498</v>
          </cell>
        </row>
        <row r="243">
          <cell r="A243">
            <v>236</v>
          </cell>
          <cell r="B243" t="str">
            <v>South Cambridgeshire</v>
          </cell>
          <cell r="C243" t="str">
            <v>E0536</v>
          </cell>
          <cell r="D243">
            <v>229729</v>
          </cell>
          <cell r="H243">
            <v>-53865</v>
          </cell>
          <cell r="I243">
            <v>0</v>
          </cell>
          <cell r="J243">
            <v>229729</v>
          </cell>
          <cell r="K243">
            <v>701750</v>
          </cell>
          <cell r="L243">
            <v>877024</v>
          </cell>
          <cell r="M243">
            <v>0</v>
          </cell>
          <cell r="N243">
            <v>165000</v>
          </cell>
          <cell r="O243">
            <v>165000</v>
          </cell>
          <cell r="P243">
            <v>0</v>
          </cell>
          <cell r="Q243">
            <v>0</v>
          </cell>
          <cell r="R243">
            <v>1280304</v>
          </cell>
          <cell r="S243">
            <v>288068</v>
          </cell>
          <cell r="T243">
            <v>32008</v>
          </cell>
          <cell r="U243">
            <v>7609</v>
          </cell>
          <cell r="V243">
            <v>1712</v>
          </cell>
          <cell r="W243">
            <v>190</v>
          </cell>
          <cell r="X243">
            <v>8140</v>
          </cell>
          <cell r="Y243">
            <v>1832</v>
          </cell>
          <cell r="Z243">
            <v>204</v>
          </cell>
          <cell r="AA243">
            <v>0</v>
          </cell>
          <cell r="AB243">
            <v>0</v>
          </cell>
          <cell r="AC243">
            <v>0</v>
          </cell>
          <cell r="AD243">
            <v>0</v>
          </cell>
          <cell r="AE243">
            <v>0</v>
          </cell>
          <cell r="AF243">
            <v>0</v>
          </cell>
          <cell r="AG243">
            <v>0</v>
          </cell>
          <cell r="AH243">
            <v>0</v>
          </cell>
          <cell r="AI243">
            <v>0</v>
          </cell>
          <cell r="AM243">
            <v>0</v>
          </cell>
          <cell r="AN243">
            <v>0</v>
          </cell>
          <cell r="AO243">
            <v>0</v>
          </cell>
          <cell r="AP243">
            <v>436928</v>
          </cell>
          <cell r="AQ243">
            <v>92415</v>
          </cell>
          <cell r="AR243">
            <v>10268</v>
          </cell>
          <cell r="AS243">
            <v>-100001</v>
          </cell>
          <cell r="AT243">
            <v>-79999</v>
          </cell>
          <cell r="AU243">
            <v>-18000</v>
          </cell>
          <cell r="AV243">
            <v>-2000</v>
          </cell>
          <cell r="AW243">
            <v>-200000</v>
          </cell>
          <cell r="AX243">
            <v>-3534083</v>
          </cell>
          <cell r="AY243">
            <v>-2827270</v>
          </cell>
          <cell r="AZ243">
            <v>-636136</v>
          </cell>
          <cell r="BA243">
            <v>-70683</v>
          </cell>
          <cell r="BB243">
            <v>-7068172</v>
          </cell>
          <cell r="BC243">
            <v>76290958</v>
          </cell>
          <cell r="BD243">
            <v>-2823239</v>
          </cell>
          <cell r="BE243">
            <v>2177666</v>
          </cell>
          <cell r="BF243">
            <v>0</v>
          </cell>
          <cell r="BG243">
            <v>-9436392</v>
          </cell>
          <cell r="BH243">
            <v>-29995</v>
          </cell>
          <cell r="BI243">
            <v>-78559</v>
          </cell>
          <cell r="BJ243">
            <v>0</v>
          </cell>
          <cell r="BK243">
            <v>-2174268</v>
          </cell>
          <cell r="BL243">
            <v>-100368</v>
          </cell>
          <cell r="BM243">
            <v>-48439</v>
          </cell>
          <cell r="BN243">
            <v>0</v>
          </cell>
          <cell r="BO243">
            <v>-78559</v>
          </cell>
          <cell r="BP243">
            <v>-72798</v>
          </cell>
          <cell r="BQ243">
            <v>0</v>
          </cell>
          <cell r="BR243">
            <v>0</v>
          </cell>
          <cell r="BS243">
            <v>0</v>
          </cell>
          <cell r="BT243">
            <v>78903023</v>
          </cell>
          <cell r="BU243">
            <v>-57772</v>
          </cell>
          <cell r="BV243">
            <v>331559</v>
          </cell>
          <cell r="BW243">
            <v>-2495466</v>
          </cell>
          <cell r="BX243">
            <v>2479162</v>
          </cell>
          <cell r="BY243">
            <v>3793946</v>
          </cell>
          <cell r="BZ243">
            <v>68357820</v>
          </cell>
          <cell r="CA243">
            <v>1239582</v>
          </cell>
          <cell r="CB243">
            <v>991664</v>
          </cell>
          <cell r="CC243">
            <v>223124</v>
          </cell>
          <cell r="CD243">
            <v>24792</v>
          </cell>
          <cell r="CE243">
            <v>1896974</v>
          </cell>
          <cell r="CF243">
            <v>1517578</v>
          </cell>
          <cell r="CG243">
            <v>341455</v>
          </cell>
          <cell r="CH243">
            <v>37939</v>
          </cell>
        </row>
        <row r="244">
          <cell r="A244">
            <v>237</v>
          </cell>
          <cell r="B244" t="str">
            <v>South Derbyshire</v>
          </cell>
          <cell r="C244" t="str">
            <v>E1039</v>
          </cell>
          <cell r="D244">
            <v>90800</v>
          </cell>
          <cell r="H244">
            <v>665961</v>
          </cell>
          <cell r="I244">
            <v>0</v>
          </cell>
          <cell r="J244">
            <v>90800</v>
          </cell>
          <cell r="K244">
            <v>0</v>
          </cell>
          <cell r="L244">
            <v>0</v>
          </cell>
          <cell r="M244">
            <v>0</v>
          </cell>
          <cell r="N244">
            <v>0</v>
          </cell>
          <cell r="O244">
            <v>0</v>
          </cell>
          <cell r="P244">
            <v>0</v>
          </cell>
          <cell r="Q244">
            <v>0</v>
          </cell>
          <cell r="R244">
            <v>384744</v>
          </cell>
          <cell r="S244">
            <v>86567</v>
          </cell>
          <cell r="T244">
            <v>9619</v>
          </cell>
          <cell r="U244">
            <v>2517</v>
          </cell>
          <cell r="V244">
            <v>566</v>
          </cell>
          <cell r="W244">
            <v>63</v>
          </cell>
          <cell r="X244">
            <v>0</v>
          </cell>
          <cell r="Y244">
            <v>0</v>
          </cell>
          <cell r="Z244">
            <v>0</v>
          </cell>
          <cell r="AA244">
            <v>3418</v>
          </cell>
          <cell r="AB244">
            <v>769</v>
          </cell>
          <cell r="AC244">
            <v>85</v>
          </cell>
          <cell r="AD244">
            <v>0</v>
          </cell>
          <cell r="AE244">
            <v>0</v>
          </cell>
          <cell r="AF244">
            <v>0</v>
          </cell>
          <cell r="AG244">
            <v>0</v>
          </cell>
          <cell r="AH244">
            <v>0</v>
          </cell>
          <cell r="AI244">
            <v>0</v>
          </cell>
          <cell r="AM244">
            <v>0</v>
          </cell>
          <cell r="AN244">
            <v>0</v>
          </cell>
          <cell r="AO244">
            <v>0</v>
          </cell>
          <cell r="AP244">
            <v>149040</v>
          </cell>
          <cell r="AQ244">
            <v>33534</v>
          </cell>
          <cell r="AR244">
            <v>3726</v>
          </cell>
          <cell r="AS244">
            <v>-621042</v>
          </cell>
          <cell r="AT244">
            <v>-496835</v>
          </cell>
          <cell r="AU244">
            <v>-111789</v>
          </cell>
          <cell r="AV244">
            <v>-12421</v>
          </cell>
          <cell r="AW244">
            <v>-1242087</v>
          </cell>
          <cell r="AX244">
            <v>-1240843</v>
          </cell>
          <cell r="AY244">
            <v>-992675</v>
          </cell>
          <cell r="AZ244">
            <v>-223352</v>
          </cell>
          <cell r="BA244">
            <v>-24817</v>
          </cell>
          <cell r="BB244">
            <v>-2481687</v>
          </cell>
          <cell r="BC244">
            <v>23142898</v>
          </cell>
          <cell r="BD244">
            <v>-1534250</v>
          </cell>
          <cell r="BE244">
            <v>626609</v>
          </cell>
          <cell r="BF244">
            <v>0</v>
          </cell>
          <cell r="BG244">
            <v>-1201723</v>
          </cell>
          <cell r="BH244">
            <v>-35078</v>
          </cell>
          <cell r="BI244">
            <v>-22981</v>
          </cell>
          <cell r="BJ244">
            <v>-491709</v>
          </cell>
          <cell r="BK244">
            <v>-484427</v>
          </cell>
          <cell r="BL244">
            <v>-42697</v>
          </cell>
          <cell r="BM244">
            <v>-30521</v>
          </cell>
          <cell r="BN244">
            <v>0</v>
          </cell>
          <cell r="BO244">
            <v>0</v>
          </cell>
          <cell r="BP244">
            <v>-1680</v>
          </cell>
          <cell r="BQ244">
            <v>0</v>
          </cell>
          <cell r="BR244">
            <v>0</v>
          </cell>
          <cell r="BS244">
            <v>0</v>
          </cell>
          <cell r="BT244">
            <v>23786839</v>
          </cell>
          <cell r="BU244">
            <v>-136968</v>
          </cell>
          <cell r="BV244">
            <v>2187816</v>
          </cell>
          <cell r="BW244">
            <v>-774227</v>
          </cell>
          <cell r="BX244">
            <v>-1339347</v>
          </cell>
          <cell r="BY244">
            <v>-712280</v>
          </cell>
          <cell r="BZ244">
            <v>24804466</v>
          </cell>
          <cell r="CA244">
            <v>-669673</v>
          </cell>
          <cell r="CB244">
            <v>-535740</v>
          </cell>
          <cell r="CC244">
            <v>-120541</v>
          </cell>
          <cell r="CD244">
            <v>-13393</v>
          </cell>
          <cell r="CE244">
            <v>-356140</v>
          </cell>
          <cell r="CF244">
            <v>-284912</v>
          </cell>
          <cell r="CG244">
            <v>-64105</v>
          </cell>
          <cell r="CH244">
            <v>-7123</v>
          </cell>
        </row>
        <row r="245">
          <cell r="A245">
            <v>238</v>
          </cell>
          <cell r="B245" t="str">
            <v>South Gloucestershire</v>
          </cell>
          <cell r="C245" t="str">
            <v>E0103</v>
          </cell>
          <cell r="D245">
            <v>333796</v>
          </cell>
          <cell r="H245">
            <v>-7207621</v>
          </cell>
          <cell r="I245">
            <v>64834</v>
          </cell>
          <cell r="J245">
            <v>333796</v>
          </cell>
          <cell r="K245">
            <v>5248696</v>
          </cell>
          <cell r="L245">
            <v>218667</v>
          </cell>
          <cell r="M245">
            <v>0</v>
          </cell>
          <cell r="N245">
            <v>0</v>
          </cell>
          <cell r="O245">
            <v>0</v>
          </cell>
          <cell r="P245">
            <v>0</v>
          </cell>
          <cell r="Q245">
            <v>0</v>
          </cell>
          <cell r="R245">
            <v>2311907</v>
          </cell>
          <cell r="S245">
            <v>122656</v>
          </cell>
          <cell r="T245">
            <v>24531</v>
          </cell>
          <cell r="U245">
            <v>34451</v>
          </cell>
          <cell r="V245">
            <v>1833</v>
          </cell>
          <cell r="W245">
            <v>367</v>
          </cell>
          <cell r="X245">
            <v>0</v>
          </cell>
          <cell r="Y245">
            <v>0</v>
          </cell>
          <cell r="Z245">
            <v>0</v>
          </cell>
          <cell r="AA245">
            <v>7836</v>
          </cell>
          <cell r="AB245">
            <v>417</v>
          </cell>
          <cell r="AC245">
            <v>83</v>
          </cell>
          <cell r="AD245">
            <v>0</v>
          </cell>
          <cell r="AE245">
            <v>0</v>
          </cell>
          <cell r="AF245">
            <v>0</v>
          </cell>
          <cell r="AG245">
            <v>0</v>
          </cell>
          <cell r="AH245">
            <v>0</v>
          </cell>
          <cell r="AI245">
            <v>0</v>
          </cell>
          <cell r="AM245">
            <v>0</v>
          </cell>
          <cell r="AN245">
            <v>0</v>
          </cell>
          <cell r="AO245">
            <v>0</v>
          </cell>
          <cell r="AP245">
            <v>1947144</v>
          </cell>
          <cell r="AQ245">
            <v>99203</v>
          </cell>
          <cell r="AR245">
            <v>19841</v>
          </cell>
          <cell r="AS245">
            <v>-163556</v>
          </cell>
          <cell r="AT245">
            <v>-160285</v>
          </cell>
          <cell r="AU245">
            <v>0</v>
          </cell>
          <cell r="AV245">
            <v>-3271</v>
          </cell>
          <cell r="AW245">
            <v>-327112</v>
          </cell>
          <cell r="AX245">
            <v>-8747992</v>
          </cell>
          <cell r="AY245">
            <v>-8573032</v>
          </cell>
          <cell r="AZ245">
            <v>0</v>
          </cell>
          <cell r="BA245">
            <v>-174961</v>
          </cell>
          <cell r="BB245">
            <v>-17495985</v>
          </cell>
          <cell r="BC245">
            <v>134753265</v>
          </cell>
          <cell r="BD245">
            <v>-3962901</v>
          </cell>
          <cell r="BE245">
            <v>3876750</v>
          </cell>
          <cell r="BF245">
            <v>0</v>
          </cell>
          <cell r="BG245">
            <v>-8088106</v>
          </cell>
          <cell r="BH245">
            <v>-80514</v>
          </cell>
          <cell r="BI245">
            <v>-29548</v>
          </cell>
          <cell r="BJ245">
            <v>-426909</v>
          </cell>
          <cell r="BK245">
            <v>-5177305</v>
          </cell>
          <cell r="BL245">
            <v>-31152</v>
          </cell>
          <cell r="BM245">
            <v>-80576</v>
          </cell>
          <cell r="BN245">
            <v>0</v>
          </cell>
          <cell r="BO245">
            <v>-27224</v>
          </cell>
          <cell r="BP245">
            <v>-21342</v>
          </cell>
          <cell r="BQ245">
            <v>-50888</v>
          </cell>
          <cell r="BR245">
            <v>0</v>
          </cell>
          <cell r="BS245">
            <v>0</v>
          </cell>
          <cell r="BT245">
            <v>138793723</v>
          </cell>
          <cell r="BU245">
            <v>-303120</v>
          </cell>
          <cell r="BV245">
            <v>824835</v>
          </cell>
          <cell r="BW245">
            <v>-2488263</v>
          </cell>
          <cell r="BX245">
            <v>-13643916</v>
          </cell>
          <cell r="BY245">
            <v>-13002325</v>
          </cell>
          <cell r="BZ245">
            <v>132081679</v>
          </cell>
          <cell r="CA245">
            <v>-6821958</v>
          </cell>
          <cell r="CB245">
            <v>-6685518</v>
          </cell>
          <cell r="CC245">
            <v>0</v>
          </cell>
          <cell r="CD245">
            <v>-136440</v>
          </cell>
          <cell r="CE245">
            <v>-6501163</v>
          </cell>
          <cell r="CF245">
            <v>-6371139</v>
          </cell>
          <cell r="CG245">
            <v>0</v>
          </cell>
          <cell r="CH245">
            <v>-130023</v>
          </cell>
        </row>
        <row r="246">
          <cell r="A246">
            <v>239</v>
          </cell>
          <cell r="B246" t="str">
            <v>South Hams</v>
          </cell>
          <cell r="C246" t="str">
            <v>E1136</v>
          </cell>
          <cell r="D246">
            <v>205674</v>
          </cell>
          <cell r="H246">
            <v>-567743</v>
          </cell>
          <cell r="I246">
            <v>0</v>
          </cell>
          <cell r="J246">
            <v>205674</v>
          </cell>
          <cell r="K246">
            <v>0</v>
          </cell>
          <cell r="L246">
            <v>0</v>
          </cell>
          <cell r="M246">
            <v>0</v>
          </cell>
          <cell r="N246">
            <v>0</v>
          </cell>
          <cell r="O246">
            <v>0</v>
          </cell>
          <cell r="P246">
            <v>0</v>
          </cell>
          <cell r="Q246">
            <v>0</v>
          </cell>
          <cell r="R246">
            <v>1286612</v>
          </cell>
          <cell r="S246">
            <v>289488</v>
          </cell>
          <cell r="T246">
            <v>32165</v>
          </cell>
          <cell r="U246">
            <v>0</v>
          </cell>
          <cell r="V246">
            <v>0</v>
          </cell>
          <cell r="W246">
            <v>0</v>
          </cell>
          <cell r="X246">
            <v>16240</v>
          </cell>
          <cell r="Y246">
            <v>3654</v>
          </cell>
          <cell r="Z246">
            <v>406</v>
          </cell>
          <cell r="AA246">
            <v>4059</v>
          </cell>
          <cell r="AB246">
            <v>914</v>
          </cell>
          <cell r="AC246">
            <v>102</v>
          </cell>
          <cell r="AD246">
            <v>0</v>
          </cell>
          <cell r="AE246">
            <v>0</v>
          </cell>
          <cell r="AF246">
            <v>0</v>
          </cell>
          <cell r="AG246">
            <v>0</v>
          </cell>
          <cell r="AH246">
            <v>0</v>
          </cell>
          <cell r="AI246">
            <v>0</v>
          </cell>
          <cell r="AM246">
            <v>0</v>
          </cell>
          <cell r="AN246">
            <v>0</v>
          </cell>
          <cell r="AO246">
            <v>0</v>
          </cell>
          <cell r="AP246">
            <v>145090</v>
          </cell>
          <cell r="AQ246">
            <v>32645</v>
          </cell>
          <cell r="AR246">
            <v>3627</v>
          </cell>
          <cell r="AS246">
            <v>-319120</v>
          </cell>
          <cell r="AT246">
            <v>-255296</v>
          </cell>
          <cell r="AU246">
            <v>-57441</v>
          </cell>
          <cell r="AV246">
            <v>-6382</v>
          </cell>
          <cell r="AW246">
            <v>-638239</v>
          </cell>
          <cell r="AX246">
            <v>-948341</v>
          </cell>
          <cell r="AY246">
            <v>-758672</v>
          </cell>
          <cell r="AZ246">
            <v>-170702</v>
          </cell>
          <cell r="BA246">
            <v>-18967</v>
          </cell>
          <cell r="BB246">
            <v>-1896682</v>
          </cell>
          <cell r="BC246">
            <v>56606442</v>
          </cell>
          <cell r="BD246">
            <v>-4536645</v>
          </cell>
          <cell r="BE246">
            <v>797478</v>
          </cell>
          <cell r="BF246">
            <v>0</v>
          </cell>
          <cell r="BG246">
            <v>-2348105</v>
          </cell>
          <cell r="BH246">
            <v>-90738</v>
          </cell>
          <cell r="BI246">
            <v>-48076</v>
          </cell>
          <cell r="BJ246">
            <v>0</v>
          </cell>
          <cell r="BK246">
            <v>-887073</v>
          </cell>
          <cell r="BL246">
            <v>-162304</v>
          </cell>
          <cell r="BM246">
            <v>-28649</v>
          </cell>
          <cell r="BN246">
            <v>-11231</v>
          </cell>
          <cell r="BO246">
            <v>-14549</v>
          </cell>
          <cell r="BP246">
            <v>0</v>
          </cell>
          <cell r="BQ246">
            <v>0</v>
          </cell>
          <cell r="BR246">
            <v>0</v>
          </cell>
          <cell r="BS246">
            <v>0</v>
          </cell>
          <cell r="BT246">
            <v>30856048</v>
          </cell>
          <cell r="BU246">
            <v>-68781</v>
          </cell>
          <cell r="BV246">
            <v>2572378</v>
          </cell>
          <cell r="BW246">
            <v>-652821</v>
          </cell>
          <cell r="BX246">
            <v>580594</v>
          </cell>
          <cell r="BY246">
            <v>-30581307</v>
          </cell>
          <cell r="BZ246">
            <v>24147114</v>
          </cell>
          <cell r="CA246">
            <v>290296</v>
          </cell>
          <cell r="CB246">
            <v>232238</v>
          </cell>
          <cell r="CC246">
            <v>52254</v>
          </cell>
          <cell r="CD246">
            <v>5806</v>
          </cell>
          <cell r="CE246">
            <v>-15290653</v>
          </cell>
          <cell r="CF246">
            <v>-12232523</v>
          </cell>
          <cell r="CG246">
            <v>-2752318</v>
          </cell>
          <cell r="CH246">
            <v>-305813</v>
          </cell>
        </row>
        <row r="247">
          <cell r="A247">
            <v>240</v>
          </cell>
          <cell r="B247" t="str">
            <v>South Holland</v>
          </cell>
          <cell r="C247" t="str">
            <v>E2535</v>
          </cell>
          <cell r="D247">
            <v>106913</v>
          </cell>
          <cell r="H247">
            <v>-2734374</v>
          </cell>
          <cell r="I247">
            <v>0</v>
          </cell>
          <cell r="J247">
            <v>106913</v>
          </cell>
          <cell r="K247">
            <v>0</v>
          </cell>
          <cell r="L247">
            <v>243855</v>
          </cell>
          <cell r="M247">
            <v>0</v>
          </cell>
          <cell r="N247">
            <v>0</v>
          </cell>
          <cell r="O247">
            <v>0</v>
          </cell>
          <cell r="P247">
            <v>0</v>
          </cell>
          <cell r="Q247">
            <v>0</v>
          </cell>
          <cell r="R247">
            <v>476722</v>
          </cell>
          <cell r="S247">
            <v>119181</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M247">
            <v>0</v>
          </cell>
          <cell r="AN247">
            <v>0</v>
          </cell>
          <cell r="AO247">
            <v>0</v>
          </cell>
          <cell r="AP247">
            <v>137245</v>
          </cell>
          <cell r="AQ247">
            <v>33395</v>
          </cell>
          <cell r="AR247">
            <v>0</v>
          </cell>
          <cell r="AS247">
            <v>-164000</v>
          </cell>
          <cell r="AT247">
            <v>-131200</v>
          </cell>
          <cell r="AU247">
            <v>-32799</v>
          </cell>
          <cell r="AV247">
            <v>0</v>
          </cell>
          <cell r="AW247">
            <v>-327999</v>
          </cell>
          <cell r="AX247">
            <v>-2289086</v>
          </cell>
          <cell r="AY247">
            <v>-1831270</v>
          </cell>
          <cell r="AZ247">
            <v>-457817</v>
          </cell>
          <cell r="BA247">
            <v>0</v>
          </cell>
          <cell r="BB247">
            <v>-4578173</v>
          </cell>
          <cell r="BC247">
            <v>23264250</v>
          </cell>
          <cell r="BD247">
            <v>-1843334</v>
          </cell>
          <cell r="BE247">
            <v>681268</v>
          </cell>
          <cell r="BF247">
            <v>0</v>
          </cell>
          <cell r="BG247">
            <v>-1208993</v>
          </cell>
          <cell r="BH247">
            <v>-50332</v>
          </cell>
          <cell r="BI247">
            <v>-33211</v>
          </cell>
          <cell r="BJ247">
            <v>0</v>
          </cell>
          <cell r="BK247">
            <v>-313637</v>
          </cell>
          <cell r="BL247">
            <v>-78748</v>
          </cell>
          <cell r="BM247">
            <v>-45225</v>
          </cell>
          <cell r="BN247">
            <v>-7014</v>
          </cell>
          <cell r="BO247">
            <v>-33211</v>
          </cell>
          <cell r="BP247">
            <v>0</v>
          </cell>
          <cell r="BQ247">
            <v>0</v>
          </cell>
          <cell r="BR247">
            <v>0</v>
          </cell>
          <cell r="BS247">
            <v>0</v>
          </cell>
          <cell r="BT247">
            <v>26549216</v>
          </cell>
          <cell r="BU247">
            <v>-202044</v>
          </cell>
          <cell r="BV247">
            <v>1232684</v>
          </cell>
          <cell r="BW247">
            <v>-853412</v>
          </cell>
          <cell r="BX247">
            <v>-2092380</v>
          </cell>
          <cell r="BY247">
            <v>-1432122</v>
          </cell>
          <cell r="BZ247">
            <v>22231787</v>
          </cell>
          <cell r="CA247">
            <v>-1046190</v>
          </cell>
          <cell r="CB247">
            <v>-836952</v>
          </cell>
          <cell r="CC247">
            <v>-209238</v>
          </cell>
          <cell r="CD247">
            <v>0</v>
          </cell>
          <cell r="CE247">
            <v>-716061</v>
          </cell>
          <cell r="CF247">
            <v>-572849</v>
          </cell>
          <cell r="CG247">
            <v>-143212</v>
          </cell>
          <cell r="CH247">
            <v>0</v>
          </cell>
        </row>
        <row r="248">
          <cell r="A248">
            <v>241</v>
          </cell>
          <cell r="B248" t="str">
            <v>South Kesteven</v>
          </cell>
          <cell r="C248" t="str">
            <v>E2536</v>
          </cell>
          <cell r="D248">
            <v>177446</v>
          </cell>
          <cell r="H248">
            <v>683</v>
          </cell>
          <cell r="I248">
            <v>0</v>
          </cell>
          <cell r="J248">
            <v>177446</v>
          </cell>
          <cell r="K248">
            <v>0</v>
          </cell>
          <cell r="L248">
            <v>201227</v>
          </cell>
          <cell r="M248">
            <v>0</v>
          </cell>
          <cell r="N248">
            <v>0</v>
          </cell>
          <cell r="O248">
            <v>0</v>
          </cell>
          <cell r="P248">
            <v>0</v>
          </cell>
          <cell r="Q248">
            <v>0</v>
          </cell>
          <cell r="R248">
            <v>764434</v>
          </cell>
          <cell r="S248">
            <v>191108</v>
          </cell>
          <cell r="T248">
            <v>0</v>
          </cell>
          <cell r="U248">
            <v>0</v>
          </cell>
          <cell r="V248">
            <v>0</v>
          </cell>
          <cell r="W248">
            <v>0</v>
          </cell>
          <cell r="X248">
            <v>5422</v>
          </cell>
          <cell r="Y248">
            <v>1356</v>
          </cell>
          <cell r="Z248">
            <v>0</v>
          </cell>
          <cell r="AA248">
            <v>18046</v>
          </cell>
          <cell r="AB248">
            <v>4512</v>
          </cell>
          <cell r="AC248">
            <v>0</v>
          </cell>
          <cell r="AD248">
            <v>0</v>
          </cell>
          <cell r="AE248">
            <v>0</v>
          </cell>
          <cell r="AF248">
            <v>0</v>
          </cell>
          <cell r="AG248">
            <v>0</v>
          </cell>
          <cell r="AH248">
            <v>0</v>
          </cell>
          <cell r="AI248">
            <v>0</v>
          </cell>
          <cell r="AM248">
            <v>0</v>
          </cell>
          <cell r="AN248">
            <v>0</v>
          </cell>
          <cell r="AO248">
            <v>0</v>
          </cell>
          <cell r="AP248">
            <v>241898</v>
          </cell>
          <cell r="AQ248">
            <v>59719</v>
          </cell>
          <cell r="AR248">
            <v>0</v>
          </cell>
          <cell r="AS248">
            <v>-322500</v>
          </cell>
          <cell r="AT248">
            <v>-258000</v>
          </cell>
          <cell r="AU248">
            <v>-64500</v>
          </cell>
          <cell r="AV248">
            <v>0</v>
          </cell>
          <cell r="AW248">
            <v>-645000</v>
          </cell>
          <cell r="AX248">
            <v>-1633264</v>
          </cell>
          <cell r="AY248">
            <v>-1306612</v>
          </cell>
          <cell r="AZ248">
            <v>-326653</v>
          </cell>
          <cell r="BA248">
            <v>0</v>
          </cell>
          <cell r="BB248">
            <v>-3266529</v>
          </cell>
          <cell r="BC248">
            <v>41047756</v>
          </cell>
          <cell r="BD248">
            <v>-2932728</v>
          </cell>
          <cell r="BE248">
            <v>1085155</v>
          </cell>
          <cell r="BF248">
            <v>0</v>
          </cell>
          <cell r="BG248">
            <v>-3384507</v>
          </cell>
          <cell r="BH248">
            <v>-102668</v>
          </cell>
          <cell r="BI248">
            <v>-43413</v>
          </cell>
          <cell r="BJ248">
            <v>0</v>
          </cell>
          <cell r="BK248">
            <v>-1351699</v>
          </cell>
          <cell r="BL248">
            <v>-15543</v>
          </cell>
          <cell r="BM248">
            <v>-2985</v>
          </cell>
          <cell r="BN248">
            <v>0</v>
          </cell>
          <cell r="BO248">
            <v>-20483</v>
          </cell>
          <cell r="BP248">
            <v>-60820</v>
          </cell>
          <cell r="BQ248">
            <v>0</v>
          </cell>
          <cell r="BR248">
            <v>0</v>
          </cell>
          <cell r="BS248">
            <v>0</v>
          </cell>
          <cell r="BT248">
            <v>42226643</v>
          </cell>
          <cell r="BU248">
            <v>0</v>
          </cell>
          <cell r="BV248">
            <v>1521799</v>
          </cell>
          <cell r="BW248">
            <v>-1939273</v>
          </cell>
          <cell r="BX248">
            <v>-2471144</v>
          </cell>
          <cell r="BY248">
            <v>-1863228</v>
          </cell>
          <cell r="BZ248">
            <v>39755589</v>
          </cell>
          <cell r="CA248">
            <v>-1235572</v>
          </cell>
          <cell r="CB248">
            <v>-988458</v>
          </cell>
          <cell r="CC248">
            <v>-247114</v>
          </cell>
          <cell r="CD248">
            <v>0</v>
          </cell>
          <cell r="CE248">
            <v>-931614</v>
          </cell>
          <cell r="CF248">
            <v>-745291</v>
          </cell>
          <cell r="CG248">
            <v>-186323</v>
          </cell>
          <cell r="CH248">
            <v>0</v>
          </cell>
        </row>
        <row r="249">
          <cell r="A249">
            <v>242</v>
          </cell>
          <cell r="B249" t="str">
            <v>South Lakeland</v>
          </cell>
          <cell r="C249" t="str">
            <v>E0936</v>
          </cell>
          <cell r="D249">
            <v>300847</v>
          </cell>
          <cell r="H249">
            <v>1235130</v>
          </cell>
          <cell r="I249">
            <v>0</v>
          </cell>
          <cell r="J249">
            <v>300847</v>
          </cell>
          <cell r="K249">
            <v>0</v>
          </cell>
          <cell r="L249">
            <v>0</v>
          </cell>
          <cell r="M249">
            <v>0</v>
          </cell>
          <cell r="N249">
            <v>0</v>
          </cell>
          <cell r="O249">
            <v>0</v>
          </cell>
          <cell r="P249">
            <v>0</v>
          </cell>
          <cell r="Q249">
            <v>0</v>
          </cell>
          <cell r="R249">
            <v>1960451</v>
          </cell>
          <cell r="S249">
            <v>490113</v>
          </cell>
          <cell r="T249">
            <v>0</v>
          </cell>
          <cell r="U249">
            <v>388</v>
          </cell>
          <cell r="V249">
            <v>97</v>
          </cell>
          <cell r="W249">
            <v>0</v>
          </cell>
          <cell r="X249">
            <v>358</v>
          </cell>
          <cell r="Y249">
            <v>90</v>
          </cell>
          <cell r="Z249">
            <v>0</v>
          </cell>
          <cell r="AA249">
            <v>3293</v>
          </cell>
          <cell r="AB249">
            <v>823</v>
          </cell>
          <cell r="AC249">
            <v>0</v>
          </cell>
          <cell r="AD249">
            <v>0</v>
          </cell>
          <cell r="AE249">
            <v>0</v>
          </cell>
          <cell r="AF249">
            <v>0</v>
          </cell>
          <cell r="AG249">
            <v>0</v>
          </cell>
          <cell r="AH249">
            <v>0</v>
          </cell>
          <cell r="AI249">
            <v>0</v>
          </cell>
          <cell r="AM249">
            <v>0</v>
          </cell>
          <cell r="AN249">
            <v>0</v>
          </cell>
          <cell r="AO249">
            <v>0</v>
          </cell>
          <cell r="AP249">
            <v>241682</v>
          </cell>
          <cell r="AQ249">
            <v>60420</v>
          </cell>
          <cell r="AR249">
            <v>0</v>
          </cell>
          <cell r="AS249">
            <v>-323090.86</v>
          </cell>
          <cell r="AT249">
            <v>-258473</v>
          </cell>
          <cell r="AU249">
            <v>-64617</v>
          </cell>
          <cell r="AV249">
            <v>0</v>
          </cell>
          <cell r="AW249">
            <v>-646180.86</v>
          </cell>
          <cell r="AX249">
            <v>-1110450</v>
          </cell>
          <cell r="AY249">
            <v>-888360</v>
          </cell>
          <cell r="AZ249">
            <v>-222090</v>
          </cell>
          <cell r="BA249">
            <v>0</v>
          </cell>
          <cell r="BB249">
            <v>-2220900</v>
          </cell>
          <cell r="BC249">
            <v>39709094</v>
          </cell>
          <cell r="BD249">
            <v>-6436832</v>
          </cell>
          <cell r="BE249">
            <v>996718</v>
          </cell>
          <cell r="BF249">
            <v>0</v>
          </cell>
          <cell r="BG249">
            <v>-3014527</v>
          </cell>
          <cell r="BH249">
            <v>-112747</v>
          </cell>
          <cell r="BI249">
            <v>-25844</v>
          </cell>
          <cell r="BJ249">
            <v>-10988</v>
          </cell>
          <cell r="BK249">
            <v>-813080</v>
          </cell>
          <cell r="BL249">
            <v>-102080</v>
          </cell>
          <cell r="BM249">
            <v>-2118</v>
          </cell>
          <cell r="BN249">
            <v>-11349</v>
          </cell>
          <cell r="BO249">
            <v>-17174</v>
          </cell>
          <cell r="BP249">
            <v>-8915</v>
          </cell>
          <cell r="BQ249">
            <v>-12516</v>
          </cell>
          <cell r="BR249">
            <v>0</v>
          </cell>
          <cell r="BS249">
            <v>0</v>
          </cell>
          <cell r="BT249">
            <v>40645513</v>
          </cell>
          <cell r="BU249">
            <v>-296808</v>
          </cell>
          <cell r="BV249">
            <v>1261262</v>
          </cell>
          <cell r="BW249">
            <v>-668674</v>
          </cell>
          <cell r="BX249">
            <v>-2324273</v>
          </cell>
          <cell r="BY249">
            <v>-2387738</v>
          </cell>
          <cell r="BZ249">
            <v>40222717</v>
          </cell>
          <cell r="CA249">
            <v>-1162137</v>
          </cell>
          <cell r="CB249">
            <v>-929708</v>
          </cell>
          <cell r="CC249">
            <v>-232428</v>
          </cell>
          <cell r="CD249">
            <v>0</v>
          </cell>
          <cell r="CE249">
            <v>-1193869</v>
          </cell>
          <cell r="CF249">
            <v>-955095</v>
          </cell>
          <cell r="CG249">
            <v>-238774</v>
          </cell>
          <cell r="CH249">
            <v>0</v>
          </cell>
        </row>
        <row r="250">
          <cell r="A250">
            <v>243</v>
          </cell>
          <cell r="B250" t="str">
            <v>South Norfolk</v>
          </cell>
          <cell r="C250" t="str">
            <v>E2637</v>
          </cell>
          <cell r="D250">
            <v>162366</v>
          </cell>
          <cell r="H250">
            <v>-416841</v>
          </cell>
          <cell r="I250">
            <v>-5077</v>
          </cell>
          <cell r="J250">
            <v>162366</v>
          </cell>
          <cell r="K250">
            <v>0</v>
          </cell>
          <cell r="L250">
            <v>149872</v>
          </cell>
          <cell r="M250">
            <v>0</v>
          </cell>
          <cell r="N250">
            <v>284686</v>
          </cell>
          <cell r="O250">
            <v>284686</v>
          </cell>
          <cell r="P250">
            <v>0</v>
          </cell>
          <cell r="Q250">
            <v>0</v>
          </cell>
          <cell r="R250">
            <v>762165</v>
          </cell>
          <cell r="S250">
            <v>189713</v>
          </cell>
          <cell r="T250">
            <v>0</v>
          </cell>
          <cell r="U250">
            <v>0</v>
          </cell>
          <cell r="V250">
            <v>0</v>
          </cell>
          <cell r="W250">
            <v>0</v>
          </cell>
          <cell r="X250">
            <v>8120</v>
          </cell>
          <cell r="Y250">
            <v>2030</v>
          </cell>
          <cell r="Z250">
            <v>0</v>
          </cell>
          <cell r="AA250">
            <v>0</v>
          </cell>
          <cell r="AB250">
            <v>0</v>
          </cell>
          <cell r="AC250">
            <v>0</v>
          </cell>
          <cell r="AD250">
            <v>0</v>
          </cell>
          <cell r="AE250">
            <v>0</v>
          </cell>
          <cell r="AF250">
            <v>0</v>
          </cell>
          <cell r="AG250">
            <v>0</v>
          </cell>
          <cell r="AH250">
            <v>0</v>
          </cell>
          <cell r="AI250">
            <v>0</v>
          </cell>
          <cell r="AM250">
            <v>0</v>
          </cell>
          <cell r="AN250">
            <v>0</v>
          </cell>
          <cell r="AO250">
            <v>0</v>
          </cell>
          <cell r="AP250">
            <v>183151</v>
          </cell>
          <cell r="AQ250">
            <v>44156</v>
          </cell>
          <cell r="AR250">
            <v>0</v>
          </cell>
          <cell r="AS250">
            <v>-254833</v>
          </cell>
          <cell r="AT250">
            <v>-203868</v>
          </cell>
          <cell r="AU250">
            <v>-50968</v>
          </cell>
          <cell r="AV250">
            <v>0</v>
          </cell>
          <cell r="AW250">
            <v>-509669</v>
          </cell>
          <cell r="AX250">
            <v>-1766329</v>
          </cell>
          <cell r="AY250">
            <v>-1413063</v>
          </cell>
          <cell r="AZ250">
            <v>-353266</v>
          </cell>
          <cell r="BA250">
            <v>0</v>
          </cell>
          <cell r="BB250">
            <v>-3532658</v>
          </cell>
          <cell r="BC250">
            <v>29590670</v>
          </cell>
          <cell r="BD250">
            <v>-2860332</v>
          </cell>
          <cell r="BE250">
            <v>850605</v>
          </cell>
          <cell r="BF250">
            <v>0</v>
          </cell>
          <cell r="BG250">
            <v>-3868326</v>
          </cell>
          <cell r="BH250">
            <v>-70063</v>
          </cell>
          <cell r="BI250">
            <v>-93881</v>
          </cell>
          <cell r="BJ250">
            <v>-6907</v>
          </cell>
          <cell r="BK250">
            <v>-690792</v>
          </cell>
          <cell r="BL250">
            <v>-128167</v>
          </cell>
          <cell r="BM250">
            <v>-129054</v>
          </cell>
          <cell r="BN250">
            <v>-5086</v>
          </cell>
          <cell r="BO250">
            <v>-40362</v>
          </cell>
          <cell r="BP250">
            <v>-26938</v>
          </cell>
          <cell r="BQ250">
            <v>-145310</v>
          </cell>
          <cell r="BR250">
            <v>-119904</v>
          </cell>
          <cell r="BS250">
            <v>0</v>
          </cell>
          <cell r="BT250">
            <v>31187528</v>
          </cell>
          <cell r="BU250">
            <v>-36044</v>
          </cell>
          <cell r="BV250">
            <v>1659192</v>
          </cell>
          <cell r="BW250">
            <v>-286779</v>
          </cell>
          <cell r="BX250">
            <v>-2054449</v>
          </cell>
          <cell r="BY250">
            <v>-1206489</v>
          </cell>
          <cell r="BZ250">
            <v>29395174</v>
          </cell>
          <cell r="CA250">
            <v>-1027225</v>
          </cell>
          <cell r="CB250">
            <v>-821779</v>
          </cell>
          <cell r="CC250">
            <v>-205445</v>
          </cell>
          <cell r="CD250">
            <v>0</v>
          </cell>
          <cell r="CE250">
            <v>-603244</v>
          </cell>
          <cell r="CF250">
            <v>-482596</v>
          </cell>
          <cell r="CG250">
            <v>-120649</v>
          </cell>
          <cell r="CH250">
            <v>0</v>
          </cell>
        </row>
        <row r="251">
          <cell r="A251">
            <v>244</v>
          </cell>
          <cell r="B251" t="str">
            <v>South Northamptonshire</v>
          </cell>
          <cell r="C251" t="str">
            <v>E2836</v>
          </cell>
          <cell r="D251">
            <v>107996</v>
          </cell>
          <cell r="H251">
            <v>-2762</v>
          </cell>
          <cell r="I251">
            <v>0</v>
          </cell>
          <cell r="J251">
            <v>107996</v>
          </cell>
          <cell r="K251">
            <v>0</v>
          </cell>
          <cell r="L251">
            <v>234453</v>
          </cell>
          <cell r="M251">
            <v>0</v>
          </cell>
          <cell r="N251">
            <v>0</v>
          </cell>
          <cell r="O251">
            <v>0</v>
          </cell>
          <cell r="P251">
            <v>0</v>
          </cell>
          <cell r="Q251">
            <v>0</v>
          </cell>
          <cell r="R251">
            <v>540113</v>
          </cell>
          <cell r="S251">
            <v>135028</v>
          </cell>
          <cell r="T251">
            <v>0</v>
          </cell>
          <cell r="U251">
            <v>1022</v>
          </cell>
          <cell r="V251">
            <v>255</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M251">
            <v>0</v>
          </cell>
          <cell r="AN251">
            <v>0</v>
          </cell>
          <cell r="AO251">
            <v>0</v>
          </cell>
          <cell r="AP251">
            <v>131828</v>
          </cell>
          <cell r="AQ251">
            <v>32077</v>
          </cell>
          <cell r="AR251">
            <v>0</v>
          </cell>
          <cell r="AS251">
            <v>-303551.67000000004</v>
          </cell>
          <cell r="AT251">
            <v>-242839</v>
          </cell>
          <cell r="AU251">
            <v>-60710</v>
          </cell>
          <cell r="AV251">
            <v>0</v>
          </cell>
          <cell r="AW251">
            <v>-607100.66999999993</v>
          </cell>
          <cell r="AX251">
            <v>-1320316</v>
          </cell>
          <cell r="AY251">
            <v>-1056253</v>
          </cell>
          <cell r="AZ251">
            <v>-264063</v>
          </cell>
          <cell r="BA251">
            <v>0</v>
          </cell>
          <cell r="BB251">
            <v>-2640632</v>
          </cell>
          <cell r="BC251">
            <v>22648671</v>
          </cell>
          <cell r="BD251">
            <v>-2009065</v>
          </cell>
          <cell r="BE251">
            <v>593272</v>
          </cell>
          <cell r="BF251">
            <v>0</v>
          </cell>
          <cell r="BG251">
            <v>-1664428</v>
          </cell>
          <cell r="BH251">
            <v>-6381</v>
          </cell>
          <cell r="BI251">
            <v>-57444</v>
          </cell>
          <cell r="BJ251">
            <v>0</v>
          </cell>
          <cell r="BK251">
            <v>-669911</v>
          </cell>
          <cell r="BL251">
            <v>-112917</v>
          </cell>
          <cell r="BM251">
            <v>-127030</v>
          </cell>
          <cell r="BN251">
            <v>-1595</v>
          </cell>
          <cell r="BO251">
            <v>-18460</v>
          </cell>
          <cell r="BP251">
            <v>-11568</v>
          </cell>
          <cell r="BQ251">
            <v>0</v>
          </cell>
          <cell r="BR251">
            <v>0</v>
          </cell>
          <cell r="BS251">
            <v>0</v>
          </cell>
          <cell r="BT251">
            <v>23069233</v>
          </cell>
          <cell r="BU251">
            <v>0</v>
          </cell>
          <cell r="BV251">
            <v>972054</v>
          </cell>
          <cell r="BW251">
            <v>-1145626</v>
          </cell>
          <cell r="BX251">
            <v>-338929</v>
          </cell>
          <cell r="BY251">
            <v>36065</v>
          </cell>
          <cell r="BZ251">
            <v>21353801</v>
          </cell>
          <cell r="CA251">
            <v>-169464</v>
          </cell>
          <cell r="CB251">
            <v>-135571</v>
          </cell>
          <cell r="CC251">
            <v>-33894</v>
          </cell>
          <cell r="CD251">
            <v>0</v>
          </cell>
          <cell r="CE251">
            <v>18032</v>
          </cell>
          <cell r="CF251">
            <v>14426</v>
          </cell>
          <cell r="CG251">
            <v>3607</v>
          </cell>
          <cell r="CH251">
            <v>0</v>
          </cell>
        </row>
        <row r="252">
          <cell r="A252">
            <v>245</v>
          </cell>
          <cell r="B252" t="str">
            <v>South Oxfordshire</v>
          </cell>
          <cell r="C252" t="str">
            <v>E3133</v>
          </cell>
          <cell r="D252">
            <v>183863</v>
          </cell>
          <cell r="H252">
            <v>1076846</v>
          </cell>
          <cell r="I252">
            <v>-1116</v>
          </cell>
          <cell r="J252">
            <v>183863</v>
          </cell>
          <cell r="K252">
            <v>36696</v>
          </cell>
          <cell r="L252">
            <v>90098</v>
          </cell>
          <cell r="M252">
            <v>0</v>
          </cell>
          <cell r="N252">
            <v>0</v>
          </cell>
          <cell r="O252">
            <v>0</v>
          </cell>
          <cell r="P252">
            <v>0</v>
          </cell>
          <cell r="Q252">
            <v>0</v>
          </cell>
          <cell r="R252">
            <v>735574</v>
          </cell>
          <cell r="S252">
            <v>183894</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M252">
            <v>0</v>
          </cell>
          <cell r="AN252">
            <v>0</v>
          </cell>
          <cell r="AO252">
            <v>0</v>
          </cell>
          <cell r="AP252">
            <v>261136</v>
          </cell>
          <cell r="AQ252">
            <v>64808</v>
          </cell>
          <cell r="AR252">
            <v>0</v>
          </cell>
          <cell r="AS252">
            <v>-572900</v>
          </cell>
          <cell r="AT252">
            <v>-458320</v>
          </cell>
          <cell r="AU252">
            <v>-114580</v>
          </cell>
          <cell r="AV252">
            <v>0</v>
          </cell>
          <cell r="AW252">
            <v>-1145800</v>
          </cell>
          <cell r="AX252">
            <v>-1614904</v>
          </cell>
          <cell r="AY252">
            <v>-1291924</v>
          </cell>
          <cell r="AZ252">
            <v>-322982</v>
          </cell>
          <cell r="BA252">
            <v>0</v>
          </cell>
          <cell r="BB252">
            <v>-3229810</v>
          </cell>
          <cell r="BC252">
            <v>42685610</v>
          </cell>
          <cell r="BD252">
            <v>-2626507</v>
          </cell>
          <cell r="BE252">
            <v>1156913</v>
          </cell>
          <cell r="BF252">
            <v>0</v>
          </cell>
          <cell r="BG252">
            <v>-4286269</v>
          </cell>
          <cell r="BH252">
            <v>-106398</v>
          </cell>
          <cell r="BI252">
            <v>-42933</v>
          </cell>
          <cell r="BJ252">
            <v>0</v>
          </cell>
          <cell r="BK252">
            <v>-1224631</v>
          </cell>
          <cell r="BL252">
            <v>-200985</v>
          </cell>
          <cell r="BM252">
            <v>-17230</v>
          </cell>
          <cell r="BN252">
            <v>-17176</v>
          </cell>
          <cell r="BO252">
            <v>-21187</v>
          </cell>
          <cell r="BP252">
            <v>0</v>
          </cell>
          <cell r="BQ252">
            <v>0</v>
          </cell>
          <cell r="BR252">
            <v>0</v>
          </cell>
          <cell r="BS252">
            <v>0</v>
          </cell>
          <cell r="BT252">
            <v>42501756</v>
          </cell>
          <cell r="BU252">
            <v>-249459</v>
          </cell>
          <cell r="BV252">
            <v>1952648</v>
          </cell>
          <cell r="BW252">
            <v>-1433530</v>
          </cell>
          <cell r="BX252">
            <v>-478887</v>
          </cell>
          <cell r="BY252">
            <v>-753840</v>
          </cell>
          <cell r="BZ252">
            <v>43143481</v>
          </cell>
          <cell r="CA252">
            <v>-239443</v>
          </cell>
          <cell r="CB252">
            <v>-191555</v>
          </cell>
          <cell r="CC252">
            <v>-47889</v>
          </cell>
          <cell r="CD252">
            <v>0</v>
          </cell>
          <cell r="CE252">
            <v>-376920</v>
          </cell>
          <cell r="CF252">
            <v>-301536</v>
          </cell>
          <cell r="CG252">
            <v>-75384</v>
          </cell>
          <cell r="CH252">
            <v>0</v>
          </cell>
        </row>
        <row r="253">
          <cell r="A253">
            <v>246</v>
          </cell>
          <cell r="B253" t="str">
            <v>South Ribble</v>
          </cell>
          <cell r="C253" t="str">
            <v>E2342</v>
          </cell>
          <cell r="D253">
            <v>124370</v>
          </cell>
          <cell r="H253">
            <v>-3041181</v>
          </cell>
          <cell r="I253">
            <v>0</v>
          </cell>
          <cell r="J253">
            <v>124370</v>
          </cell>
          <cell r="K253">
            <v>0</v>
          </cell>
          <cell r="L253">
            <v>0</v>
          </cell>
          <cell r="M253">
            <v>0</v>
          </cell>
          <cell r="N253">
            <v>0</v>
          </cell>
          <cell r="O253">
            <v>0</v>
          </cell>
          <cell r="P253">
            <v>0</v>
          </cell>
          <cell r="Q253">
            <v>0</v>
          </cell>
          <cell r="R253">
            <v>596894</v>
          </cell>
          <cell r="S253">
            <v>134301</v>
          </cell>
          <cell r="T253">
            <v>14922</v>
          </cell>
          <cell r="U253">
            <v>3474</v>
          </cell>
          <cell r="V253">
            <v>782</v>
          </cell>
          <cell r="W253">
            <v>87</v>
          </cell>
          <cell r="X253">
            <v>0</v>
          </cell>
          <cell r="Y253">
            <v>0</v>
          </cell>
          <cell r="Z253">
            <v>0</v>
          </cell>
          <cell r="AA253">
            <v>2672</v>
          </cell>
          <cell r="AB253">
            <v>601</v>
          </cell>
          <cell r="AC253">
            <v>67</v>
          </cell>
          <cell r="AD253">
            <v>0</v>
          </cell>
          <cell r="AE253">
            <v>0</v>
          </cell>
          <cell r="AF253">
            <v>0</v>
          </cell>
          <cell r="AG253">
            <v>0</v>
          </cell>
          <cell r="AH253">
            <v>0</v>
          </cell>
          <cell r="AI253">
            <v>0</v>
          </cell>
          <cell r="AM253">
            <v>0</v>
          </cell>
          <cell r="AN253">
            <v>0</v>
          </cell>
          <cell r="AO253">
            <v>0</v>
          </cell>
          <cell r="AP253">
            <v>196745</v>
          </cell>
          <cell r="AQ253">
            <v>44268</v>
          </cell>
          <cell r="AR253">
            <v>4919</v>
          </cell>
          <cell r="AS253">
            <v>-258449</v>
          </cell>
          <cell r="AT253">
            <v>-206756</v>
          </cell>
          <cell r="AU253">
            <v>-46520</v>
          </cell>
          <cell r="AV253">
            <v>-5167</v>
          </cell>
          <cell r="AW253">
            <v>-516892</v>
          </cell>
          <cell r="AX253">
            <v>-1500000</v>
          </cell>
          <cell r="AY253">
            <v>-1200000</v>
          </cell>
          <cell r="AZ253">
            <v>-270000</v>
          </cell>
          <cell r="BA253">
            <v>-30000</v>
          </cell>
          <cell r="BB253">
            <v>-3000000</v>
          </cell>
          <cell r="BC253">
            <v>39595072</v>
          </cell>
          <cell r="BD253">
            <v>-2343575</v>
          </cell>
          <cell r="BE253">
            <v>1024286</v>
          </cell>
          <cell r="BF253">
            <v>0</v>
          </cell>
          <cell r="BG253">
            <v>-1944843</v>
          </cell>
          <cell r="BH253">
            <v>-18369</v>
          </cell>
          <cell r="BI253">
            <v>-3926</v>
          </cell>
          <cell r="BJ253">
            <v>-4342</v>
          </cell>
          <cell r="BK253">
            <v>-874220</v>
          </cell>
          <cell r="BL253">
            <v>-113833</v>
          </cell>
          <cell r="BM253">
            <v>-25493</v>
          </cell>
          <cell r="BN253">
            <v>-825</v>
          </cell>
          <cell r="BO253">
            <v>-3926</v>
          </cell>
          <cell r="BP253">
            <v>0</v>
          </cell>
          <cell r="BQ253">
            <v>0</v>
          </cell>
          <cell r="BR253">
            <v>0</v>
          </cell>
          <cell r="BS253">
            <v>0</v>
          </cell>
          <cell r="BT253">
            <v>39508051</v>
          </cell>
          <cell r="BU253">
            <v>-195161</v>
          </cell>
          <cell r="BV253">
            <v>1154359</v>
          </cell>
          <cell r="BW253">
            <v>-771409</v>
          </cell>
          <cell r="BX253">
            <v>661596</v>
          </cell>
          <cell r="BY253">
            <v>627798</v>
          </cell>
          <cell r="BZ253">
            <v>32743922</v>
          </cell>
          <cell r="CA253">
            <v>330798</v>
          </cell>
          <cell r="CB253">
            <v>264638</v>
          </cell>
          <cell r="CC253">
            <v>59543</v>
          </cell>
          <cell r="CD253">
            <v>6617</v>
          </cell>
          <cell r="CE253">
            <v>313899</v>
          </cell>
          <cell r="CF253">
            <v>251119</v>
          </cell>
          <cell r="CG253">
            <v>56502</v>
          </cell>
          <cell r="CH253">
            <v>6278</v>
          </cell>
        </row>
        <row r="254">
          <cell r="A254">
            <v>247</v>
          </cell>
          <cell r="B254" t="str">
            <v>South Somerset</v>
          </cell>
          <cell r="C254" t="str">
            <v>E3334</v>
          </cell>
          <cell r="D254">
            <v>223868</v>
          </cell>
          <cell r="H254">
            <v>-1262789</v>
          </cell>
          <cell r="I254">
            <v>0</v>
          </cell>
          <cell r="J254">
            <v>223868</v>
          </cell>
          <cell r="K254">
            <v>0</v>
          </cell>
          <cell r="L254">
            <v>455039</v>
          </cell>
          <cell r="M254">
            <v>0</v>
          </cell>
          <cell r="N254">
            <v>0</v>
          </cell>
          <cell r="O254">
            <v>0</v>
          </cell>
          <cell r="P254">
            <v>0</v>
          </cell>
          <cell r="Q254">
            <v>0</v>
          </cell>
          <cell r="R254">
            <v>1010259</v>
          </cell>
          <cell r="S254">
            <v>227308</v>
          </cell>
          <cell r="T254">
            <v>25256</v>
          </cell>
          <cell r="U254">
            <v>5324</v>
          </cell>
          <cell r="V254">
            <v>1198</v>
          </cell>
          <cell r="W254">
            <v>133</v>
          </cell>
          <cell r="X254">
            <v>0</v>
          </cell>
          <cell r="Y254">
            <v>0</v>
          </cell>
          <cell r="Z254">
            <v>0</v>
          </cell>
          <cell r="AA254">
            <v>3724</v>
          </cell>
          <cell r="AB254">
            <v>838</v>
          </cell>
          <cell r="AC254">
            <v>93</v>
          </cell>
          <cell r="AD254">
            <v>0</v>
          </cell>
          <cell r="AE254">
            <v>0</v>
          </cell>
          <cell r="AF254">
            <v>0</v>
          </cell>
          <cell r="AG254">
            <v>0</v>
          </cell>
          <cell r="AH254">
            <v>0</v>
          </cell>
          <cell r="AI254">
            <v>0</v>
          </cell>
          <cell r="AM254">
            <v>0</v>
          </cell>
          <cell r="AN254">
            <v>0</v>
          </cell>
          <cell r="AO254">
            <v>0</v>
          </cell>
          <cell r="AP254">
            <v>257034</v>
          </cell>
          <cell r="AQ254">
            <v>56295</v>
          </cell>
          <cell r="AR254">
            <v>6255</v>
          </cell>
          <cell r="AS254">
            <v>-543801</v>
          </cell>
          <cell r="AT254">
            <v>-435039</v>
          </cell>
          <cell r="AU254">
            <v>-97884</v>
          </cell>
          <cell r="AV254">
            <v>-10876</v>
          </cell>
          <cell r="AW254">
            <v>-1087600</v>
          </cell>
          <cell r="AX254">
            <v>-2384487.6</v>
          </cell>
          <cell r="AY254">
            <v>-1907589</v>
          </cell>
          <cell r="AZ254">
            <v>-429206</v>
          </cell>
          <cell r="BA254">
            <v>-47688</v>
          </cell>
          <cell r="BB254">
            <v>-4768970.5999999996</v>
          </cell>
          <cell r="BC254">
            <v>44805263</v>
          </cell>
          <cell r="BD254">
            <v>-4130308</v>
          </cell>
          <cell r="BE254">
            <v>1173009</v>
          </cell>
          <cell r="BF254">
            <v>0</v>
          </cell>
          <cell r="BG254">
            <v>-3457780</v>
          </cell>
          <cell r="BH254">
            <v>-40178</v>
          </cell>
          <cell r="BI254">
            <v>-94483</v>
          </cell>
          <cell r="BJ254">
            <v>-51414</v>
          </cell>
          <cell r="BK254">
            <v>-1514982</v>
          </cell>
          <cell r="BL254">
            <v>-150073</v>
          </cell>
          <cell r="BM254">
            <v>-53009</v>
          </cell>
          <cell r="BN254">
            <v>-4125</v>
          </cell>
          <cell r="BO254">
            <v>-25861</v>
          </cell>
          <cell r="BP254">
            <v>-9982</v>
          </cell>
          <cell r="BQ254">
            <v>-7766</v>
          </cell>
          <cell r="BR254">
            <v>0</v>
          </cell>
          <cell r="BS254">
            <v>0</v>
          </cell>
          <cell r="BT254">
            <v>45617272</v>
          </cell>
          <cell r="BU254">
            <v>-755394</v>
          </cell>
          <cell r="BV254">
            <v>2248694</v>
          </cell>
          <cell r="BW254">
            <v>-791598</v>
          </cell>
          <cell r="BX254">
            <v>1471289</v>
          </cell>
          <cell r="BY254">
            <v>1296696</v>
          </cell>
          <cell r="BZ254">
            <v>41640226</v>
          </cell>
          <cell r="CA254">
            <v>735643</v>
          </cell>
          <cell r="CB254">
            <v>588516</v>
          </cell>
          <cell r="CC254">
            <v>132416</v>
          </cell>
          <cell r="CD254">
            <v>14714</v>
          </cell>
          <cell r="CE254">
            <v>648348</v>
          </cell>
          <cell r="CF254">
            <v>518678</v>
          </cell>
          <cell r="CG254">
            <v>116703</v>
          </cell>
          <cell r="CH254">
            <v>12967</v>
          </cell>
        </row>
        <row r="255">
          <cell r="A255">
            <v>248</v>
          </cell>
          <cell r="B255" t="str">
            <v>South Staffordshire</v>
          </cell>
          <cell r="C255" t="str">
            <v>E3435</v>
          </cell>
          <cell r="D255">
            <v>104320</v>
          </cell>
          <cell r="H255">
            <v>228508</v>
          </cell>
          <cell r="I255">
            <v>-146019</v>
          </cell>
          <cell r="J255">
            <v>104320</v>
          </cell>
          <cell r="K255">
            <v>2467483</v>
          </cell>
          <cell r="L255">
            <v>14236</v>
          </cell>
          <cell r="M255">
            <v>192777</v>
          </cell>
          <cell r="N255">
            <v>52387</v>
          </cell>
          <cell r="O255">
            <v>52387</v>
          </cell>
          <cell r="P255">
            <v>0</v>
          </cell>
          <cell r="Q255">
            <v>0</v>
          </cell>
          <cell r="R255">
            <v>598862</v>
          </cell>
          <cell r="S255">
            <v>134744</v>
          </cell>
          <cell r="T255">
            <v>14972</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M255">
            <v>0</v>
          </cell>
          <cell r="AN255">
            <v>0</v>
          </cell>
          <cell r="AO255">
            <v>0</v>
          </cell>
          <cell r="AP255">
            <v>164930</v>
          </cell>
          <cell r="AQ255">
            <v>31440</v>
          </cell>
          <cell r="AR255">
            <v>3172</v>
          </cell>
          <cell r="AS255">
            <v>-266500</v>
          </cell>
          <cell r="AT255">
            <v>-213200</v>
          </cell>
          <cell r="AU255">
            <v>-47970</v>
          </cell>
          <cell r="AV255">
            <v>-5330</v>
          </cell>
          <cell r="AW255">
            <v>-533000</v>
          </cell>
          <cell r="AX255">
            <v>-1436000</v>
          </cell>
          <cell r="AY255">
            <v>-1148800</v>
          </cell>
          <cell r="AZ255">
            <v>-258480</v>
          </cell>
          <cell r="BA255">
            <v>-28720</v>
          </cell>
          <cell r="BB255">
            <v>-2872000</v>
          </cell>
          <cell r="BC255">
            <v>21812461</v>
          </cell>
          <cell r="BD255">
            <v>-2203612</v>
          </cell>
          <cell r="BE255">
            <v>630038</v>
          </cell>
          <cell r="BF255">
            <v>0</v>
          </cell>
          <cell r="BG255">
            <v>-765416</v>
          </cell>
          <cell r="BH255">
            <v>-21351</v>
          </cell>
          <cell r="BI255">
            <v>-8671</v>
          </cell>
          <cell r="BJ255">
            <v>0</v>
          </cell>
          <cell r="BK255">
            <v>-408476</v>
          </cell>
          <cell r="BL255">
            <v>-46939</v>
          </cell>
          <cell r="BM255">
            <v>-243936</v>
          </cell>
          <cell r="BN255">
            <v>-4244</v>
          </cell>
          <cell r="BO255">
            <v>-3602</v>
          </cell>
          <cell r="BP255">
            <v>0</v>
          </cell>
          <cell r="BQ255">
            <v>-106422</v>
          </cell>
          <cell r="BR255">
            <v>-106422</v>
          </cell>
          <cell r="BS255">
            <v>0</v>
          </cell>
          <cell r="BT255">
            <v>24833341</v>
          </cell>
          <cell r="BU255">
            <v>-117583</v>
          </cell>
          <cell r="BV255">
            <v>929121</v>
          </cell>
          <cell r="BW255">
            <v>-200111</v>
          </cell>
          <cell r="BX255">
            <v>-864243</v>
          </cell>
          <cell r="BY255">
            <v>347</v>
          </cell>
          <cell r="BZ255">
            <v>21113827</v>
          </cell>
          <cell r="CA255">
            <v>-432120</v>
          </cell>
          <cell r="CB255">
            <v>-345698</v>
          </cell>
          <cell r="CC255">
            <v>-77783</v>
          </cell>
          <cell r="CD255">
            <v>-8642</v>
          </cell>
          <cell r="CE255">
            <v>174</v>
          </cell>
          <cell r="CF255">
            <v>139</v>
          </cell>
          <cell r="CG255">
            <v>31</v>
          </cell>
          <cell r="CH255">
            <v>3</v>
          </cell>
        </row>
        <row r="256">
          <cell r="A256">
            <v>249</v>
          </cell>
          <cell r="B256" t="str">
            <v>South Tyneside</v>
          </cell>
          <cell r="C256" t="str">
            <v>E4504</v>
          </cell>
          <cell r="D256">
            <v>150198</v>
          </cell>
          <cell r="H256">
            <v>-1706502</v>
          </cell>
          <cell r="I256">
            <v>0</v>
          </cell>
          <cell r="J256">
            <v>150198</v>
          </cell>
          <cell r="K256">
            <v>0</v>
          </cell>
          <cell r="L256">
            <v>0</v>
          </cell>
          <cell r="M256">
            <v>0</v>
          </cell>
          <cell r="N256">
            <v>0</v>
          </cell>
          <cell r="O256">
            <v>0</v>
          </cell>
          <cell r="P256">
            <v>0</v>
          </cell>
          <cell r="Q256">
            <v>0</v>
          </cell>
          <cell r="R256">
            <v>820645</v>
          </cell>
          <cell r="S256">
            <v>0</v>
          </cell>
          <cell r="T256">
            <v>16748</v>
          </cell>
          <cell r="U256">
            <v>0</v>
          </cell>
          <cell r="V256">
            <v>0</v>
          </cell>
          <cell r="W256">
            <v>0</v>
          </cell>
          <cell r="X256">
            <v>0</v>
          </cell>
          <cell r="Y256">
            <v>0</v>
          </cell>
          <cell r="Z256">
            <v>0</v>
          </cell>
          <cell r="AA256">
            <v>12434</v>
          </cell>
          <cell r="AB256">
            <v>0</v>
          </cell>
          <cell r="AC256">
            <v>254</v>
          </cell>
          <cell r="AD256">
            <v>0</v>
          </cell>
          <cell r="AE256">
            <v>0</v>
          </cell>
          <cell r="AF256">
            <v>0</v>
          </cell>
          <cell r="AG256">
            <v>0</v>
          </cell>
          <cell r="AH256">
            <v>0</v>
          </cell>
          <cell r="AI256">
            <v>0</v>
          </cell>
          <cell r="AM256">
            <v>0</v>
          </cell>
          <cell r="AN256">
            <v>0</v>
          </cell>
          <cell r="AO256">
            <v>0</v>
          </cell>
          <cell r="AP256">
            <v>215653</v>
          </cell>
          <cell r="AQ256">
            <v>0</v>
          </cell>
          <cell r="AR256">
            <v>4401</v>
          </cell>
          <cell r="AS256">
            <v>-373220.93</v>
          </cell>
          <cell r="AT256">
            <v>-365758</v>
          </cell>
          <cell r="AU256">
            <v>0</v>
          </cell>
          <cell r="AV256">
            <v>-7464</v>
          </cell>
          <cell r="AW256">
            <v>-746442.93</v>
          </cell>
          <cell r="AX256">
            <v>-972650</v>
          </cell>
          <cell r="AY256">
            <v>-953195</v>
          </cell>
          <cell r="AZ256">
            <v>0</v>
          </cell>
          <cell r="BA256">
            <v>-19453</v>
          </cell>
          <cell r="BB256">
            <v>-1945298</v>
          </cell>
          <cell r="BC256">
            <v>30914941</v>
          </cell>
          <cell r="BD256">
            <v>-2835536</v>
          </cell>
          <cell r="BE256">
            <v>859125</v>
          </cell>
          <cell r="BF256">
            <v>0</v>
          </cell>
          <cell r="BG256">
            <v>-1910352</v>
          </cell>
          <cell r="BH256">
            <v>-60572</v>
          </cell>
          <cell r="BI256">
            <v>0</v>
          </cell>
          <cell r="BJ256">
            <v>-15848</v>
          </cell>
          <cell r="BK256">
            <v>-1819578</v>
          </cell>
          <cell r="BL256">
            <v>-3738</v>
          </cell>
          <cell r="BM256">
            <v>-77557</v>
          </cell>
          <cell r="BN256">
            <v>0</v>
          </cell>
          <cell r="BO256">
            <v>0</v>
          </cell>
          <cell r="BP256">
            <v>0</v>
          </cell>
          <cell r="BQ256">
            <v>0</v>
          </cell>
          <cell r="BR256">
            <v>0</v>
          </cell>
          <cell r="BS256">
            <v>0</v>
          </cell>
          <cell r="BT256">
            <v>31579730</v>
          </cell>
          <cell r="BU256">
            <v>-177905</v>
          </cell>
          <cell r="BV256">
            <v>1733829</v>
          </cell>
          <cell r="BW256">
            <v>-888093</v>
          </cell>
          <cell r="BX256">
            <v>-1208212</v>
          </cell>
          <cell r="BY256">
            <v>-758709</v>
          </cell>
          <cell r="BZ256">
            <v>29298638</v>
          </cell>
          <cell r="CA256">
            <v>-604105</v>
          </cell>
          <cell r="CB256">
            <v>-592025</v>
          </cell>
          <cell r="CC256">
            <v>0</v>
          </cell>
          <cell r="CD256">
            <v>-12082</v>
          </cell>
          <cell r="CE256">
            <v>-379355</v>
          </cell>
          <cell r="CF256">
            <v>-371767</v>
          </cell>
          <cell r="CG256">
            <v>0</v>
          </cell>
          <cell r="CH256">
            <v>-7587</v>
          </cell>
        </row>
        <row r="257">
          <cell r="A257">
            <v>250</v>
          </cell>
          <cell r="B257" t="str">
            <v>Southampton</v>
          </cell>
          <cell r="C257" t="str">
            <v>E1702</v>
          </cell>
          <cell r="D257">
            <v>310662</v>
          </cell>
          <cell r="H257">
            <v>-2147453</v>
          </cell>
          <cell r="I257">
            <v>0</v>
          </cell>
          <cell r="J257">
            <v>310662</v>
          </cell>
          <cell r="K257">
            <v>0</v>
          </cell>
          <cell r="L257">
            <v>0</v>
          </cell>
          <cell r="M257">
            <v>0</v>
          </cell>
          <cell r="N257">
            <v>0</v>
          </cell>
          <cell r="O257">
            <v>0</v>
          </cell>
          <cell r="P257">
            <v>0</v>
          </cell>
          <cell r="Q257">
            <v>0</v>
          </cell>
          <cell r="R257">
            <v>1268931</v>
          </cell>
          <cell r="S257">
            <v>0</v>
          </cell>
          <cell r="T257">
            <v>25897</v>
          </cell>
          <cell r="U257">
            <v>11715</v>
          </cell>
          <cell r="V257">
            <v>0</v>
          </cell>
          <cell r="W257">
            <v>239</v>
          </cell>
          <cell r="X257">
            <v>21536</v>
          </cell>
          <cell r="Y257">
            <v>0</v>
          </cell>
          <cell r="Z257">
            <v>440</v>
          </cell>
          <cell r="AA257">
            <v>3084</v>
          </cell>
          <cell r="AB257">
            <v>0</v>
          </cell>
          <cell r="AC257">
            <v>63</v>
          </cell>
          <cell r="AD257">
            <v>0</v>
          </cell>
          <cell r="AE257">
            <v>0</v>
          </cell>
          <cell r="AF257">
            <v>0</v>
          </cell>
          <cell r="AG257">
            <v>0</v>
          </cell>
          <cell r="AH257">
            <v>0</v>
          </cell>
          <cell r="AI257">
            <v>0</v>
          </cell>
          <cell r="AM257">
            <v>0</v>
          </cell>
          <cell r="AN257">
            <v>0</v>
          </cell>
          <cell r="AO257">
            <v>0</v>
          </cell>
          <cell r="AP257">
            <v>719741</v>
          </cell>
          <cell r="AQ257">
            <v>0</v>
          </cell>
          <cell r="AR257">
            <v>14689</v>
          </cell>
          <cell r="AS257">
            <v>-1641195</v>
          </cell>
          <cell r="AT257">
            <v>-1608370.46</v>
          </cell>
          <cell r="AU257">
            <v>0</v>
          </cell>
          <cell r="AV257">
            <v>-32824.54</v>
          </cell>
          <cell r="AW257">
            <v>-3282390</v>
          </cell>
          <cell r="AX257">
            <v>-9411766</v>
          </cell>
          <cell r="AY257">
            <v>-9223531</v>
          </cell>
          <cell r="AZ257">
            <v>0</v>
          </cell>
          <cell r="BA257">
            <v>-188236</v>
          </cell>
          <cell r="BB257">
            <v>-18823533</v>
          </cell>
          <cell r="BC257">
            <v>101391649</v>
          </cell>
          <cell r="BD257">
            <v>-3633635</v>
          </cell>
          <cell r="BE257">
            <v>2938720</v>
          </cell>
          <cell r="BF257">
            <v>0</v>
          </cell>
          <cell r="BG257">
            <v>-9377492</v>
          </cell>
          <cell r="BH257">
            <v>-52676</v>
          </cell>
          <cell r="BI257">
            <v>0</v>
          </cell>
          <cell r="BJ257">
            <v>-23086</v>
          </cell>
          <cell r="BK257">
            <v>-3186236</v>
          </cell>
          <cell r="BL257">
            <v>-1174</v>
          </cell>
          <cell r="BM257">
            <v>-115712</v>
          </cell>
          <cell r="BN257">
            <v>0</v>
          </cell>
          <cell r="BO257">
            <v>0</v>
          </cell>
          <cell r="BP257">
            <v>0</v>
          </cell>
          <cell r="BQ257">
            <v>0</v>
          </cell>
          <cell r="BR257">
            <v>0</v>
          </cell>
          <cell r="BS257">
            <v>0</v>
          </cell>
          <cell r="BT257">
            <v>105692705</v>
          </cell>
          <cell r="BU257">
            <v>-1053520</v>
          </cell>
          <cell r="BV257">
            <v>5590557</v>
          </cell>
          <cell r="BW257">
            <v>-2909538</v>
          </cell>
          <cell r="BX257">
            <v>6175197</v>
          </cell>
          <cell r="BY257">
            <v>4740206</v>
          </cell>
          <cell r="BZ257">
            <v>97784052</v>
          </cell>
          <cell r="CA257">
            <v>3087599</v>
          </cell>
          <cell r="CB257">
            <v>3025847</v>
          </cell>
          <cell r="CC257">
            <v>0</v>
          </cell>
          <cell r="CD257">
            <v>61751</v>
          </cell>
          <cell r="CE257">
            <v>2370103</v>
          </cell>
          <cell r="CF257">
            <v>2322701</v>
          </cell>
          <cell r="CG257">
            <v>0</v>
          </cell>
          <cell r="CH257">
            <v>47402</v>
          </cell>
        </row>
        <row r="258">
          <cell r="A258">
            <v>251</v>
          </cell>
          <cell r="B258" t="str">
            <v>Southend-on-Sea</v>
          </cell>
          <cell r="C258" t="str">
            <v>E1501</v>
          </cell>
          <cell r="D258">
            <v>234382</v>
          </cell>
          <cell r="H258">
            <v>-2195152</v>
          </cell>
          <cell r="I258">
            <v>0</v>
          </cell>
          <cell r="J258">
            <v>234382</v>
          </cell>
          <cell r="K258">
            <v>0</v>
          </cell>
          <cell r="L258">
            <v>0</v>
          </cell>
          <cell r="M258">
            <v>0</v>
          </cell>
          <cell r="N258">
            <v>0</v>
          </cell>
          <cell r="O258">
            <v>0</v>
          </cell>
          <cell r="P258">
            <v>0</v>
          </cell>
          <cell r="Q258">
            <v>0</v>
          </cell>
          <cell r="R258">
            <v>1539998</v>
          </cell>
          <cell r="S258">
            <v>0</v>
          </cell>
          <cell r="T258">
            <v>31429</v>
          </cell>
          <cell r="U258">
            <v>6763</v>
          </cell>
          <cell r="V258">
            <v>0</v>
          </cell>
          <cell r="W258">
            <v>138</v>
          </cell>
          <cell r="X258">
            <v>0</v>
          </cell>
          <cell r="Y258">
            <v>0</v>
          </cell>
          <cell r="Z258">
            <v>0</v>
          </cell>
          <cell r="AA258">
            <v>0</v>
          </cell>
          <cell r="AB258">
            <v>0</v>
          </cell>
          <cell r="AC258">
            <v>0</v>
          </cell>
          <cell r="AD258">
            <v>0</v>
          </cell>
          <cell r="AE258">
            <v>0</v>
          </cell>
          <cell r="AF258">
            <v>0</v>
          </cell>
          <cell r="AG258">
            <v>0</v>
          </cell>
          <cell r="AH258">
            <v>0</v>
          </cell>
          <cell r="AI258">
            <v>0</v>
          </cell>
          <cell r="AM258">
            <v>0</v>
          </cell>
          <cell r="AN258">
            <v>0</v>
          </cell>
          <cell r="AO258">
            <v>0</v>
          </cell>
          <cell r="AP258">
            <v>310724</v>
          </cell>
          <cell r="AQ258">
            <v>0</v>
          </cell>
          <cell r="AR258">
            <v>6341</v>
          </cell>
          <cell r="AS258">
            <v>-360681.99</v>
          </cell>
          <cell r="AT258">
            <v>-353468</v>
          </cell>
          <cell r="AU258">
            <v>0</v>
          </cell>
          <cell r="AV258">
            <v>-7213</v>
          </cell>
          <cell r="AW258">
            <v>-721362.99</v>
          </cell>
          <cell r="AX258">
            <v>-2296154.2000000002</v>
          </cell>
          <cell r="AY258">
            <v>-2250231</v>
          </cell>
          <cell r="AZ258">
            <v>0</v>
          </cell>
          <cell r="BA258">
            <v>-45922</v>
          </cell>
          <cell r="BB258">
            <v>-4592307.2</v>
          </cell>
          <cell r="BC258">
            <v>46516666</v>
          </cell>
          <cell r="BD258">
            <v>-4963352</v>
          </cell>
          <cell r="BE258">
            <v>1246916</v>
          </cell>
          <cell r="BF258">
            <v>0</v>
          </cell>
          <cell r="BG258">
            <v>-4345751</v>
          </cell>
          <cell r="BH258">
            <v>-53744</v>
          </cell>
          <cell r="BI258">
            <v>0</v>
          </cell>
          <cell r="BJ258">
            <v>-13343</v>
          </cell>
          <cell r="BK258">
            <v>-1740435</v>
          </cell>
          <cell r="BL258">
            <v>-72706</v>
          </cell>
          <cell r="BM258">
            <v>-35468</v>
          </cell>
          <cell r="BN258">
            <v>-3827</v>
          </cell>
          <cell r="BO258">
            <v>0</v>
          </cell>
          <cell r="BP258">
            <v>0</v>
          </cell>
          <cell r="BQ258">
            <v>0</v>
          </cell>
          <cell r="BR258">
            <v>0</v>
          </cell>
          <cell r="BS258">
            <v>0</v>
          </cell>
          <cell r="BT258">
            <v>48191933</v>
          </cell>
          <cell r="BU258">
            <v>-367085</v>
          </cell>
          <cell r="BV258">
            <v>1728602</v>
          </cell>
          <cell r="BW258">
            <v>-1429433</v>
          </cell>
          <cell r="BX258">
            <v>-5100022</v>
          </cell>
          <cell r="BY258">
            <v>-4322184</v>
          </cell>
          <cell r="BZ258">
            <v>42215030</v>
          </cell>
          <cell r="CA258">
            <v>-2550011</v>
          </cell>
          <cell r="CB258">
            <v>-2499011</v>
          </cell>
          <cell r="CC258">
            <v>0</v>
          </cell>
          <cell r="CD258">
            <v>-51000</v>
          </cell>
          <cell r="CE258">
            <v>-2161092</v>
          </cell>
          <cell r="CF258">
            <v>-2117870</v>
          </cell>
          <cell r="CG258">
            <v>0</v>
          </cell>
          <cell r="CH258">
            <v>-43222</v>
          </cell>
        </row>
        <row r="259">
          <cell r="A259">
            <v>252</v>
          </cell>
          <cell r="B259" t="str">
            <v>Southwark</v>
          </cell>
          <cell r="C259" t="str">
            <v>E5019</v>
          </cell>
          <cell r="D259">
            <v>720423</v>
          </cell>
          <cell r="H259">
            <v>22881500</v>
          </cell>
          <cell r="I259">
            <v>0</v>
          </cell>
          <cell r="J259">
            <v>720423</v>
          </cell>
          <cell r="K259">
            <v>0</v>
          </cell>
          <cell r="L259">
            <v>0</v>
          </cell>
          <cell r="M259">
            <v>0</v>
          </cell>
          <cell r="N259">
            <v>0</v>
          </cell>
          <cell r="O259">
            <v>0</v>
          </cell>
          <cell r="P259">
            <v>0</v>
          </cell>
          <cell r="Q259">
            <v>0</v>
          </cell>
          <cell r="R259">
            <v>1080480</v>
          </cell>
          <cell r="S259">
            <v>1332592</v>
          </cell>
          <cell r="T259">
            <v>0</v>
          </cell>
          <cell r="U259">
            <v>0</v>
          </cell>
          <cell r="V259">
            <v>0</v>
          </cell>
          <cell r="W259">
            <v>0</v>
          </cell>
          <cell r="X259">
            <v>0</v>
          </cell>
          <cell r="Y259">
            <v>0</v>
          </cell>
          <cell r="Z259">
            <v>0</v>
          </cell>
          <cell r="AA259">
            <v>2857</v>
          </cell>
          <cell r="AB259">
            <v>3524</v>
          </cell>
          <cell r="AC259">
            <v>0</v>
          </cell>
          <cell r="AD259">
            <v>0</v>
          </cell>
          <cell r="AE259">
            <v>0</v>
          </cell>
          <cell r="AF259">
            <v>0</v>
          </cell>
          <cell r="AG259">
            <v>0</v>
          </cell>
          <cell r="AH259">
            <v>0</v>
          </cell>
          <cell r="AI259">
            <v>0</v>
          </cell>
          <cell r="AM259">
            <v>0</v>
          </cell>
          <cell r="AN259">
            <v>0</v>
          </cell>
          <cell r="AO259">
            <v>0</v>
          </cell>
          <cell r="AP259">
            <v>1237004</v>
          </cell>
          <cell r="AQ259">
            <v>1525638</v>
          </cell>
          <cell r="AR259">
            <v>0</v>
          </cell>
          <cell r="AS259">
            <v>-2841952</v>
          </cell>
          <cell r="AT259">
            <v>-1705169.8</v>
          </cell>
          <cell r="AU259">
            <v>-1136780</v>
          </cell>
          <cell r="AV259">
            <v>0</v>
          </cell>
          <cell r="AW259">
            <v>-5683902</v>
          </cell>
          <cell r="AX259">
            <v>-20164893</v>
          </cell>
          <cell r="AY259">
            <v>-12098937</v>
          </cell>
          <cell r="AZ259">
            <v>-8065957</v>
          </cell>
          <cell r="BA259">
            <v>0</v>
          </cell>
          <cell r="BB259">
            <v>-40329787</v>
          </cell>
          <cell r="BC259">
            <v>231139833</v>
          </cell>
          <cell r="BD259">
            <v>-5889937</v>
          </cell>
          <cell r="BE259">
            <v>8172214</v>
          </cell>
          <cell r="BF259">
            <v>0</v>
          </cell>
          <cell r="BG259">
            <v>-25222293</v>
          </cell>
          <cell r="BH259">
            <v>-45268</v>
          </cell>
          <cell r="BI259">
            <v>0</v>
          </cell>
          <cell r="BJ259">
            <v>-21441</v>
          </cell>
          <cell r="BK259">
            <v>-5920609</v>
          </cell>
          <cell r="BL259">
            <v>-225501</v>
          </cell>
          <cell r="BM259">
            <v>-61426</v>
          </cell>
          <cell r="BN259">
            <v>0</v>
          </cell>
          <cell r="BO259">
            <v>0</v>
          </cell>
          <cell r="BP259">
            <v>0</v>
          </cell>
          <cell r="BQ259">
            <v>0</v>
          </cell>
          <cell r="BR259">
            <v>0</v>
          </cell>
          <cell r="BS259">
            <v>0</v>
          </cell>
          <cell r="BT259">
            <v>256745187</v>
          </cell>
          <cell r="BU259">
            <v>-1468697</v>
          </cell>
          <cell r="BV259">
            <v>33635667</v>
          </cell>
          <cell r="BW259">
            <v>-17438369</v>
          </cell>
          <cell r="BX259">
            <v>1708609</v>
          </cell>
          <cell r="BY259">
            <v>15151180</v>
          </cell>
          <cell r="BZ259">
            <v>274497100</v>
          </cell>
          <cell r="CA259">
            <v>854304</v>
          </cell>
          <cell r="CB259">
            <v>512582</v>
          </cell>
          <cell r="CC259">
            <v>341723</v>
          </cell>
          <cell r="CD259">
            <v>0</v>
          </cell>
          <cell r="CE259">
            <v>7575590</v>
          </cell>
          <cell r="CF259">
            <v>4545354</v>
          </cell>
          <cell r="CG259">
            <v>3030236</v>
          </cell>
          <cell r="CH259">
            <v>0</v>
          </cell>
        </row>
        <row r="260">
          <cell r="A260">
            <v>253</v>
          </cell>
          <cell r="B260" t="str">
            <v>Spelthorne</v>
          </cell>
          <cell r="C260" t="str">
            <v>E3637</v>
          </cell>
          <cell r="D260">
            <v>128748</v>
          </cell>
          <cell r="H260">
            <v>1018095</v>
          </cell>
          <cell r="I260">
            <v>0</v>
          </cell>
          <cell r="J260">
            <v>128748</v>
          </cell>
          <cell r="K260">
            <v>0</v>
          </cell>
          <cell r="L260">
            <v>0</v>
          </cell>
          <cell r="M260">
            <v>0</v>
          </cell>
          <cell r="N260">
            <v>0</v>
          </cell>
          <cell r="O260">
            <v>0</v>
          </cell>
          <cell r="P260">
            <v>0</v>
          </cell>
          <cell r="Q260">
            <v>0</v>
          </cell>
          <cell r="R260">
            <v>356004</v>
          </cell>
          <cell r="S260">
            <v>89001</v>
          </cell>
          <cell r="T260">
            <v>0</v>
          </cell>
          <cell r="U260">
            <v>0</v>
          </cell>
          <cell r="V260">
            <v>0</v>
          </cell>
          <cell r="W260">
            <v>0</v>
          </cell>
          <cell r="X260">
            <v>0</v>
          </cell>
          <cell r="Y260">
            <v>0</v>
          </cell>
          <cell r="Z260">
            <v>0</v>
          </cell>
          <cell r="AA260">
            <v>1860</v>
          </cell>
          <cell r="AB260">
            <v>465</v>
          </cell>
          <cell r="AC260">
            <v>0</v>
          </cell>
          <cell r="AD260">
            <v>0</v>
          </cell>
          <cell r="AE260">
            <v>0</v>
          </cell>
          <cell r="AF260">
            <v>0</v>
          </cell>
          <cell r="AG260">
            <v>0</v>
          </cell>
          <cell r="AH260">
            <v>0</v>
          </cell>
          <cell r="AI260">
            <v>0</v>
          </cell>
          <cell r="AM260">
            <v>0</v>
          </cell>
          <cell r="AN260">
            <v>0</v>
          </cell>
          <cell r="AO260">
            <v>0</v>
          </cell>
          <cell r="AP260">
            <v>293077</v>
          </cell>
          <cell r="AQ260">
            <v>73269</v>
          </cell>
          <cell r="AR260">
            <v>0</v>
          </cell>
          <cell r="AS260">
            <v>-303723.5</v>
          </cell>
          <cell r="AT260">
            <v>-242978</v>
          </cell>
          <cell r="AU260">
            <v>-60744.5</v>
          </cell>
          <cell r="AV260">
            <v>0</v>
          </cell>
          <cell r="AW260">
            <v>-607446</v>
          </cell>
          <cell r="AX260">
            <v>-1541746</v>
          </cell>
          <cell r="AY260">
            <v>-1233396</v>
          </cell>
          <cell r="AZ260">
            <v>-308348</v>
          </cell>
          <cell r="BA260">
            <v>0</v>
          </cell>
          <cell r="BB260">
            <v>-3083490</v>
          </cell>
          <cell r="BC260">
            <v>42951504</v>
          </cell>
          <cell r="BD260">
            <v>-1357800</v>
          </cell>
          <cell r="BE260">
            <v>1220269</v>
          </cell>
          <cell r="BF260">
            <v>0</v>
          </cell>
          <cell r="BG260">
            <v>-2172590</v>
          </cell>
          <cell r="BH260">
            <v>-29820</v>
          </cell>
          <cell r="BI260">
            <v>0</v>
          </cell>
          <cell r="BJ260">
            <v>-8628</v>
          </cell>
          <cell r="BK260">
            <v>-937364</v>
          </cell>
          <cell r="BL260">
            <v>-52359</v>
          </cell>
          <cell r="BM260">
            <v>-47779</v>
          </cell>
          <cell r="BN260">
            <v>-6809</v>
          </cell>
          <cell r="BO260">
            <v>0</v>
          </cell>
          <cell r="BP260">
            <v>0</v>
          </cell>
          <cell r="BQ260">
            <v>0</v>
          </cell>
          <cell r="BR260">
            <v>0</v>
          </cell>
          <cell r="BS260">
            <v>0</v>
          </cell>
          <cell r="BT260">
            <v>42173171</v>
          </cell>
          <cell r="BU260">
            <v>-857889</v>
          </cell>
          <cell r="BV260">
            <v>957253</v>
          </cell>
          <cell r="BW260">
            <v>-2354653</v>
          </cell>
          <cell r="BX260">
            <v>76225</v>
          </cell>
          <cell r="BY260">
            <v>2259000</v>
          </cell>
          <cell r="BZ260">
            <v>48776376</v>
          </cell>
          <cell r="CA260">
            <v>38112</v>
          </cell>
          <cell r="CB260">
            <v>30491</v>
          </cell>
          <cell r="CC260">
            <v>7622</v>
          </cell>
          <cell r="CD260">
            <v>0</v>
          </cell>
          <cell r="CE260">
            <v>1129500</v>
          </cell>
          <cell r="CF260">
            <v>903600</v>
          </cell>
          <cell r="CG260">
            <v>225900</v>
          </cell>
          <cell r="CH260">
            <v>0</v>
          </cell>
        </row>
        <row r="261">
          <cell r="A261">
            <v>254</v>
          </cell>
          <cell r="B261" t="str">
            <v>St Albans</v>
          </cell>
          <cell r="C261" t="str">
            <v>E1936</v>
          </cell>
          <cell r="D261">
            <v>188622</v>
          </cell>
          <cell r="H261">
            <v>-2229175</v>
          </cell>
          <cell r="I261">
            <v>-167188</v>
          </cell>
          <cell r="J261">
            <v>188622</v>
          </cell>
          <cell r="K261">
            <v>0</v>
          </cell>
          <cell r="L261">
            <v>0</v>
          </cell>
          <cell r="M261">
            <v>0</v>
          </cell>
          <cell r="N261">
            <v>0</v>
          </cell>
          <cell r="O261">
            <v>0</v>
          </cell>
          <cell r="P261">
            <v>0</v>
          </cell>
          <cell r="Q261">
            <v>0</v>
          </cell>
          <cell r="R261">
            <v>540243</v>
          </cell>
          <cell r="S261">
            <v>135061</v>
          </cell>
          <cell r="T261">
            <v>0</v>
          </cell>
          <cell r="U261">
            <v>0</v>
          </cell>
          <cell r="V261">
            <v>0</v>
          </cell>
          <cell r="W261">
            <v>0</v>
          </cell>
          <cell r="X261">
            <v>0</v>
          </cell>
          <cell r="Y261">
            <v>0</v>
          </cell>
          <cell r="Z261">
            <v>0</v>
          </cell>
          <cell r="AA261">
            <v>1798</v>
          </cell>
          <cell r="AB261">
            <v>449</v>
          </cell>
          <cell r="AC261">
            <v>0</v>
          </cell>
          <cell r="AD261">
            <v>0</v>
          </cell>
          <cell r="AE261">
            <v>0</v>
          </cell>
          <cell r="AF261">
            <v>0</v>
          </cell>
          <cell r="AG261">
            <v>0</v>
          </cell>
          <cell r="AH261">
            <v>0</v>
          </cell>
          <cell r="AI261">
            <v>0</v>
          </cell>
          <cell r="AM261">
            <v>0</v>
          </cell>
          <cell r="AN261">
            <v>0</v>
          </cell>
          <cell r="AO261">
            <v>0</v>
          </cell>
          <cell r="AP261">
            <v>348304</v>
          </cell>
          <cell r="AQ261">
            <v>87076</v>
          </cell>
          <cell r="AR261">
            <v>0</v>
          </cell>
          <cell r="AS261">
            <v>-799500</v>
          </cell>
          <cell r="AT261">
            <v>-639600</v>
          </cell>
          <cell r="AU261">
            <v>-159900</v>
          </cell>
          <cell r="AV261">
            <v>0</v>
          </cell>
          <cell r="AW261">
            <v>-1599000</v>
          </cell>
          <cell r="AX261">
            <v>-4859999.8</v>
          </cell>
          <cell r="AY261">
            <v>-3888000</v>
          </cell>
          <cell r="AZ261">
            <v>-972001</v>
          </cell>
          <cell r="BA261">
            <v>0</v>
          </cell>
          <cell r="BB261">
            <v>-9720000.8000000007</v>
          </cell>
          <cell r="BC261">
            <v>60513885</v>
          </cell>
          <cell r="BD261">
            <v>-1733034</v>
          </cell>
          <cell r="BE261">
            <v>1760825</v>
          </cell>
          <cell r="BF261">
            <v>0</v>
          </cell>
          <cell r="BG261">
            <v>-5458015</v>
          </cell>
          <cell r="BH261">
            <v>-84786</v>
          </cell>
          <cell r="BI261">
            <v>0</v>
          </cell>
          <cell r="BJ261">
            <v>-4020</v>
          </cell>
          <cell r="BK261">
            <v>-2874302</v>
          </cell>
          <cell r="BL261">
            <v>-134949</v>
          </cell>
          <cell r="BM261">
            <v>-21689</v>
          </cell>
          <cell r="BN261">
            <v>-1168</v>
          </cell>
          <cell r="BO261">
            <v>0</v>
          </cell>
          <cell r="BP261">
            <v>0</v>
          </cell>
          <cell r="BQ261">
            <v>0</v>
          </cell>
          <cell r="BR261">
            <v>0</v>
          </cell>
          <cell r="BS261">
            <v>0</v>
          </cell>
          <cell r="BT261">
            <v>61928154</v>
          </cell>
          <cell r="BU261">
            <v>0</v>
          </cell>
          <cell r="BV261">
            <v>2468367</v>
          </cell>
          <cell r="BW261">
            <v>-1282005</v>
          </cell>
          <cell r="BX261">
            <v>-6242755</v>
          </cell>
          <cell r="BY261">
            <v>-288652</v>
          </cell>
          <cell r="BZ261">
            <v>57967698</v>
          </cell>
          <cell r="CA261">
            <v>-3121377</v>
          </cell>
          <cell r="CB261">
            <v>-2497102</v>
          </cell>
          <cell r="CC261">
            <v>-624276</v>
          </cell>
          <cell r="CD261">
            <v>0</v>
          </cell>
          <cell r="CE261">
            <v>-144326</v>
          </cell>
          <cell r="CF261">
            <v>-115461</v>
          </cell>
          <cell r="CG261">
            <v>-28865</v>
          </cell>
          <cell r="CH261">
            <v>0</v>
          </cell>
        </row>
        <row r="262">
          <cell r="A262">
            <v>255</v>
          </cell>
          <cell r="B262" t="str">
            <v>St Edmundsbury</v>
          </cell>
          <cell r="C262" t="str">
            <v>E3535</v>
          </cell>
          <cell r="D262">
            <v>158330</v>
          </cell>
          <cell r="H262">
            <v>-1283993</v>
          </cell>
          <cell r="I262">
            <v>0</v>
          </cell>
          <cell r="J262">
            <v>158330</v>
          </cell>
          <cell r="K262">
            <v>0</v>
          </cell>
          <cell r="L262">
            <v>238498</v>
          </cell>
          <cell r="M262">
            <v>0</v>
          </cell>
          <cell r="N262">
            <v>0</v>
          </cell>
          <cell r="O262">
            <v>0</v>
          </cell>
          <cell r="P262">
            <v>0</v>
          </cell>
          <cell r="Q262">
            <v>0</v>
          </cell>
          <cell r="R262">
            <v>632278</v>
          </cell>
          <cell r="S262">
            <v>158070</v>
          </cell>
          <cell r="T262">
            <v>0</v>
          </cell>
          <cell r="U262">
            <v>0</v>
          </cell>
          <cell r="V262">
            <v>0</v>
          </cell>
          <cell r="W262">
            <v>0</v>
          </cell>
          <cell r="X262">
            <v>65668</v>
          </cell>
          <cell r="Y262">
            <v>16417</v>
          </cell>
          <cell r="Z262">
            <v>0</v>
          </cell>
          <cell r="AA262">
            <v>0</v>
          </cell>
          <cell r="AB262">
            <v>0</v>
          </cell>
          <cell r="AC262">
            <v>0</v>
          </cell>
          <cell r="AD262">
            <v>0</v>
          </cell>
          <cell r="AE262">
            <v>0</v>
          </cell>
          <cell r="AF262">
            <v>0</v>
          </cell>
          <cell r="AG262">
            <v>0</v>
          </cell>
          <cell r="AH262">
            <v>0</v>
          </cell>
          <cell r="AI262">
            <v>0</v>
          </cell>
          <cell r="AM262">
            <v>0</v>
          </cell>
          <cell r="AN262">
            <v>0</v>
          </cell>
          <cell r="AO262">
            <v>0</v>
          </cell>
          <cell r="AP262">
            <v>270355</v>
          </cell>
          <cell r="AQ262">
            <v>66693</v>
          </cell>
          <cell r="AR262">
            <v>0</v>
          </cell>
          <cell r="AS262">
            <v>-301002.17000000004</v>
          </cell>
          <cell r="AT262">
            <v>-240803</v>
          </cell>
          <cell r="AU262">
            <v>-60200</v>
          </cell>
          <cell r="AV262">
            <v>0</v>
          </cell>
          <cell r="AW262">
            <v>-602005.17000000004</v>
          </cell>
          <cell r="AX262">
            <v>-1386771</v>
          </cell>
          <cell r="AY262">
            <v>-1109420</v>
          </cell>
          <cell r="AZ262">
            <v>-277354</v>
          </cell>
          <cell r="BA262">
            <v>0</v>
          </cell>
          <cell r="BB262">
            <v>-2773545</v>
          </cell>
          <cell r="BC262">
            <v>48520654</v>
          </cell>
          <cell r="BD262">
            <v>-2052366</v>
          </cell>
          <cell r="BE262">
            <v>1270727</v>
          </cell>
          <cell r="BF262">
            <v>0</v>
          </cell>
          <cell r="BG262">
            <v>-2739711</v>
          </cell>
          <cell r="BH262">
            <v>-21441</v>
          </cell>
          <cell r="BI262">
            <v>-52682</v>
          </cell>
          <cell r="BJ262">
            <v>0</v>
          </cell>
          <cell r="BK262">
            <v>-1126130</v>
          </cell>
          <cell r="BL262">
            <v>-38418</v>
          </cell>
          <cell r="BM262">
            <v>-108263</v>
          </cell>
          <cell r="BN262">
            <v>-4315</v>
          </cell>
          <cell r="BO262">
            <v>-17604</v>
          </cell>
          <cell r="BP262">
            <v>-3642</v>
          </cell>
          <cell r="BQ262">
            <v>0</v>
          </cell>
          <cell r="BR262">
            <v>0</v>
          </cell>
          <cell r="BS262">
            <v>0</v>
          </cell>
          <cell r="BT262">
            <v>48546992</v>
          </cell>
          <cell r="BU262">
            <v>-85993</v>
          </cell>
          <cell r="BV262">
            <v>1944356</v>
          </cell>
          <cell r="BW262">
            <v>-593777</v>
          </cell>
          <cell r="BX262">
            <v>1570316.2800000012</v>
          </cell>
          <cell r="BY262">
            <v>1888342</v>
          </cell>
          <cell r="BZ262">
            <v>44398571</v>
          </cell>
          <cell r="CA262">
            <v>785158.28000000119</v>
          </cell>
          <cell r="CB262">
            <v>628127</v>
          </cell>
          <cell r="CC262">
            <v>157031</v>
          </cell>
          <cell r="CD262">
            <v>0</v>
          </cell>
          <cell r="CE262">
            <v>944171</v>
          </cell>
          <cell r="CF262">
            <v>755337</v>
          </cell>
          <cell r="CG262">
            <v>188834</v>
          </cell>
          <cell r="CH262">
            <v>0</v>
          </cell>
        </row>
        <row r="263">
          <cell r="A263">
            <v>256</v>
          </cell>
          <cell r="B263" t="str">
            <v>St Helens</v>
          </cell>
          <cell r="C263" t="str">
            <v>E4303</v>
          </cell>
          <cell r="D263">
            <v>190546</v>
          </cell>
          <cell r="H263">
            <v>-2372989</v>
          </cell>
          <cell r="I263">
            <v>0</v>
          </cell>
          <cell r="J263">
            <v>190546</v>
          </cell>
          <cell r="K263">
            <v>0</v>
          </cell>
          <cell r="L263">
            <v>0</v>
          </cell>
          <cell r="M263">
            <v>0</v>
          </cell>
          <cell r="N263">
            <v>0</v>
          </cell>
          <cell r="O263">
            <v>0</v>
          </cell>
          <cell r="P263">
            <v>0</v>
          </cell>
          <cell r="Q263">
            <v>0</v>
          </cell>
          <cell r="R263">
            <v>2436605</v>
          </cell>
          <cell r="S263">
            <v>0</v>
          </cell>
          <cell r="T263">
            <v>24612</v>
          </cell>
          <cell r="U263">
            <v>11069</v>
          </cell>
          <cell r="V263">
            <v>0</v>
          </cell>
          <cell r="W263">
            <v>112</v>
          </cell>
          <cell r="X263">
            <v>0</v>
          </cell>
          <cell r="Y263">
            <v>0</v>
          </cell>
          <cell r="Z263">
            <v>0</v>
          </cell>
          <cell r="AA263">
            <v>719</v>
          </cell>
          <cell r="AB263">
            <v>0</v>
          </cell>
          <cell r="AC263">
            <v>7</v>
          </cell>
          <cell r="AD263">
            <v>0</v>
          </cell>
          <cell r="AE263">
            <v>0</v>
          </cell>
          <cell r="AF263">
            <v>0</v>
          </cell>
          <cell r="AG263">
            <v>0</v>
          </cell>
          <cell r="AH263">
            <v>0</v>
          </cell>
          <cell r="AI263">
            <v>0</v>
          </cell>
          <cell r="AM263">
            <v>0</v>
          </cell>
          <cell r="AN263">
            <v>0</v>
          </cell>
          <cell r="AO263">
            <v>0</v>
          </cell>
          <cell r="AP263">
            <v>669689</v>
          </cell>
          <cell r="AQ263">
            <v>0</v>
          </cell>
          <cell r="AR263">
            <v>6765</v>
          </cell>
          <cell r="AS263">
            <v>-2025245</v>
          </cell>
          <cell r="AT263">
            <v>-1984739</v>
          </cell>
          <cell r="AU263">
            <v>0</v>
          </cell>
          <cell r="AV263">
            <v>-40504</v>
          </cell>
          <cell r="AW263">
            <v>-4050488</v>
          </cell>
          <cell r="AX263">
            <v>-4683143</v>
          </cell>
          <cell r="AY263">
            <v>-4589482</v>
          </cell>
          <cell r="AZ263">
            <v>0</v>
          </cell>
          <cell r="BA263">
            <v>-93664</v>
          </cell>
          <cell r="BB263">
            <v>-9366289</v>
          </cell>
          <cell r="BC263">
            <v>50343905</v>
          </cell>
          <cell r="BD263">
            <v>-3430430</v>
          </cell>
          <cell r="BE263">
            <v>1475917</v>
          </cell>
          <cell r="BF263">
            <v>0</v>
          </cell>
          <cell r="BG263">
            <v>-3342445</v>
          </cell>
          <cell r="BH263">
            <v>-81551</v>
          </cell>
          <cell r="BI263">
            <v>0</v>
          </cell>
          <cell r="BJ263">
            <v>-2091</v>
          </cell>
          <cell r="BK263">
            <v>-2101090</v>
          </cell>
          <cell r="BL263">
            <v>-247960</v>
          </cell>
          <cell r="BM263">
            <v>-42091</v>
          </cell>
          <cell r="BN263">
            <v>-14095</v>
          </cell>
          <cell r="BO263">
            <v>0</v>
          </cell>
          <cell r="BP263">
            <v>0</v>
          </cell>
          <cell r="BQ263">
            <v>0</v>
          </cell>
          <cell r="BR263">
            <v>0</v>
          </cell>
          <cell r="BS263">
            <v>0</v>
          </cell>
          <cell r="BT263">
            <v>54042069</v>
          </cell>
          <cell r="BU263">
            <v>-655401</v>
          </cell>
          <cell r="BV263">
            <v>5004815</v>
          </cell>
          <cell r="BW263">
            <v>-1577967</v>
          </cell>
          <cell r="BX263">
            <v>960905</v>
          </cell>
          <cell r="BY263">
            <v>285982</v>
          </cell>
          <cell r="BZ263">
            <v>45032501</v>
          </cell>
          <cell r="CA263">
            <v>480453</v>
          </cell>
          <cell r="CB263">
            <v>470843</v>
          </cell>
          <cell r="CC263">
            <v>0</v>
          </cell>
          <cell r="CD263">
            <v>9609</v>
          </cell>
          <cell r="CE263">
            <v>142991</v>
          </cell>
          <cell r="CF263">
            <v>140131</v>
          </cell>
          <cell r="CG263">
            <v>0</v>
          </cell>
          <cell r="CH263">
            <v>2860</v>
          </cell>
        </row>
        <row r="264">
          <cell r="A264">
            <v>257</v>
          </cell>
          <cell r="B264" t="str">
            <v>Stafford</v>
          </cell>
          <cell r="C264" t="str">
            <v>E3436</v>
          </cell>
          <cell r="D264">
            <v>167690</v>
          </cell>
          <cell r="H264">
            <v>-1153518</v>
          </cell>
          <cell r="I264">
            <v>0</v>
          </cell>
          <cell r="J264">
            <v>167690</v>
          </cell>
          <cell r="K264">
            <v>0</v>
          </cell>
          <cell r="L264">
            <v>0</v>
          </cell>
          <cell r="M264">
            <v>0</v>
          </cell>
          <cell r="N264">
            <v>0</v>
          </cell>
          <cell r="O264">
            <v>0</v>
          </cell>
          <cell r="P264">
            <v>0</v>
          </cell>
          <cell r="Q264">
            <v>0</v>
          </cell>
          <cell r="R264">
            <v>659124</v>
          </cell>
          <cell r="S264">
            <v>148303</v>
          </cell>
          <cell r="T264">
            <v>16478</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M264">
            <v>0</v>
          </cell>
          <cell r="AN264">
            <v>0</v>
          </cell>
          <cell r="AO264">
            <v>0</v>
          </cell>
          <cell r="AP264">
            <v>276498</v>
          </cell>
          <cell r="AQ264">
            <v>62212</v>
          </cell>
          <cell r="AR264">
            <v>6912</v>
          </cell>
          <cell r="AS264">
            <v>-499242</v>
          </cell>
          <cell r="AT264">
            <v>-399391</v>
          </cell>
          <cell r="AU264">
            <v>-89863</v>
          </cell>
          <cell r="AV264">
            <v>-9985</v>
          </cell>
          <cell r="AW264">
            <v>-998481</v>
          </cell>
          <cell r="AX264">
            <v>-2458338</v>
          </cell>
          <cell r="AY264">
            <v>-1966670</v>
          </cell>
          <cell r="AZ264">
            <v>-442501</v>
          </cell>
          <cell r="BA264">
            <v>-49168</v>
          </cell>
          <cell r="BB264">
            <v>-4916677</v>
          </cell>
          <cell r="BC264">
            <v>46738723</v>
          </cell>
          <cell r="BD264">
            <v>-2577801</v>
          </cell>
          <cell r="BE264">
            <v>1257061</v>
          </cell>
          <cell r="BF264">
            <v>0</v>
          </cell>
          <cell r="BG264">
            <v>-2793000</v>
          </cell>
          <cell r="BH264">
            <v>-76200</v>
          </cell>
          <cell r="BI264">
            <v>-20329</v>
          </cell>
          <cell r="BJ264">
            <v>0</v>
          </cell>
          <cell r="BK264">
            <v>-1708412</v>
          </cell>
          <cell r="BL264">
            <v>-195571</v>
          </cell>
          <cell r="BM264">
            <v>-76279</v>
          </cell>
          <cell r="BN264">
            <v>-2892</v>
          </cell>
          <cell r="BO264">
            <v>-17954</v>
          </cell>
          <cell r="BP264">
            <v>-4066</v>
          </cell>
          <cell r="BQ264">
            <v>0</v>
          </cell>
          <cell r="BR264">
            <v>0</v>
          </cell>
          <cell r="BS264">
            <v>0</v>
          </cell>
          <cell r="BT264">
            <v>47259845</v>
          </cell>
          <cell r="BU264">
            <v>-308354</v>
          </cell>
          <cell r="BV264">
            <v>1786925</v>
          </cell>
          <cell r="BW264">
            <v>-545117</v>
          </cell>
          <cell r="BX264">
            <v>610410.53000000026</v>
          </cell>
          <cell r="BY264">
            <v>5008214</v>
          </cell>
          <cell r="BZ264">
            <v>46017127</v>
          </cell>
          <cell r="CA264">
            <v>305206.53000000026</v>
          </cell>
          <cell r="CB264">
            <v>244164</v>
          </cell>
          <cell r="CC264">
            <v>54936</v>
          </cell>
          <cell r="CD264">
            <v>6104</v>
          </cell>
          <cell r="CE264">
            <v>2504107</v>
          </cell>
          <cell r="CF264">
            <v>2003286</v>
          </cell>
          <cell r="CG264">
            <v>450739</v>
          </cell>
          <cell r="CH264">
            <v>50082</v>
          </cell>
        </row>
        <row r="265">
          <cell r="A265">
            <v>258</v>
          </cell>
          <cell r="B265" t="str">
            <v>Staffordshire Moorlands</v>
          </cell>
          <cell r="C265" t="str">
            <v>E3437</v>
          </cell>
          <cell r="D265">
            <v>115457</v>
          </cell>
          <cell r="H265">
            <v>1308049</v>
          </cell>
          <cell r="I265">
            <v>0</v>
          </cell>
          <cell r="J265">
            <v>115457</v>
          </cell>
          <cell r="K265">
            <v>0</v>
          </cell>
          <cell r="L265">
            <v>0</v>
          </cell>
          <cell r="M265">
            <v>0</v>
          </cell>
          <cell r="N265">
            <v>0</v>
          </cell>
          <cell r="O265">
            <v>0</v>
          </cell>
          <cell r="P265">
            <v>0</v>
          </cell>
          <cell r="Q265">
            <v>0</v>
          </cell>
          <cell r="R265">
            <v>597199</v>
          </cell>
          <cell r="S265">
            <v>134370</v>
          </cell>
          <cell r="T265">
            <v>14930</v>
          </cell>
          <cell r="U265">
            <v>0</v>
          </cell>
          <cell r="V265">
            <v>0</v>
          </cell>
          <cell r="W265">
            <v>0</v>
          </cell>
          <cell r="X265">
            <v>3087</v>
          </cell>
          <cell r="Y265">
            <v>695</v>
          </cell>
          <cell r="Z265">
            <v>77</v>
          </cell>
          <cell r="AA265">
            <v>1724</v>
          </cell>
          <cell r="AB265">
            <v>388</v>
          </cell>
          <cell r="AC265">
            <v>43</v>
          </cell>
          <cell r="AD265">
            <v>0</v>
          </cell>
          <cell r="AE265">
            <v>0</v>
          </cell>
          <cell r="AF265">
            <v>0</v>
          </cell>
          <cell r="AG265">
            <v>0</v>
          </cell>
          <cell r="AH265">
            <v>0</v>
          </cell>
          <cell r="AI265">
            <v>0</v>
          </cell>
          <cell r="AM265">
            <v>0</v>
          </cell>
          <cell r="AN265">
            <v>0</v>
          </cell>
          <cell r="AO265">
            <v>0</v>
          </cell>
          <cell r="AP265">
            <v>122204</v>
          </cell>
          <cell r="AQ265">
            <v>27496</v>
          </cell>
          <cell r="AR265">
            <v>3055</v>
          </cell>
          <cell r="AS265">
            <v>-218655</v>
          </cell>
          <cell r="AT265">
            <v>-174924</v>
          </cell>
          <cell r="AU265">
            <v>-39359</v>
          </cell>
          <cell r="AV265">
            <v>-4374</v>
          </cell>
          <cell r="AW265">
            <v>-437312</v>
          </cell>
          <cell r="AX265">
            <v>-1001284.5800000001</v>
          </cell>
          <cell r="AY265">
            <v>-801026</v>
          </cell>
          <cell r="AZ265">
            <v>-180230</v>
          </cell>
          <cell r="BA265">
            <v>-20026</v>
          </cell>
          <cell r="BB265">
            <v>-2002566.5</v>
          </cell>
          <cell r="BC265">
            <v>18540216</v>
          </cell>
          <cell r="BD265">
            <v>-2461251</v>
          </cell>
          <cell r="BE265">
            <v>482802</v>
          </cell>
          <cell r="BF265">
            <v>0</v>
          </cell>
          <cell r="BG265">
            <v>-1331518</v>
          </cell>
          <cell r="BH265">
            <v>-47593</v>
          </cell>
          <cell r="BI265">
            <v>-19175</v>
          </cell>
          <cell r="BJ265">
            <v>-28084</v>
          </cell>
          <cell r="BK265">
            <v>-551014</v>
          </cell>
          <cell r="BL265">
            <v>-97250</v>
          </cell>
          <cell r="BM265">
            <v>-124127</v>
          </cell>
          <cell r="BN265">
            <v>-2704</v>
          </cell>
          <cell r="BO265">
            <v>-13429</v>
          </cell>
          <cell r="BP265">
            <v>0</v>
          </cell>
          <cell r="BQ265">
            <v>0</v>
          </cell>
          <cell r="BR265">
            <v>0</v>
          </cell>
          <cell r="BS265">
            <v>0</v>
          </cell>
          <cell r="BT265">
            <v>18781030</v>
          </cell>
          <cell r="BU265">
            <v>-7624</v>
          </cell>
          <cell r="BV265">
            <v>702996</v>
          </cell>
          <cell r="BW265">
            <v>-399176</v>
          </cell>
          <cell r="BX265">
            <v>-678782</v>
          </cell>
          <cell r="BY265">
            <v>-361317</v>
          </cell>
          <cell r="BZ265">
            <v>20338236</v>
          </cell>
          <cell r="CA265">
            <v>-339390</v>
          </cell>
          <cell r="CB265">
            <v>-271513</v>
          </cell>
          <cell r="CC265">
            <v>-61091</v>
          </cell>
          <cell r="CD265">
            <v>-6788</v>
          </cell>
          <cell r="CE265">
            <v>-180658</v>
          </cell>
          <cell r="CF265">
            <v>-144527</v>
          </cell>
          <cell r="CG265">
            <v>-32519</v>
          </cell>
          <cell r="CH265">
            <v>-3613</v>
          </cell>
        </row>
        <row r="266">
          <cell r="A266">
            <v>259</v>
          </cell>
          <cell r="B266" t="str">
            <v>Stevenage</v>
          </cell>
          <cell r="C266" t="str">
            <v>E1937</v>
          </cell>
          <cell r="D266">
            <v>109538</v>
          </cell>
          <cell r="H266">
            <v>-2867754</v>
          </cell>
          <cell r="I266">
            <v>0</v>
          </cell>
          <cell r="J266">
            <v>109538</v>
          </cell>
          <cell r="K266">
            <v>0</v>
          </cell>
          <cell r="L266">
            <v>0</v>
          </cell>
          <cell r="M266">
            <v>0</v>
          </cell>
          <cell r="N266">
            <v>0</v>
          </cell>
          <cell r="O266">
            <v>0</v>
          </cell>
          <cell r="P266">
            <v>0</v>
          </cell>
          <cell r="Q266">
            <v>0</v>
          </cell>
          <cell r="R266">
            <v>334926</v>
          </cell>
          <cell r="S266">
            <v>83731</v>
          </cell>
          <cell r="T266">
            <v>0</v>
          </cell>
          <cell r="U266">
            <v>0</v>
          </cell>
          <cell r="V266">
            <v>0</v>
          </cell>
          <cell r="W266">
            <v>0</v>
          </cell>
          <cell r="X266">
            <v>19298</v>
          </cell>
          <cell r="Y266">
            <v>4825</v>
          </cell>
          <cell r="Z266">
            <v>0</v>
          </cell>
          <cell r="AA266">
            <v>7518</v>
          </cell>
          <cell r="AB266">
            <v>1880</v>
          </cell>
          <cell r="AC266">
            <v>0</v>
          </cell>
          <cell r="AD266">
            <v>0</v>
          </cell>
          <cell r="AE266">
            <v>0</v>
          </cell>
          <cell r="AF266">
            <v>0</v>
          </cell>
          <cell r="AG266">
            <v>0</v>
          </cell>
          <cell r="AH266">
            <v>0</v>
          </cell>
          <cell r="AI266">
            <v>0</v>
          </cell>
          <cell r="AM266">
            <v>0</v>
          </cell>
          <cell r="AN266">
            <v>0</v>
          </cell>
          <cell r="AO266">
            <v>0</v>
          </cell>
          <cell r="AP266">
            <v>253508</v>
          </cell>
          <cell r="AQ266">
            <v>63377</v>
          </cell>
          <cell r="AR266">
            <v>0</v>
          </cell>
          <cell r="AS266">
            <v>-695147</v>
          </cell>
          <cell r="AT266">
            <v>-556118</v>
          </cell>
          <cell r="AU266">
            <v>-139029</v>
          </cell>
          <cell r="AV266">
            <v>0</v>
          </cell>
          <cell r="AW266">
            <v>-1390294</v>
          </cell>
          <cell r="AX266">
            <v>-3617381</v>
          </cell>
          <cell r="AY266">
            <v>-2893903</v>
          </cell>
          <cell r="AZ266">
            <v>-723475</v>
          </cell>
          <cell r="BA266">
            <v>0</v>
          </cell>
          <cell r="BB266">
            <v>-7234759</v>
          </cell>
          <cell r="BC266">
            <v>47181683</v>
          </cell>
          <cell r="BD266">
            <v>-982737</v>
          </cell>
          <cell r="BE266">
            <v>1339685</v>
          </cell>
          <cell r="BF266">
            <v>0</v>
          </cell>
          <cell r="BG266">
            <v>-1962939</v>
          </cell>
          <cell r="BH266">
            <v>-4075</v>
          </cell>
          <cell r="BI266">
            <v>0</v>
          </cell>
          <cell r="BJ266">
            <v>-18075</v>
          </cell>
          <cell r="BK266">
            <v>-1793997</v>
          </cell>
          <cell r="BL266">
            <v>-128908</v>
          </cell>
          <cell r="BM266">
            <v>-16674</v>
          </cell>
          <cell r="BN266">
            <v>-1019</v>
          </cell>
          <cell r="BO266">
            <v>0</v>
          </cell>
          <cell r="BP266">
            <v>0</v>
          </cell>
          <cell r="BQ266">
            <v>0</v>
          </cell>
          <cell r="BR266">
            <v>0</v>
          </cell>
          <cell r="BS266">
            <v>0</v>
          </cell>
          <cell r="BT266">
            <v>48544409</v>
          </cell>
          <cell r="BU266">
            <v>-623940</v>
          </cell>
          <cell r="BV266">
            <v>1115429</v>
          </cell>
          <cell r="BW266">
            <v>-831365</v>
          </cell>
          <cell r="BX266">
            <v>1328570</v>
          </cell>
          <cell r="BY266">
            <v>1195144</v>
          </cell>
          <cell r="BZ266">
            <v>42190983</v>
          </cell>
          <cell r="CA266">
            <v>664285</v>
          </cell>
          <cell r="CB266">
            <v>531428</v>
          </cell>
          <cell r="CC266">
            <v>132857</v>
          </cell>
          <cell r="CD266">
            <v>0</v>
          </cell>
          <cell r="CE266">
            <v>597572</v>
          </cell>
          <cell r="CF266">
            <v>478058</v>
          </cell>
          <cell r="CG266">
            <v>119514</v>
          </cell>
          <cell r="CH266">
            <v>0</v>
          </cell>
        </row>
        <row r="267">
          <cell r="A267">
            <v>260</v>
          </cell>
          <cell r="B267" t="str">
            <v>Stockport</v>
          </cell>
          <cell r="C267" t="str">
            <v>E4207</v>
          </cell>
          <cell r="D267">
            <v>428357</v>
          </cell>
          <cell r="H267">
            <v>-8217938</v>
          </cell>
          <cell r="I267">
            <v>0</v>
          </cell>
          <cell r="J267">
            <v>428357</v>
          </cell>
          <cell r="K267">
            <v>0</v>
          </cell>
          <cell r="L267">
            <v>0</v>
          </cell>
          <cell r="M267">
            <v>0</v>
          </cell>
          <cell r="N267">
            <v>0</v>
          </cell>
          <cell r="O267">
            <v>0</v>
          </cell>
          <cell r="P267">
            <v>0</v>
          </cell>
          <cell r="Q267">
            <v>0</v>
          </cell>
          <cell r="R267">
            <v>5570658</v>
          </cell>
          <cell r="S267">
            <v>0</v>
          </cell>
          <cell r="T267">
            <v>56269</v>
          </cell>
          <cell r="U267">
            <v>0</v>
          </cell>
          <cell r="V267">
            <v>0</v>
          </cell>
          <cell r="W267">
            <v>0</v>
          </cell>
          <cell r="X267">
            <v>0</v>
          </cell>
          <cell r="Y267">
            <v>0</v>
          </cell>
          <cell r="Z267">
            <v>0</v>
          </cell>
          <cell r="AA267">
            <v>7871</v>
          </cell>
          <cell r="AB267">
            <v>0</v>
          </cell>
          <cell r="AC267">
            <v>79</v>
          </cell>
          <cell r="AD267">
            <v>0</v>
          </cell>
          <cell r="AE267">
            <v>0</v>
          </cell>
          <cell r="AF267">
            <v>0</v>
          </cell>
          <cell r="AG267">
            <v>0</v>
          </cell>
          <cell r="AH267">
            <v>0</v>
          </cell>
          <cell r="AI267">
            <v>0</v>
          </cell>
          <cell r="AM267">
            <v>0</v>
          </cell>
          <cell r="AN267">
            <v>0</v>
          </cell>
          <cell r="AO267">
            <v>0</v>
          </cell>
          <cell r="AP267">
            <v>1218129</v>
          </cell>
          <cell r="AQ267">
            <v>0</v>
          </cell>
          <cell r="AR267">
            <v>12304</v>
          </cell>
          <cell r="AS267">
            <v>-2527227</v>
          </cell>
          <cell r="AT267">
            <v>-2476684</v>
          </cell>
          <cell r="AU267">
            <v>0</v>
          </cell>
          <cell r="AV267">
            <v>-50544</v>
          </cell>
          <cell r="AW267">
            <v>-5054455</v>
          </cell>
          <cell r="AX267">
            <v>-3522100</v>
          </cell>
          <cell r="AY267">
            <v>-3451657</v>
          </cell>
          <cell r="AZ267">
            <v>0</v>
          </cell>
          <cell r="BA267">
            <v>-70442</v>
          </cell>
          <cell r="BB267">
            <v>-7044199</v>
          </cell>
          <cell r="BC267">
            <v>95402900</v>
          </cell>
          <cell r="BD267">
            <v>-7573946</v>
          </cell>
          <cell r="BE267">
            <v>2568025</v>
          </cell>
          <cell r="BF267">
            <v>0</v>
          </cell>
          <cell r="BG267">
            <v>-4583081</v>
          </cell>
          <cell r="BH267">
            <v>-252804</v>
          </cell>
          <cell r="BI267">
            <v>0</v>
          </cell>
          <cell r="BJ267">
            <v>-6191</v>
          </cell>
          <cell r="BK267">
            <v>-4432795</v>
          </cell>
          <cell r="BL267">
            <v>0</v>
          </cell>
          <cell r="BM267">
            <v>-81022</v>
          </cell>
          <cell r="BN267">
            <v>-22251</v>
          </cell>
          <cell r="BO267">
            <v>0</v>
          </cell>
          <cell r="BP267">
            <v>0</v>
          </cell>
          <cell r="BQ267">
            <v>-10493</v>
          </cell>
          <cell r="BR267">
            <v>0</v>
          </cell>
          <cell r="BS267">
            <v>0</v>
          </cell>
          <cell r="BT267">
            <v>98782509</v>
          </cell>
          <cell r="BU267">
            <v>-2941760</v>
          </cell>
          <cell r="BV267">
            <v>8777190</v>
          </cell>
          <cell r="BW267">
            <v>-1842748</v>
          </cell>
          <cell r="BX267">
            <v>-160894</v>
          </cell>
          <cell r="BY267">
            <v>-725000</v>
          </cell>
          <cell r="BZ267">
            <v>81911723</v>
          </cell>
          <cell r="CA267">
            <v>-80447</v>
          </cell>
          <cell r="CB267">
            <v>-78838</v>
          </cell>
          <cell r="CC267">
            <v>0</v>
          </cell>
          <cell r="CD267">
            <v>-1609</v>
          </cell>
          <cell r="CE267">
            <v>-362500</v>
          </cell>
          <cell r="CF267">
            <v>-355250</v>
          </cell>
          <cell r="CG267">
            <v>0</v>
          </cell>
          <cell r="CH267">
            <v>-7250</v>
          </cell>
        </row>
        <row r="268">
          <cell r="A268">
            <v>261</v>
          </cell>
          <cell r="B268" t="str">
            <v>Stockton-on-Tees</v>
          </cell>
          <cell r="C268" t="str">
            <v>E0704</v>
          </cell>
          <cell r="D268">
            <v>241804</v>
          </cell>
          <cell r="H268">
            <v>-4816169</v>
          </cell>
          <cell r="I268">
            <v>-95172</v>
          </cell>
          <cell r="J268">
            <v>241804</v>
          </cell>
          <cell r="K268">
            <v>124558</v>
          </cell>
          <cell r="L268">
            <v>0</v>
          </cell>
          <cell r="M268">
            <v>0</v>
          </cell>
          <cell r="N268">
            <v>90444.5</v>
          </cell>
          <cell r="O268">
            <v>89770.5</v>
          </cell>
          <cell r="P268">
            <v>0</v>
          </cell>
          <cell r="Q268">
            <v>674</v>
          </cell>
          <cell r="R268">
            <v>961327</v>
          </cell>
          <cell r="S268">
            <v>0</v>
          </cell>
          <cell r="T268">
            <v>19259</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M268">
            <v>0</v>
          </cell>
          <cell r="AN268">
            <v>0</v>
          </cell>
          <cell r="AO268">
            <v>0</v>
          </cell>
          <cell r="AP268">
            <v>548925</v>
          </cell>
          <cell r="AQ268">
            <v>0</v>
          </cell>
          <cell r="AR268">
            <v>11147</v>
          </cell>
          <cell r="AS268">
            <v>-449999.5</v>
          </cell>
          <cell r="AT268">
            <v>-441000</v>
          </cell>
          <cell r="AU268">
            <v>0</v>
          </cell>
          <cell r="AV268">
            <v>-9000</v>
          </cell>
          <cell r="AW268">
            <v>-899999.5</v>
          </cell>
          <cell r="AX268">
            <v>-3304095</v>
          </cell>
          <cell r="AY268">
            <v>-3238011</v>
          </cell>
          <cell r="AZ268">
            <v>0</v>
          </cell>
          <cell r="BA268">
            <v>-66081</v>
          </cell>
          <cell r="BB268">
            <v>-6608187</v>
          </cell>
          <cell r="BC268">
            <v>87822392</v>
          </cell>
          <cell r="BD268">
            <v>-3193037</v>
          </cell>
          <cell r="BE268">
            <v>2341609</v>
          </cell>
          <cell r="BF268">
            <v>0</v>
          </cell>
          <cell r="BG268">
            <v>-4531257</v>
          </cell>
          <cell r="BH268">
            <v>-36666</v>
          </cell>
          <cell r="BI268">
            <v>-11431</v>
          </cell>
          <cell r="BJ268">
            <v>-8709</v>
          </cell>
          <cell r="BK268">
            <v>-2739571</v>
          </cell>
          <cell r="BL268">
            <v>-183888</v>
          </cell>
          <cell r="BM268">
            <v>-93267</v>
          </cell>
          <cell r="BN268">
            <v>-9151</v>
          </cell>
          <cell r="BO268">
            <v>-8449</v>
          </cell>
          <cell r="BP268">
            <v>0</v>
          </cell>
          <cell r="BQ268">
            <v>-255041</v>
          </cell>
          <cell r="BR268">
            <v>-37672</v>
          </cell>
          <cell r="BS268">
            <v>-97934</v>
          </cell>
          <cell r="BT268">
            <v>84870590</v>
          </cell>
          <cell r="BU268">
            <v>-1050485</v>
          </cell>
          <cell r="BV268">
            <v>1122482</v>
          </cell>
          <cell r="BW268">
            <v>-1375699</v>
          </cell>
          <cell r="BX268">
            <v>6181858.5</v>
          </cell>
          <cell r="BY268">
            <v>0</v>
          </cell>
          <cell r="BZ268">
            <v>74139511</v>
          </cell>
          <cell r="CA268">
            <v>3090929.5</v>
          </cell>
          <cell r="CB268">
            <v>3029110</v>
          </cell>
          <cell r="CC268">
            <v>0</v>
          </cell>
          <cell r="CD268">
            <v>61819</v>
          </cell>
          <cell r="CE268">
            <v>0</v>
          </cell>
          <cell r="CF268">
            <v>0</v>
          </cell>
          <cell r="CG268">
            <v>0</v>
          </cell>
          <cell r="CH268">
            <v>0</v>
          </cell>
        </row>
        <row r="269">
          <cell r="A269">
            <v>262</v>
          </cell>
          <cell r="B269" t="str">
            <v>Stoke-on-Trent</v>
          </cell>
          <cell r="C269" t="str">
            <v>E3401</v>
          </cell>
          <cell r="D269">
            <v>361940</v>
          </cell>
          <cell r="H269">
            <v>-560355</v>
          </cell>
          <cell r="I269">
            <v>0</v>
          </cell>
          <cell r="J269">
            <v>361940</v>
          </cell>
          <cell r="K269">
            <v>168226</v>
          </cell>
          <cell r="L269">
            <v>0</v>
          </cell>
          <cell r="M269">
            <v>0</v>
          </cell>
          <cell r="N269">
            <v>0</v>
          </cell>
          <cell r="O269">
            <v>0</v>
          </cell>
          <cell r="P269">
            <v>0</v>
          </cell>
          <cell r="Q269">
            <v>0</v>
          </cell>
          <cell r="R269">
            <v>2012712</v>
          </cell>
          <cell r="S269">
            <v>0</v>
          </cell>
          <cell r="T269">
            <v>41076</v>
          </cell>
          <cell r="U269">
            <v>7205</v>
          </cell>
          <cell r="V269">
            <v>0</v>
          </cell>
          <cell r="W269">
            <v>147</v>
          </cell>
          <cell r="X269">
            <v>0</v>
          </cell>
          <cell r="Y269">
            <v>0</v>
          </cell>
          <cell r="Z269">
            <v>0</v>
          </cell>
          <cell r="AA269">
            <v>0</v>
          </cell>
          <cell r="AB269">
            <v>0</v>
          </cell>
          <cell r="AC269">
            <v>0</v>
          </cell>
          <cell r="AD269">
            <v>0</v>
          </cell>
          <cell r="AE269">
            <v>0</v>
          </cell>
          <cell r="AF269">
            <v>0</v>
          </cell>
          <cell r="AG269">
            <v>0</v>
          </cell>
          <cell r="AH269">
            <v>0</v>
          </cell>
          <cell r="AI269">
            <v>0</v>
          </cell>
          <cell r="AM269">
            <v>0</v>
          </cell>
          <cell r="AN269">
            <v>0</v>
          </cell>
          <cell r="AO269">
            <v>0</v>
          </cell>
          <cell r="AP269">
            <v>659250</v>
          </cell>
          <cell r="AQ269">
            <v>0</v>
          </cell>
          <cell r="AR269">
            <v>13403</v>
          </cell>
          <cell r="AS269">
            <v>-1879716</v>
          </cell>
          <cell r="AT269">
            <v>-1842122</v>
          </cell>
          <cell r="AU269">
            <v>0</v>
          </cell>
          <cell r="AV269">
            <v>-37595</v>
          </cell>
          <cell r="AW269">
            <v>-3759433</v>
          </cell>
          <cell r="AX269">
            <v>-3748934</v>
          </cell>
          <cell r="AY269">
            <v>-3673957</v>
          </cell>
          <cell r="AZ269">
            <v>0</v>
          </cell>
          <cell r="BA269">
            <v>-74979</v>
          </cell>
          <cell r="BB269">
            <v>-7497870</v>
          </cell>
          <cell r="BC269">
            <v>92112330</v>
          </cell>
          <cell r="BD269">
            <v>-6477114</v>
          </cell>
          <cell r="BE269">
            <v>2453085</v>
          </cell>
          <cell r="BF269">
            <v>0</v>
          </cell>
          <cell r="BG269">
            <v>-6073981</v>
          </cell>
          <cell r="BH269">
            <v>-57831</v>
          </cell>
          <cell r="BI269">
            <v>0</v>
          </cell>
          <cell r="BJ269">
            <v>-449943</v>
          </cell>
          <cell r="BK269">
            <v>-2265137</v>
          </cell>
          <cell r="BL269">
            <v>-151255</v>
          </cell>
          <cell r="BM269">
            <v>-153259</v>
          </cell>
          <cell r="BN269">
            <v>-9130</v>
          </cell>
          <cell r="BO269">
            <v>0</v>
          </cell>
          <cell r="BP269">
            <v>0</v>
          </cell>
          <cell r="BQ269">
            <v>0</v>
          </cell>
          <cell r="BR269">
            <v>0</v>
          </cell>
          <cell r="BS269">
            <v>0</v>
          </cell>
          <cell r="BT269">
            <v>91116008</v>
          </cell>
          <cell r="BU269">
            <v>-46233</v>
          </cell>
          <cell r="BV269">
            <v>5294517</v>
          </cell>
          <cell r="BW269">
            <v>-893897</v>
          </cell>
          <cell r="BX269">
            <v>7410794</v>
          </cell>
          <cell r="BY269">
            <v>6686676</v>
          </cell>
          <cell r="BZ269">
            <v>89222418</v>
          </cell>
          <cell r="CA269">
            <v>3705397</v>
          </cell>
          <cell r="CB269">
            <v>3631290</v>
          </cell>
          <cell r="CC269">
            <v>0</v>
          </cell>
          <cell r="CD269">
            <v>74107</v>
          </cell>
          <cell r="CE269">
            <v>3343338</v>
          </cell>
          <cell r="CF269">
            <v>3276471</v>
          </cell>
          <cell r="CG269">
            <v>0</v>
          </cell>
          <cell r="CH269">
            <v>66867</v>
          </cell>
        </row>
        <row r="270">
          <cell r="A270">
            <v>263</v>
          </cell>
          <cell r="B270" t="str">
            <v>Stratford-on-Avon</v>
          </cell>
          <cell r="C270" t="str">
            <v>E3734</v>
          </cell>
          <cell r="D270">
            <v>214845</v>
          </cell>
          <cell r="H270">
            <v>-760618.44</v>
          </cell>
          <cell r="I270">
            <v>0</v>
          </cell>
          <cell r="J270">
            <v>214845</v>
          </cell>
          <cell r="K270">
            <v>0</v>
          </cell>
          <cell r="L270">
            <v>36656</v>
          </cell>
          <cell r="M270">
            <v>0</v>
          </cell>
          <cell r="N270">
            <v>0</v>
          </cell>
          <cell r="O270">
            <v>0</v>
          </cell>
          <cell r="P270">
            <v>0</v>
          </cell>
          <cell r="Q270">
            <v>0</v>
          </cell>
          <cell r="R270">
            <v>907699</v>
          </cell>
          <cell r="S270">
            <v>226925</v>
          </cell>
          <cell r="T270">
            <v>0</v>
          </cell>
          <cell r="U270">
            <v>100658</v>
          </cell>
          <cell r="V270">
            <v>25164</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M270">
            <v>0</v>
          </cell>
          <cell r="AN270">
            <v>0</v>
          </cell>
          <cell r="AO270">
            <v>0</v>
          </cell>
          <cell r="AP270">
            <v>313100</v>
          </cell>
          <cell r="AQ270">
            <v>78137</v>
          </cell>
          <cell r="AR270">
            <v>0</v>
          </cell>
          <cell r="AS270">
            <v>-229755</v>
          </cell>
          <cell r="AT270">
            <v>-183805</v>
          </cell>
          <cell r="AU270">
            <v>-45952</v>
          </cell>
          <cell r="AV270">
            <v>0</v>
          </cell>
          <cell r="AW270">
            <v>-459512</v>
          </cell>
          <cell r="AX270">
            <v>-1162322</v>
          </cell>
          <cell r="AY270">
            <v>-929858</v>
          </cell>
          <cell r="AZ270">
            <v>-232465</v>
          </cell>
          <cell r="BA270">
            <v>0</v>
          </cell>
          <cell r="BB270">
            <v>-2324645</v>
          </cell>
          <cell r="BC270">
            <v>55169822</v>
          </cell>
          <cell r="BD270">
            <v>-3639737</v>
          </cell>
          <cell r="BE270">
            <v>1465887</v>
          </cell>
          <cell r="BF270">
            <v>0</v>
          </cell>
          <cell r="BG270">
            <v>-4173325</v>
          </cell>
          <cell r="BH270">
            <v>-100959</v>
          </cell>
          <cell r="BI270">
            <v>-32971</v>
          </cell>
          <cell r="BJ270">
            <v>-34725</v>
          </cell>
          <cell r="BK270">
            <v>-2298253</v>
          </cell>
          <cell r="BL270">
            <v>-12278</v>
          </cell>
          <cell r="BM270">
            <v>-42070</v>
          </cell>
          <cell r="BN270">
            <v>0</v>
          </cell>
          <cell r="BO270">
            <v>-2546</v>
          </cell>
          <cell r="BP270">
            <v>0</v>
          </cell>
          <cell r="BQ270">
            <v>0</v>
          </cell>
          <cell r="BR270">
            <v>0</v>
          </cell>
          <cell r="BS270">
            <v>0</v>
          </cell>
          <cell r="BT270">
            <v>54841846</v>
          </cell>
          <cell r="BU270">
            <v>-256684</v>
          </cell>
          <cell r="BV270">
            <v>1540300</v>
          </cell>
          <cell r="BW270">
            <v>-168829</v>
          </cell>
          <cell r="BX270">
            <v>-784701</v>
          </cell>
          <cell r="BY270">
            <v>-429197</v>
          </cell>
          <cell r="BZ270">
            <v>52017113</v>
          </cell>
          <cell r="CA270">
            <v>-392351</v>
          </cell>
          <cell r="CB270">
            <v>-313880</v>
          </cell>
          <cell r="CC270">
            <v>-78470</v>
          </cell>
          <cell r="CD270">
            <v>0</v>
          </cell>
          <cell r="CE270">
            <v>-214598</v>
          </cell>
          <cell r="CF270">
            <v>-171679</v>
          </cell>
          <cell r="CG270">
            <v>-42920</v>
          </cell>
          <cell r="CH270">
            <v>0</v>
          </cell>
        </row>
        <row r="271">
          <cell r="A271">
            <v>264</v>
          </cell>
          <cell r="B271" t="str">
            <v>Stroud</v>
          </cell>
          <cell r="C271" t="str">
            <v>E1635</v>
          </cell>
          <cell r="D271">
            <v>158662</v>
          </cell>
          <cell r="H271">
            <v>201724</v>
          </cell>
          <cell r="I271">
            <v>0</v>
          </cell>
          <cell r="J271">
            <v>158662</v>
          </cell>
          <cell r="K271">
            <v>0</v>
          </cell>
          <cell r="L271">
            <v>102338</v>
          </cell>
          <cell r="M271">
            <v>0</v>
          </cell>
          <cell r="N271">
            <v>0</v>
          </cell>
          <cell r="O271">
            <v>0</v>
          </cell>
          <cell r="P271">
            <v>0</v>
          </cell>
          <cell r="Q271">
            <v>0</v>
          </cell>
          <cell r="R271">
            <v>707332</v>
          </cell>
          <cell r="S271">
            <v>176833</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M271">
            <v>0</v>
          </cell>
          <cell r="AN271">
            <v>0</v>
          </cell>
          <cell r="AO271">
            <v>0</v>
          </cell>
          <cell r="AP271">
            <v>161979</v>
          </cell>
          <cell r="AQ271">
            <v>40110</v>
          </cell>
          <cell r="AR271">
            <v>0</v>
          </cell>
          <cell r="AS271">
            <v>-198096.25</v>
          </cell>
          <cell r="AT271">
            <v>-158479</v>
          </cell>
          <cell r="AU271">
            <v>-39621</v>
          </cell>
          <cell r="AV271">
            <v>0</v>
          </cell>
          <cell r="AW271">
            <v>-396196.25</v>
          </cell>
          <cell r="AX271">
            <v>-647803</v>
          </cell>
          <cell r="AY271">
            <v>-518241</v>
          </cell>
          <cell r="AZ271">
            <v>-129559</v>
          </cell>
          <cell r="BA271">
            <v>0</v>
          </cell>
          <cell r="BB271">
            <v>-1295603</v>
          </cell>
          <cell r="BC271">
            <v>27119015</v>
          </cell>
          <cell r="BD271">
            <v>-2809344</v>
          </cell>
          <cell r="BE271">
            <v>707193</v>
          </cell>
          <cell r="BF271">
            <v>0</v>
          </cell>
          <cell r="BG271">
            <v>-2079841</v>
          </cell>
          <cell r="BH271">
            <v>-34355</v>
          </cell>
          <cell r="BI271">
            <v>-41994</v>
          </cell>
          <cell r="BJ271">
            <v>-125000</v>
          </cell>
          <cell r="BK271">
            <v>-1057068</v>
          </cell>
          <cell r="BL271">
            <v>-82102</v>
          </cell>
          <cell r="BM271">
            <v>-104333</v>
          </cell>
          <cell r="BN271">
            <v>0</v>
          </cell>
          <cell r="BO271">
            <v>-5100</v>
          </cell>
          <cell r="BP271">
            <v>0</v>
          </cell>
          <cell r="BQ271">
            <v>0</v>
          </cell>
          <cell r="BR271">
            <v>0</v>
          </cell>
          <cell r="BS271">
            <v>0</v>
          </cell>
          <cell r="BT271">
            <v>27696683</v>
          </cell>
          <cell r="BU271">
            <v>42305</v>
          </cell>
          <cell r="BV271">
            <v>1008490</v>
          </cell>
          <cell r="BW271">
            <v>-301534</v>
          </cell>
          <cell r="BX271">
            <v>-54941</v>
          </cell>
          <cell r="BY271">
            <v>96987</v>
          </cell>
          <cell r="BZ271">
            <v>26702087</v>
          </cell>
          <cell r="CA271">
            <v>-27471</v>
          </cell>
          <cell r="CB271">
            <v>-21976</v>
          </cell>
          <cell r="CC271">
            <v>-5494</v>
          </cell>
          <cell r="CD271">
            <v>0</v>
          </cell>
          <cell r="CE271">
            <v>48493</v>
          </cell>
          <cell r="CF271">
            <v>38795</v>
          </cell>
          <cell r="CG271">
            <v>9699</v>
          </cell>
          <cell r="CH271">
            <v>0</v>
          </cell>
        </row>
        <row r="272">
          <cell r="A272">
            <v>265</v>
          </cell>
          <cell r="B272" t="str">
            <v>Suffolk Coastal</v>
          </cell>
          <cell r="C272" t="str">
            <v>E3536</v>
          </cell>
          <cell r="D272">
            <v>269565</v>
          </cell>
          <cell r="H272">
            <v>-6260970</v>
          </cell>
          <cell r="I272">
            <v>0</v>
          </cell>
          <cell r="J272">
            <v>269565</v>
          </cell>
          <cell r="K272">
            <v>0</v>
          </cell>
          <cell r="L272">
            <v>120062</v>
          </cell>
          <cell r="M272">
            <v>0</v>
          </cell>
          <cell r="N272">
            <v>0</v>
          </cell>
          <cell r="O272">
            <v>0</v>
          </cell>
          <cell r="P272">
            <v>0</v>
          </cell>
          <cell r="Q272">
            <v>0</v>
          </cell>
          <cell r="R272">
            <v>967618</v>
          </cell>
          <cell r="S272">
            <v>241905</v>
          </cell>
          <cell r="T272">
            <v>0</v>
          </cell>
          <cell r="U272">
            <v>2693</v>
          </cell>
          <cell r="V272">
            <v>673</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M272">
            <v>0</v>
          </cell>
          <cell r="AN272">
            <v>0</v>
          </cell>
          <cell r="AO272">
            <v>0</v>
          </cell>
          <cell r="AP272">
            <v>371196</v>
          </cell>
          <cell r="AQ272">
            <v>92348</v>
          </cell>
          <cell r="AR272">
            <v>0</v>
          </cell>
          <cell r="AS272">
            <v>-369082</v>
          </cell>
          <cell r="AT272">
            <v>-295269</v>
          </cell>
          <cell r="AU272">
            <v>-73818</v>
          </cell>
          <cell r="AV272">
            <v>0</v>
          </cell>
          <cell r="AW272">
            <v>-738169</v>
          </cell>
          <cell r="AX272">
            <v>-3081267</v>
          </cell>
          <cell r="AY272">
            <v>-2465012</v>
          </cell>
          <cell r="AZ272">
            <v>-616252</v>
          </cell>
          <cell r="BA272">
            <v>0</v>
          </cell>
          <cell r="BB272">
            <v>-6162531</v>
          </cell>
          <cell r="BC272">
            <v>68038728</v>
          </cell>
          <cell r="BD272">
            <v>-3907211</v>
          </cell>
          <cell r="BE272">
            <v>1793668</v>
          </cell>
          <cell r="BF272">
            <v>0</v>
          </cell>
          <cell r="BG272">
            <v>-2609010</v>
          </cell>
          <cell r="BH272">
            <v>-25546</v>
          </cell>
          <cell r="BI272">
            <v>-78102</v>
          </cell>
          <cell r="BJ272">
            <v>-96579</v>
          </cell>
          <cell r="BK272">
            <v>-774533</v>
          </cell>
          <cell r="BL272">
            <v>-56875</v>
          </cell>
          <cell r="BM272">
            <v>-313013</v>
          </cell>
          <cell r="BN272">
            <v>-219</v>
          </cell>
          <cell r="BO272">
            <v>-11681</v>
          </cell>
          <cell r="BP272">
            <v>-12996</v>
          </cell>
          <cell r="BQ272">
            <v>0</v>
          </cell>
          <cell r="BR272">
            <v>0</v>
          </cell>
          <cell r="BS272">
            <v>0</v>
          </cell>
          <cell r="BT272">
            <v>69044955</v>
          </cell>
          <cell r="BU272">
            <v>-100723</v>
          </cell>
          <cell r="BV272">
            <v>1226013</v>
          </cell>
          <cell r="BW272">
            <v>-508885</v>
          </cell>
          <cell r="BX272">
            <v>-2270543</v>
          </cell>
          <cell r="BY272">
            <v>-2821934</v>
          </cell>
          <cell r="BZ272">
            <v>61477412</v>
          </cell>
          <cell r="CA272">
            <v>-1135272</v>
          </cell>
          <cell r="CB272">
            <v>-908217</v>
          </cell>
          <cell r="CC272">
            <v>-227054</v>
          </cell>
          <cell r="CD272">
            <v>0</v>
          </cell>
          <cell r="CE272">
            <v>-1410967</v>
          </cell>
          <cell r="CF272">
            <v>-1128774</v>
          </cell>
          <cell r="CG272">
            <v>-282193</v>
          </cell>
          <cell r="CH272">
            <v>0</v>
          </cell>
        </row>
        <row r="273">
          <cell r="A273">
            <v>266</v>
          </cell>
          <cell r="B273" t="str">
            <v>Sunderland</v>
          </cell>
          <cell r="C273" t="str">
            <v>E4505</v>
          </cell>
          <cell r="D273">
            <v>341354</v>
          </cell>
          <cell r="H273">
            <v>-3347787</v>
          </cell>
          <cell r="I273">
            <v>-29602</v>
          </cell>
          <cell r="J273">
            <v>341354</v>
          </cell>
          <cell r="K273">
            <v>721136</v>
          </cell>
          <cell r="L273">
            <v>0</v>
          </cell>
          <cell r="M273">
            <v>0</v>
          </cell>
          <cell r="N273">
            <v>38799</v>
          </cell>
          <cell r="O273">
            <v>38799</v>
          </cell>
          <cell r="P273">
            <v>0</v>
          </cell>
          <cell r="Q273">
            <v>0</v>
          </cell>
          <cell r="R273">
            <v>1555137</v>
          </cell>
          <cell r="S273">
            <v>0</v>
          </cell>
          <cell r="T273">
            <v>31737</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M273">
            <v>0</v>
          </cell>
          <cell r="AN273">
            <v>0</v>
          </cell>
          <cell r="AO273">
            <v>0</v>
          </cell>
          <cell r="AP273">
            <v>625810</v>
          </cell>
          <cell r="AQ273">
            <v>0</v>
          </cell>
          <cell r="AR273">
            <v>12539</v>
          </cell>
          <cell r="AS273">
            <v>-2685986</v>
          </cell>
          <cell r="AT273">
            <v>-2632266</v>
          </cell>
          <cell r="AU273">
            <v>0</v>
          </cell>
          <cell r="AV273">
            <v>-53719</v>
          </cell>
          <cell r="AW273">
            <v>-5371971</v>
          </cell>
          <cell r="AX273">
            <v>-7388769</v>
          </cell>
          <cell r="AY273">
            <v>-7240992</v>
          </cell>
          <cell r="AZ273">
            <v>0</v>
          </cell>
          <cell r="BA273">
            <v>-147776</v>
          </cell>
          <cell r="BB273">
            <v>-14777537</v>
          </cell>
          <cell r="BC273">
            <v>89100175</v>
          </cell>
          <cell r="BD273">
            <v>-4872586</v>
          </cell>
          <cell r="BE273">
            <v>2572113</v>
          </cell>
          <cell r="BF273">
            <v>0</v>
          </cell>
          <cell r="BG273">
            <v>-6657875</v>
          </cell>
          <cell r="BH273">
            <v>-28965</v>
          </cell>
          <cell r="BI273">
            <v>-1907</v>
          </cell>
          <cell r="BJ273">
            <v>-25240</v>
          </cell>
          <cell r="BK273">
            <v>-2980007</v>
          </cell>
          <cell r="BL273">
            <v>-57491</v>
          </cell>
          <cell r="BM273">
            <v>-128077</v>
          </cell>
          <cell r="BN273">
            <v>-596</v>
          </cell>
          <cell r="BO273">
            <v>0</v>
          </cell>
          <cell r="BP273">
            <v>0</v>
          </cell>
          <cell r="BQ273">
            <v>-34790</v>
          </cell>
          <cell r="BR273">
            <v>-34790</v>
          </cell>
          <cell r="BS273">
            <v>0</v>
          </cell>
          <cell r="BT273">
            <v>95100607</v>
          </cell>
          <cell r="BU273">
            <v>-1113711</v>
          </cell>
          <cell r="BV273">
            <v>6966006</v>
          </cell>
          <cell r="BW273">
            <v>-798423</v>
          </cell>
          <cell r="BX273">
            <v>441750</v>
          </cell>
          <cell r="BY273">
            <v>0</v>
          </cell>
          <cell r="BZ273">
            <v>83471649</v>
          </cell>
          <cell r="CA273">
            <v>220875</v>
          </cell>
          <cell r="CB273">
            <v>216457</v>
          </cell>
          <cell r="CC273">
            <v>0</v>
          </cell>
          <cell r="CD273">
            <v>4418</v>
          </cell>
          <cell r="CE273">
            <v>0</v>
          </cell>
          <cell r="CF273">
            <v>0</v>
          </cell>
          <cell r="CG273">
            <v>0</v>
          </cell>
          <cell r="CH273">
            <v>0</v>
          </cell>
        </row>
        <row r="274">
          <cell r="A274">
            <v>267</v>
          </cell>
          <cell r="B274" t="str">
            <v>Surrey Heath</v>
          </cell>
          <cell r="C274" t="str">
            <v>E3638</v>
          </cell>
          <cell r="D274">
            <v>123229</v>
          </cell>
          <cell r="H274">
            <v>-27882</v>
          </cell>
          <cell r="I274">
            <v>0</v>
          </cell>
          <cell r="J274">
            <v>123229</v>
          </cell>
          <cell r="K274">
            <v>0</v>
          </cell>
          <cell r="L274">
            <v>0</v>
          </cell>
          <cell r="M274">
            <v>0</v>
          </cell>
          <cell r="N274">
            <v>0</v>
          </cell>
          <cell r="O274">
            <v>0</v>
          </cell>
          <cell r="P274">
            <v>0</v>
          </cell>
          <cell r="Q274">
            <v>0</v>
          </cell>
          <cell r="R274">
            <v>779470</v>
          </cell>
          <cell r="S274">
            <v>194867</v>
          </cell>
          <cell r="T274">
            <v>0</v>
          </cell>
          <cell r="U274">
            <v>1703</v>
          </cell>
          <cell r="V274">
            <v>426</v>
          </cell>
          <cell r="W274">
            <v>0</v>
          </cell>
          <cell r="X274">
            <v>14897</v>
          </cell>
          <cell r="Y274">
            <v>3724</v>
          </cell>
          <cell r="Z274">
            <v>0</v>
          </cell>
          <cell r="AA274">
            <v>12180</v>
          </cell>
          <cell r="AB274">
            <v>3045</v>
          </cell>
          <cell r="AC274">
            <v>0</v>
          </cell>
          <cell r="AD274">
            <v>0</v>
          </cell>
          <cell r="AE274">
            <v>0</v>
          </cell>
          <cell r="AF274">
            <v>0</v>
          </cell>
          <cell r="AG274">
            <v>0</v>
          </cell>
          <cell r="AH274">
            <v>0</v>
          </cell>
          <cell r="AI274">
            <v>0</v>
          </cell>
          <cell r="AM274">
            <v>0</v>
          </cell>
          <cell r="AN274">
            <v>0</v>
          </cell>
          <cell r="AO274">
            <v>0</v>
          </cell>
          <cell r="AP274">
            <v>207312</v>
          </cell>
          <cell r="AQ274">
            <v>51828</v>
          </cell>
          <cell r="AR274">
            <v>0</v>
          </cell>
          <cell r="AS274">
            <v>-216267</v>
          </cell>
          <cell r="AT274">
            <v>-173014</v>
          </cell>
          <cell r="AU274">
            <v>-43254</v>
          </cell>
          <cell r="AV274">
            <v>0</v>
          </cell>
          <cell r="AW274">
            <v>-432535</v>
          </cell>
          <cell r="AX274">
            <v>-1953163</v>
          </cell>
          <cell r="AY274">
            <v>-1562531</v>
          </cell>
          <cell r="AZ274">
            <v>-390633</v>
          </cell>
          <cell r="BA274">
            <v>0</v>
          </cell>
          <cell r="BB274">
            <v>-3906327</v>
          </cell>
          <cell r="BC274">
            <v>38275670</v>
          </cell>
          <cell r="BD274">
            <v>-1379843</v>
          </cell>
          <cell r="BE274">
            <v>987379</v>
          </cell>
          <cell r="BF274">
            <v>0</v>
          </cell>
          <cell r="BG274">
            <v>-1505317</v>
          </cell>
          <cell r="BH274">
            <v>-5815</v>
          </cell>
          <cell r="BI274">
            <v>0</v>
          </cell>
          <cell r="BJ274">
            <v>-3258</v>
          </cell>
          <cell r="BK274">
            <v>-1221975</v>
          </cell>
          <cell r="BL274">
            <v>-96605</v>
          </cell>
          <cell r="BM274">
            <v>-215295</v>
          </cell>
          <cell r="BN274">
            <v>-1454</v>
          </cell>
          <cell r="BO274">
            <v>0</v>
          </cell>
          <cell r="BP274">
            <v>0</v>
          </cell>
          <cell r="BQ274">
            <v>0</v>
          </cell>
          <cell r="BR274">
            <v>0</v>
          </cell>
          <cell r="BS274">
            <v>0</v>
          </cell>
          <cell r="BT274">
            <v>37737280</v>
          </cell>
          <cell r="BU274">
            <v>-200310</v>
          </cell>
          <cell r="BV274">
            <v>1356098</v>
          </cell>
          <cell r="BW274">
            <v>-583714</v>
          </cell>
          <cell r="BX274">
            <v>3566920</v>
          </cell>
          <cell r="BY274">
            <v>2055283</v>
          </cell>
          <cell r="BZ274">
            <v>34502660</v>
          </cell>
          <cell r="CA274">
            <v>1783460</v>
          </cell>
          <cell r="CB274">
            <v>1426768</v>
          </cell>
          <cell r="CC274">
            <v>356692</v>
          </cell>
          <cell r="CD274">
            <v>0</v>
          </cell>
          <cell r="CE274">
            <v>1027642</v>
          </cell>
          <cell r="CF274">
            <v>822113</v>
          </cell>
          <cell r="CG274">
            <v>205528</v>
          </cell>
          <cell r="CH274">
            <v>0</v>
          </cell>
        </row>
        <row r="275">
          <cell r="A275">
            <v>268</v>
          </cell>
          <cell r="B275" t="str">
            <v>Sutton</v>
          </cell>
          <cell r="C275" t="str">
            <v>E5048</v>
          </cell>
          <cell r="D275">
            <v>193376</v>
          </cell>
          <cell r="H275">
            <v>481547</v>
          </cell>
          <cell r="I275">
            <v>0</v>
          </cell>
          <cell r="J275">
            <v>193376</v>
          </cell>
          <cell r="K275">
            <v>0</v>
          </cell>
          <cell r="L275">
            <v>0</v>
          </cell>
          <cell r="M275">
            <v>0</v>
          </cell>
          <cell r="N275">
            <v>0</v>
          </cell>
          <cell r="O275">
            <v>0</v>
          </cell>
          <cell r="P275">
            <v>0</v>
          </cell>
          <cell r="Q275">
            <v>0</v>
          </cell>
          <cell r="R275">
            <v>642725</v>
          </cell>
          <cell r="S275">
            <v>792694</v>
          </cell>
          <cell r="T275">
            <v>0</v>
          </cell>
          <cell r="U275">
            <v>0</v>
          </cell>
          <cell r="V275">
            <v>0</v>
          </cell>
          <cell r="W275">
            <v>0</v>
          </cell>
          <cell r="X275">
            <v>15225</v>
          </cell>
          <cell r="Y275">
            <v>18778</v>
          </cell>
          <cell r="Z275">
            <v>0</v>
          </cell>
          <cell r="AA275">
            <v>4568</v>
          </cell>
          <cell r="AB275">
            <v>5633</v>
          </cell>
          <cell r="AC275">
            <v>0</v>
          </cell>
          <cell r="AD275">
            <v>0</v>
          </cell>
          <cell r="AE275">
            <v>0</v>
          </cell>
          <cell r="AF275">
            <v>0</v>
          </cell>
          <cell r="AG275">
            <v>0</v>
          </cell>
          <cell r="AH275">
            <v>0</v>
          </cell>
          <cell r="AI275">
            <v>0</v>
          </cell>
          <cell r="AM275">
            <v>0</v>
          </cell>
          <cell r="AN275">
            <v>0</v>
          </cell>
          <cell r="AO275">
            <v>0</v>
          </cell>
          <cell r="AP275">
            <v>240954</v>
          </cell>
          <cell r="AQ275">
            <v>297176</v>
          </cell>
          <cell r="AR275">
            <v>0</v>
          </cell>
          <cell r="AS275">
            <v>-409192</v>
          </cell>
          <cell r="AT275">
            <v>-245513</v>
          </cell>
          <cell r="AU275">
            <v>-163676</v>
          </cell>
          <cell r="AV275">
            <v>0</v>
          </cell>
          <cell r="AW275">
            <v>-818381</v>
          </cell>
          <cell r="AX275">
            <v>-849996</v>
          </cell>
          <cell r="AY275">
            <v>-509996</v>
          </cell>
          <cell r="AZ275">
            <v>-339998</v>
          </cell>
          <cell r="BA275">
            <v>0</v>
          </cell>
          <cell r="BB275">
            <v>-1699990</v>
          </cell>
          <cell r="BC275">
            <v>51336925</v>
          </cell>
          <cell r="BD275">
            <v>-2895615</v>
          </cell>
          <cell r="BE275">
            <v>1319221</v>
          </cell>
          <cell r="BF275">
            <v>0</v>
          </cell>
          <cell r="BG275">
            <v>-4916590</v>
          </cell>
          <cell r="BH275">
            <v>-37374</v>
          </cell>
          <cell r="BI275">
            <v>0</v>
          </cell>
          <cell r="BJ275">
            <v>-835</v>
          </cell>
          <cell r="BK275">
            <v>-947005</v>
          </cell>
          <cell r="BL275">
            <v>0</v>
          </cell>
          <cell r="BM275">
            <v>-105948</v>
          </cell>
          <cell r="BN275">
            <v>0</v>
          </cell>
          <cell r="BO275">
            <v>0</v>
          </cell>
          <cell r="BP275">
            <v>0</v>
          </cell>
          <cell r="BQ275">
            <v>-41328</v>
          </cell>
          <cell r="BR275">
            <v>0</v>
          </cell>
          <cell r="BS275">
            <v>0</v>
          </cell>
          <cell r="BT275">
            <v>50228016</v>
          </cell>
          <cell r="BU275">
            <v>-326745</v>
          </cell>
          <cell r="BV275">
            <v>2338231</v>
          </cell>
          <cell r="BW275">
            <v>-942622</v>
          </cell>
          <cell r="BX275">
            <v>-3046398.4000000004</v>
          </cell>
          <cell r="BY275">
            <v>-2264422</v>
          </cell>
          <cell r="BZ275">
            <v>53468742</v>
          </cell>
          <cell r="CA275">
            <v>-1523199.4000000004</v>
          </cell>
          <cell r="CB275">
            <v>-913919</v>
          </cell>
          <cell r="CC275">
            <v>-609280</v>
          </cell>
          <cell r="CD275">
            <v>0</v>
          </cell>
          <cell r="CE275">
            <v>-1132211</v>
          </cell>
          <cell r="CF275">
            <v>-679327</v>
          </cell>
          <cell r="CG275">
            <v>-452884</v>
          </cell>
          <cell r="CH275">
            <v>0</v>
          </cell>
        </row>
        <row r="276">
          <cell r="A276">
            <v>269</v>
          </cell>
          <cell r="B276" t="str">
            <v>Swale</v>
          </cell>
          <cell r="C276" t="str">
            <v>E2241</v>
          </cell>
          <cell r="D276">
            <v>182037</v>
          </cell>
          <cell r="H276">
            <v>73465</v>
          </cell>
          <cell r="I276">
            <v>0</v>
          </cell>
          <cell r="J276">
            <v>182037</v>
          </cell>
          <cell r="K276">
            <v>0</v>
          </cell>
          <cell r="L276">
            <v>379872</v>
          </cell>
          <cell r="M276">
            <v>821485</v>
          </cell>
          <cell r="N276">
            <v>0</v>
          </cell>
          <cell r="O276">
            <v>0</v>
          </cell>
          <cell r="P276">
            <v>0</v>
          </cell>
          <cell r="Q276">
            <v>0</v>
          </cell>
          <cell r="R276">
            <v>806960</v>
          </cell>
          <cell r="S276">
            <v>181566</v>
          </cell>
          <cell r="T276">
            <v>20174</v>
          </cell>
          <cell r="U276">
            <v>4103</v>
          </cell>
          <cell r="V276">
            <v>923</v>
          </cell>
          <cell r="W276">
            <v>103</v>
          </cell>
          <cell r="X276">
            <v>4736</v>
          </cell>
          <cell r="Y276">
            <v>1065</v>
          </cell>
          <cell r="Z276">
            <v>118</v>
          </cell>
          <cell r="AA276">
            <v>812</v>
          </cell>
          <cell r="AB276">
            <v>183</v>
          </cell>
          <cell r="AC276">
            <v>20</v>
          </cell>
          <cell r="AD276">
            <v>0</v>
          </cell>
          <cell r="AE276">
            <v>0</v>
          </cell>
          <cell r="AF276">
            <v>0</v>
          </cell>
          <cell r="AG276">
            <v>0</v>
          </cell>
          <cell r="AH276">
            <v>0</v>
          </cell>
          <cell r="AI276">
            <v>0</v>
          </cell>
          <cell r="AM276">
            <v>0</v>
          </cell>
          <cell r="AN276">
            <v>0</v>
          </cell>
          <cell r="AO276">
            <v>0</v>
          </cell>
          <cell r="AP276">
            <v>270620</v>
          </cell>
          <cell r="AQ276">
            <v>71945</v>
          </cell>
          <cell r="AR276">
            <v>6623</v>
          </cell>
          <cell r="AS276">
            <v>-557120</v>
          </cell>
          <cell r="AT276">
            <v>-445693</v>
          </cell>
          <cell r="AU276">
            <v>-100282</v>
          </cell>
          <cell r="AV276">
            <v>-11141</v>
          </cell>
          <cell r="AW276">
            <v>-1114236</v>
          </cell>
          <cell r="AX276">
            <v>-3880188.3</v>
          </cell>
          <cell r="AY276">
            <v>-3104153</v>
          </cell>
          <cell r="AZ276">
            <v>-698434</v>
          </cell>
          <cell r="BA276">
            <v>-77604</v>
          </cell>
          <cell r="BB276">
            <v>-7760379.2999999998</v>
          </cell>
          <cell r="BC276">
            <v>45775301</v>
          </cell>
          <cell r="BD276">
            <v>-3366804</v>
          </cell>
          <cell r="BE276">
            <v>1260870</v>
          </cell>
          <cell r="BF276">
            <v>0</v>
          </cell>
          <cell r="BG276">
            <v>-3024894</v>
          </cell>
          <cell r="BH276">
            <v>-88854</v>
          </cell>
          <cell r="BI276">
            <v>-34402</v>
          </cell>
          <cell r="BJ276">
            <v>-58083</v>
          </cell>
          <cell r="BK276">
            <v>-1419945</v>
          </cell>
          <cell r="BL276">
            <v>-233285</v>
          </cell>
          <cell r="BM276">
            <v>-138692</v>
          </cell>
          <cell r="BN276">
            <v>-22213</v>
          </cell>
          <cell r="BO276">
            <v>-34402</v>
          </cell>
          <cell r="BP276">
            <v>-12405</v>
          </cell>
          <cell r="BQ276">
            <v>0</v>
          </cell>
          <cell r="BR276">
            <v>0</v>
          </cell>
          <cell r="BS276">
            <v>0</v>
          </cell>
          <cell r="BT276">
            <v>47058878</v>
          </cell>
          <cell r="BU276">
            <v>-88652</v>
          </cell>
          <cell r="BV276">
            <v>957793</v>
          </cell>
          <cell r="BW276">
            <v>-762415</v>
          </cell>
          <cell r="BX276">
            <v>2443673</v>
          </cell>
          <cell r="BY276">
            <v>2446961</v>
          </cell>
          <cell r="BZ276">
            <v>44089186</v>
          </cell>
          <cell r="CA276">
            <v>1221838</v>
          </cell>
          <cell r="CB276">
            <v>977468</v>
          </cell>
          <cell r="CC276">
            <v>219930</v>
          </cell>
          <cell r="CD276">
            <v>24437</v>
          </cell>
          <cell r="CE276">
            <v>1223481</v>
          </cell>
          <cell r="CF276">
            <v>978784</v>
          </cell>
          <cell r="CG276">
            <v>220226</v>
          </cell>
          <cell r="CH276">
            <v>24470</v>
          </cell>
        </row>
        <row r="277">
          <cell r="A277">
            <v>270</v>
          </cell>
          <cell r="B277" t="str">
            <v>Swindon</v>
          </cell>
          <cell r="C277" t="str">
            <v>E3901</v>
          </cell>
          <cell r="D277">
            <v>265619</v>
          </cell>
          <cell r="H277">
            <v>-8079130</v>
          </cell>
          <cell r="I277">
            <v>0</v>
          </cell>
          <cell r="J277">
            <v>265619</v>
          </cell>
          <cell r="K277">
            <v>0</v>
          </cell>
          <cell r="L277">
            <v>523217</v>
          </cell>
          <cell r="M277">
            <v>0</v>
          </cell>
          <cell r="N277">
            <v>0</v>
          </cell>
          <cell r="O277">
            <v>0</v>
          </cell>
          <cell r="P277">
            <v>0</v>
          </cell>
          <cell r="Q277">
            <v>0</v>
          </cell>
          <cell r="R277">
            <v>1227631</v>
          </cell>
          <cell r="S277">
            <v>0</v>
          </cell>
          <cell r="T277">
            <v>25054</v>
          </cell>
          <cell r="U277">
            <v>8094</v>
          </cell>
          <cell r="V277">
            <v>0</v>
          </cell>
          <cell r="W277">
            <v>165</v>
          </cell>
          <cell r="X277">
            <v>4348</v>
          </cell>
          <cell r="Y277">
            <v>0</v>
          </cell>
          <cell r="Z277">
            <v>89</v>
          </cell>
          <cell r="AA277">
            <v>0</v>
          </cell>
          <cell r="AB277">
            <v>0</v>
          </cell>
          <cell r="AC277">
            <v>0</v>
          </cell>
          <cell r="AD277">
            <v>0</v>
          </cell>
          <cell r="AE277">
            <v>0</v>
          </cell>
          <cell r="AF277">
            <v>0</v>
          </cell>
          <cell r="AG277">
            <v>0</v>
          </cell>
          <cell r="AH277">
            <v>0</v>
          </cell>
          <cell r="AI277">
            <v>0</v>
          </cell>
          <cell r="AM277">
            <v>0</v>
          </cell>
          <cell r="AN277">
            <v>0</v>
          </cell>
          <cell r="AO277">
            <v>0</v>
          </cell>
          <cell r="AP277">
            <v>719606</v>
          </cell>
          <cell r="AQ277">
            <v>0</v>
          </cell>
          <cell r="AR277">
            <v>14525</v>
          </cell>
          <cell r="AS277">
            <v>-704335</v>
          </cell>
          <cell r="AT277">
            <v>-690248</v>
          </cell>
          <cell r="AU277">
            <v>0</v>
          </cell>
          <cell r="AV277">
            <v>-14085</v>
          </cell>
          <cell r="AW277">
            <v>-1408668</v>
          </cell>
          <cell r="AX277">
            <v>-5089652</v>
          </cell>
          <cell r="AY277">
            <v>-4987860</v>
          </cell>
          <cell r="AZ277">
            <v>0</v>
          </cell>
          <cell r="BA277">
            <v>-101794</v>
          </cell>
          <cell r="BB277">
            <v>-10179306</v>
          </cell>
          <cell r="BC277">
            <v>107034856</v>
          </cell>
          <cell r="BD277">
            <v>-2964548</v>
          </cell>
          <cell r="BE277">
            <v>3129342</v>
          </cell>
          <cell r="BF277">
            <v>0</v>
          </cell>
          <cell r="BG277">
            <v>-6622441</v>
          </cell>
          <cell r="BH277">
            <v>-87353</v>
          </cell>
          <cell r="BI277">
            <v>-7989</v>
          </cell>
          <cell r="BJ277">
            <v>-41704</v>
          </cell>
          <cell r="BK277">
            <v>-4871843</v>
          </cell>
          <cell r="BL277">
            <v>-189128</v>
          </cell>
          <cell r="BM277">
            <v>-57979</v>
          </cell>
          <cell r="BN277">
            <v>-21838</v>
          </cell>
          <cell r="BO277">
            <v>-3019</v>
          </cell>
          <cell r="BP277">
            <v>0</v>
          </cell>
          <cell r="BQ277">
            <v>0</v>
          </cell>
          <cell r="BR277">
            <v>0</v>
          </cell>
          <cell r="BS277">
            <v>0</v>
          </cell>
          <cell r="BT277">
            <v>109923519</v>
          </cell>
          <cell r="BU277">
            <v>-1075252</v>
          </cell>
          <cell r="BV277">
            <v>4194428</v>
          </cell>
          <cell r="BW277">
            <v>-302260</v>
          </cell>
          <cell r="BX277">
            <v>242174</v>
          </cell>
          <cell r="BY277">
            <v>-40739</v>
          </cell>
          <cell r="BZ277">
            <v>96697895</v>
          </cell>
          <cell r="CA277">
            <v>121087</v>
          </cell>
          <cell r="CB277">
            <v>118665</v>
          </cell>
          <cell r="CC277">
            <v>0</v>
          </cell>
          <cell r="CD277">
            <v>2422</v>
          </cell>
          <cell r="CE277">
            <v>-20370</v>
          </cell>
          <cell r="CF277">
            <v>-19962</v>
          </cell>
          <cell r="CG277">
            <v>0</v>
          </cell>
          <cell r="CH277">
            <v>-407</v>
          </cell>
        </row>
        <row r="278">
          <cell r="A278">
            <v>271</v>
          </cell>
          <cell r="B278" t="str">
            <v>Tameside</v>
          </cell>
          <cell r="C278" t="str">
            <v>E4208</v>
          </cell>
          <cell r="D278">
            <v>291392</v>
          </cell>
          <cell r="H278">
            <v>-3318353</v>
          </cell>
          <cell r="I278">
            <v>0</v>
          </cell>
          <cell r="J278">
            <v>306392</v>
          </cell>
          <cell r="K278">
            <v>0</v>
          </cell>
          <cell r="L278">
            <v>0</v>
          </cell>
          <cell r="M278">
            <v>0</v>
          </cell>
          <cell r="N278">
            <v>0</v>
          </cell>
          <cell r="O278">
            <v>0</v>
          </cell>
          <cell r="P278">
            <v>0</v>
          </cell>
          <cell r="Q278">
            <v>0</v>
          </cell>
          <cell r="R278">
            <v>3845549</v>
          </cell>
          <cell r="S278">
            <v>0</v>
          </cell>
          <cell r="T278">
            <v>38844</v>
          </cell>
          <cell r="U278">
            <v>0</v>
          </cell>
          <cell r="V278">
            <v>0</v>
          </cell>
          <cell r="W278">
            <v>0</v>
          </cell>
          <cell r="X278">
            <v>0</v>
          </cell>
          <cell r="Y278">
            <v>0</v>
          </cell>
          <cell r="Z278">
            <v>0</v>
          </cell>
          <cell r="AA278">
            <v>6417</v>
          </cell>
          <cell r="AB278">
            <v>0</v>
          </cell>
          <cell r="AC278">
            <v>65</v>
          </cell>
          <cell r="AD278">
            <v>0</v>
          </cell>
          <cell r="AE278">
            <v>0</v>
          </cell>
          <cell r="AF278">
            <v>0</v>
          </cell>
          <cell r="AG278">
            <v>0</v>
          </cell>
          <cell r="AH278">
            <v>0</v>
          </cell>
          <cell r="AI278">
            <v>0</v>
          </cell>
          <cell r="AM278">
            <v>0</v>
          </cell>
          <cell r="AN278">
            <v>0</v>
          </cell>
          <cell r="AO278">
            <v>0</v>
          </cell>
          <cell r="AP278">
            <v>746596</v>
          </cell>
          <cell r="AQ278">
            <v>0</v>
          </cell>
          <cell r="AR278">
            <v>7541</v>
          </cell>
          <cell r="AS278">
            <v>-1565545.9</v>
          </cell>
          <cell r="AT278">
            <v>-1534236</v>
          </cell>
          <cell r="AU278">
            <v>0</v>
          </cell>
          <cell r="AV278">
            <v>-31311</v>
          </cell>
          <cell r="AW278">
            <v>-3131092.9</v>
          </cell>
          <cell r="AX278">
            <v>-3870222</v>
          </cell>
          <cell r="AY278">
            <v>-3792819</v>
          </cell>
          <cell r="AZ278">
            <v>0</v>
          </cell>
          <cell r="BA278">
            <v>-77405</v>
          </cell>
          <cell r="BB278">
            <v>-7740446</v>
          </cell>
          <cell r="BC278">
            <v>55311052</v>
          </cell>
          <cell r="BD278">
            <v>-6342068</v>
          </cell>
          <cell r="BE278">
            <v>1569659</v>
          </cell>
          <cell r="BF278">
            <v>0</v>
          </cell>
          <cell r="BG278">
            <v>-3473986</v>
          </cell>
          <cell r="BH278">
            <v>-154627</v>
          </cell>
          <cell r="BI278">
            <v>0</v>
          </cell>
          <cell r="BJ278">
            <v>0</v>
          </cell>
          <cell r="BK278">
            <v>-1916761</v>
          </cell>
          <cell r="BL278">
            <v>-26012</v>
          </cell>
          <cell r="BM278">
            <v>-34573</v>
          </cell>
          <cell r="BN278">
            <v>-2114</v>
          </cell>
          <cell r="BO278">
            <v>0</v>
          </cell>
          <cell r="BP278">
            <v>0</v>
          </cell>
          <cell r="BQ278">
            <v>0</v>
          </cell>
          <cell r="BR278">
            <v>0</v>
          </cell>
          <cell r="BS278">
            <v>0</v>
          </cell>
          <cell r="BT278">
            <v>58550641</v>
          </cell>
          <cell r="BU278">
            <v>-1615971</v>
          </cell>
          <cell r="BV278">
            <v>6192684</v>
          </cell>
          <cell r="BW278">
            <v>-1761662</v>
          </cell>
          <cell r="BX278">
            <v>-6659671</v>
          </cell>
          <cell r="BY278">
            <v>-3553208</v>
          </cell>
          <cell r="BZ278">
            <v>50204000</v>
          </cell>
          <cell r="CA278">
            <v>-3329835</v>
          </cell>
          <cell r="CB278">
            <v>-3263240</v>
          </cell>
          <cell r="CC278">
            <v>0</v>
          </cell>
          <cell r="CD278">
            <v>-66596</v>
          </cell>
          <cell r="CE278">
            <v>-1776604</v>
          </cell>
          <cell r="CF278">
            <v>-1741072</v>
          </cell>
          <cell r="CG278">
            <v>0</v>
          </cell>
          <cell r="CH278">
            <v>-35532</v>
          </cell>
        </row>
        <row r="279">
          <cell r="A279">
            <v>272</v>
          </cell>
          <cell r="B279" t="str">
            <v>Tamworth</v>
          </cell>
          <cell r="C279" t="str">
            <v>E3439</v>
          </cell>
          <cell r="D279">
            <v>91080</v>
          </cell>
          <cell r="H279">
            <v>-1322640</v>
          </cell>
          <cell r="I279">
            <v>0</v>
          </cell>
          <cell r="J279">
            <v>91080</v>
          </cell>
          <cell r="K279">
            <v>0</v>
          </cell>
          <cell r="L279">
            <v>0</v>
          </cell>
          <cell r="M279">
            <v>0</v>
          </cell>
          <cell r="N279">
            <v>0</v>
          </cell>
          <cell r="O279">
            <v>0</v>
          </cell>
          <cell r="P279">
            <v>0</v>
          </cell>
          <cell r="Q279">
            <v>0</v>
          </cell>
          <cell r="R279">
            <v>338718</v>
          </cell>
          <cell r="S279">
            <v>76212</v>
          </cell>
          <cell r="T279">
            <v>8468</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M279">
            <v>0</v>
          </cell>
          <cell r="AN279">
            <v>0</v>
          </cell>
          <cell r="AO279">
            <v>0</v>
          </cell>
          <cell r="AP279">
            <v>199085</v>
          </cell>
          <cell r="AQ279">
            <v>44794</v>
          </cell>
          <cell r="AR279">
            <v>4977</v>
          </cell>
          <cell r="AS279">
            <v>-513415.76</v>
          </cell>
          <cell r="AT279">
            <v>-410731</v>
          </cell>
          <cell r="AU279">
            <v>-92414</v>
          </cell>
          <cell r="AV279">
            <v>-10267</v>
          </cell>
          <cell r="AW279">
            <v>-1026827.76</v>
          </cell>
          <cell r="AX279">
            <v>-2371292</v>
          </cell>
          <cell r="AY279">
            <v>-1897035</v>
          </cell>
          <cell r="AZ279">
            <v>-426832</v>
          </cell>
          <cell r="BA279">
            <v>-47425</v>
          </cell>
          <cell r="BB279">
            <v>-4742584</v>
          </cell>
          <cell r="BC279">
            <v>34340989</v>
          </cell>
          <cell r="BD279">
            <v>-1276121</v>
          </cell>
          <cell r="BE279">
            <v>921657</v>
          </cell>
          <cell r="BF279">
            <v>0</v>
          </cell>
          <cell r="BG279">
            <v>-1290351</v>
          </cell>
          <cell r="BH279">
            <v>-42841</v>
          </cell>
          <cell r="BI279">
            <v>0</v>
          </cell>
          <cell r="BJ279">
            <v>0</v>
          </cell>
          <cell r="BK279">
            <v>-1037588</v>
          </cell>
          <cell r="BL279">
            <v>-22240</v>
          </cell>
          <cell r="BM279">
            <v>-2057</v>
          </cell>
          <cell r="BN279">
            <v>-4225</v>
          </cell>
          <cell r="BO279">
            <v>0</v>
          </cell>
          <cell r="BP279">
            <v>0</v>
          </cell>
          <cell r="BQ279">
            <v>0</v>
          </cell>
          <cell r="BR279">
            <v>0</v>
          </cell>
          <cell r="BS279">
            <v>0</v>
          </cell>
          <cell r="BT279">
            <v>35024655</v>
          </cell>
          <cell r="BU279">
            <v>-171111</v>
          </cell>
          <cell r="BV279">
            <v>1123773</v>
          </cell>
          <cell r="BW279">
            <v>-1014484</v>
          </cell>
          <cell r="BX279">
            <v>812728</v>
          </cell>
          <cell r="BY279">
            <v>845281</v>
          </cell>
          <cell r="BZ279">
            <v>33133377</v>
          </cell>
          <cell r="CA279">
            <v>406362</v>
          </cell>
          <cell r="CB279">
            <v>325092</v>
          </cell>
          <cell r="CC279">
            <v>73146</v>
          </cell>
          <cell r="CD279">
            <v>8128</v>
          </cell>
          <cell r="CE279">
            <v>422641</v>
          </cell>
          <cell r="CF279">
            <v>338112</v>
          </cell>
          <cell r="CG279">
            <v>76075</v>
          </cell>
          <cell r="CH279">
            <v>8453</v>
          </cell>
        </row>
        <row r="280">
          <cell r="A280">
            <v>273</v>
          </cell>
          <cell r="B280" t="str">
            <v>Tandridge</v>
          </cell>
          <cell r="C280" t="str">
            <v>E3639</v>
          </cell>
          <cell r="D280">
            <v>125069</v>
          </cell>
          <cell r="H280">
            <v>1280255</v>
          </cell>
          <cell r="I280">
            <v>0</v>
          </cell>
          <cell r="J280">
            <v>125069</v>
          </cell>
          <cell r="K280">
            <v>0</v>
          </cell>
          <cell r="L280">
            <v>0</v>
          </cell>
          <cell r="M280">
            <v>0</v>
          </cell>
          <cell r="N280">
            <v>0</v>
          </cell>
          <cell r="O280">
            <v>0</v>
          </cell>
          <cell r="P280">
            <v>0</v>
          </cell>
          <cell r="Q280">
            <v>0</v>
          </cell>
          <cell r="R280">
            <v>559418</v>
          </cell>
          <cell r="S280">
            <v>139854</v>
          </cell>
          <cell r="T280">
            <v>0</v>
          </cell>
          <cell r="U280">
            <v>0</v>
          </cell>
          <cell r="V280">
            <v>0</v>
          </cell>
          <cell r="W280">
            <v>0</v>
          </cell>
          <cell r="X280">
            <v>3898</v>
          </cell>
          <cell r="Y280">
            <v>974</v>
          </cell>
          <cell r="Z280">
            <v>0</v>
          </cell>
          <cell r="AA280">
            <v>0</v>
          </cell>
          <cell r="AB280">
            <v>0</v>
          </cell>
          <cell r="AC280">
            <v>0</v>
          </cell>
          <cell r="AD280">
            <v>0</v>
          </cell>
          <cell r="AE280">
            <v>0</v>
          </cell>
          <cell r="AF280">
            <v>0</v>
          </cell>
          <cell r="AG280">
            <v>0</v>
          </cell>
          <cell r="AH280">
            <v>0</v>
          </cell>
          <cell r="AI280">
            <v>0</v>
          </cell>
          <cell r="AM280">
            <v>0</v>
          </cell>
          <cell r="AN280">
            <v>0</v>
          </cell>
          <cell r="AO280">
            <v>0</v>
          </cell>
          <cell r="AP280">
            <v>124971</v>
          </cell>
          <cell r="AQ280">
            <v>31243</v>
          </cell>
          <cell r="AR280">
            <v>0</v>
          </cell>
          <cell r="AS280">
            <v>-45707</v>
          </cell>
          <cell r="AT280">
            <v>-36565</v>
          </cell>
          <cell r="AU280">
            <v>-9141</v>
          </cell>
          <cell r="AV280">
            <v>0</v>
          </cell>
          <cell r="AW280">
            <v>-91413</v>
          </cell>
          <cell r="AX280">
            <v>-877521</v>
          </cell>
          <cell r="AY280">
            <v>-702019</v>
          </cell>
          <cell r="AZ280">
            <v>-175505</v>
          </cell>
          <cell r="BA280">
            <v>0</v>
          </cell>
          <cell r="BB280">
            <v>-1755045</v>
          </cell>
          <cell r="BC280">
            <v>17614415</v>
          </cell>
          <cell r="BD280">
            <v>-2229552</v>
          </cell>
          <cell r="BE280">
            <v>518374</v>
          </cell>
          <cell r="BF280">
            <v>0</v>
          </cell>
          <cell r="BG280">
            <v>-2816559</v>
          </cell>
          <cell r="BH280">
            <v>-28311</v>
          </cell>
          <cell r="BI280">
            <v>-14599</v>
          </cell>
          <cell r="BJ280">
            <v>0</v>
          </cell>
          <cell r="BK280">
            <v>-634738</v>
          </cell>
          <cell r="BL280">
            <v>-51720</v>
          </cell>
          <cell r="BM280">
            <v>-15855</v>
          </cell>
          <cell r="BN280">
            <v>-77</v>
          </cell>
          <cell r="BO280">
            <v>-14599</v>
          </cell>
          <cell r="BP280">
            <v>-5324</v>
          </cell>
          <cell r="BQ280">
            <v>0</v>
          </cell>
          <cell r="BR280">
            <v>0</v>
          </cell>
          <cell r="BS280">
            <v>0</v>
          </cell>
          <cell r="BT280">
            <v>18564653</v>
          </cell>
          <cell r="BU280">
            <v>-38959</v>
          </cell>
          <cell r="BV280">
            <v>275839</v>
          </cell>
          <cell r="BW280">
            <v>-180476</v>
          </cell>
          <cell r="BX280">
            <v>-2690729</v>
          </cell>
          <cell r="BY280">
            <v>-849829</v>
          </cell>
          <cell r="BZ280">
            <v>20798783</v>
          </cell>
          <cell r="CA280">
            <v>-1345366</v>
          </cell>
          <cell r="CB280">
            <v>-1076291</v>
          </cell>
          <cell r="CC280">
            <v>-269072</v>
          </cell>
          <cell r="CD280">
            <v>0</v>
          </cell>
          <cell r="CE280">
            <v>-424914</v>
          </cell>
          <cell r="CF280">
            <v>-339932</v>
          </cell>
          <cell r="CG280">
            <v>-84983</v>
          </cell>
          <cell r="CH280">
            <v>0</v>
          </cell>
        </row>
        <row r="281">
          <cell r="A281">
            <v>274</v>
          </cell>
          <cell r="B281" t="str">
            <v>Taunton Deane</v>
          </cell>
          <cell r="C281" t="str">
            <v>E3333</v>
          </cell>
          <cell r="D281">
            <v>168758</v>
          </cell>
          <cell r="H281">
            <v>-2261855</v>
          </cell>
          <cell r="I281">
            <v>0</v>
          </cell>
          <cell r="J281">
            <v>168758</v>
          </cell>
          <cell r="K281">
            <v>0</v>
          </cell>
          <cell r="L281">
            <v>152400</v>
          </cell>
          <cell r="M281">
            <v>0</v>
          </cell>
          <cell r="N281">
            <v>0</v>
          </cell>
          <cell r="O281">
            <v>0</v>
          </cell>
          <cell r="P281">
            <v>0</v>
          </cell>
          <cell r="Q281">
            <v>0</v>
          </cell>
          <cell r="R281">
            <v>667746</v>
          </cell>
          <cell r="S281">
            <v>150243</v>
          </cell>
          <cell r="T281">
            <v>16694</v>
          </cell>
          <cell r="U281">
            <v>0</v>
          </cell>
          <cell r="V281">
            <v>0</v>
          </cell>
          <cell r="W281">
            <v>0</v>
          </cell>
          <cell r="X281">
            <v>3248</v>
          </cell>
          <cell r="Y281">
            <v>731</v>
          </cell>
          <cell r="Z281">
            <v>81</v>
          </cell>
          <cell r="AA281">
            <v>0</v>
          </cell>
          <cell r="AB281">
            <v>0</v>
          </cell>
          <cell r="AC281">
            <v>0</v>
          </cell>
          <cell r="AD281">
            <v>0</v>
          </cell>
          <cell r="AE281">
            <v>0</v>
          </cell>
          <cell r="AF281">
            <v>0</v>
          </cell>
          <cell r="AG281">
            <v>0</v>
          </cell>
          <cell r="AH281">
            <v>0</v>
          </cell>
          <cell r="AI281">
            <v>0</v>
          </cell>
          <cell r="AM281">
            <v>0</v>
          </cell>
          <cell r="AN281">
            <v>0</v>
          </cell>
          <cell r="AO281">
            <v>0</v>
          </cell>
          <cell r="AP281">
            <v>224874</v>
          </cell>
          <cell r="AQ281">
            <v>50082</v>
          </cell>
          <cell r="AR281">
            <v>5565</v>
          </cell>
          <cell r="AS281">
            <v>-328167</v>
          </cell>
          <cell r="AT281">
            <v>-262533</v>
          </cell>
          <cell r="AU281">
            <v>-59070</v>
          </cell>
          <cell r="AV281">
            <v>-6564</v>
          </cell>
          <cell r="AW281">
            <v>-656334</v>
          </cell>
          <cell r="AX281">
            <v>-1167841</v>
          </cell>
          <cell r="AY281">
            <v>-934270</v>
          </cell>
          <cell r="AZ281">
            <v>-210212</v>
          </cell>
          <cell r="BA281">
            <v>-23356</v>
          </cell>
          <cell r="BB281">
            <v>-2335679</v>
          </cell>
          <cell r="BC281">
            <v>41724384</v>
          </cell>
          <cell r="BD281">
            <v>-2682859</v>
          </cell>
          <cell r="BE281">
            <v>1128371</v>
          </cell>
          <cell r="BF281">
            <v>0</v>
          </cell>
          <cell r="BG281">
            <v>-3768675</v>
          </cell>
          <cell r="BH281">
            <v>-58726</v>
          </cell>
          <cell r="BI281">
            <v>-34817</v>
          </cell>
          <cell r="BJ281">
            <v>-17034</v>
          </cell>
          <cell r="BK281">
            <v>-1489741</v>
          </cell>
          <cell r="BL281">
            <v>-210533</v>
          </cell>
          <cell r="BM281">
            <v>-79602</v>
          </cell>
          <cell r="BN281">
            <v>-2410</v>
          </cell>
          <cell r="BO281">
            <v>-8512</v>
          </cell>
          <cell r="BP281">
            <v>-6630</v>
          </cell>
          <cell r="BQ281">
            <v>0</v>
          </cell>
          <cell r="BR281">
            <v>0</v>
          </cell>
          <cell r="BS281">
            <v>0</v>
          </cell>
          <cell r="BT281">
            <v>40409902</v>
          </cell>
          <cell r="BU281">
            <v>-164434</v>
          </cell>
          <cell r="BV281">
            <v>2234421</v>
          </cell>
          <cell r="BW281">
            <v>-1453244</v>
          </cell>
          <cell r="BX281">
            <v>-494123</v>
          </cell>
          <cell r="BY281">
            <v>-96063</v>
          </cell>
          <cell r="BZ281">
            <v>37044509</v>
          </cell>
          <cell r="CA281">
            <v>-247063</v>
          </cell>
          <cell r="CB281">
            <v>-197648</v>
          </cell>
          <cell r="CC281">
            <v>-44471</v>
          </cell>
          <cell r="CD281">
            <v>-4941</v>
          </cell>
          <cell r="CE281">
            <v>-48031</v>
          </cell>
          <cell r="CF281">
            <v>-38425</v>
          </cell>
          <cell r="CG281">
            <v>-8646</v>
          </cell>
          <cell r="CH281">
            <v>-961</v>
          </cell>
        </row>
        <row r="282">
          <cell r="A282">
            <v>275</v>
          </cell>
          <cell r="B282" t="str">
            <v>Teignbridge</v>
          </cell>
          <cell r="C282" t="str">
            <v>E1137</v>
          </cell>
          <cell r="D282">
            <v>189507</v>
          </cell>
          <cell r="H282">
            <v>-872917</v>
          </cell>
          <cell r="I282">
            <v>0</v>
          </cell>
          <cell r="J282">
            <v>189507</v>
          </cell>
          <cell r="K282">
            <v>0</v>
          </cell>
          <cell r="L282">
            <v>109524</v>
          </cell>
          <cell r="M282">
            <v>0</v>
          </cell>
          <cell r="N282">
            <v>0</v>
          </cell>
          <cell r="O282">
            <v>0</v>
          </cell>
          <cell r="P282">
            <v>0</v>
          </cell>
          <cell r="Q282">
            <v>0</v>
          </cell>
          <cell r="R282">
            <v>1047100</v>
          </cell>
          <cell r="S282">
            <v>235598</v>
          </cell>
          <cell r="T282">
            <v>26178</v>
          </cell>
          <cell r="U282">
            <v>367</v>
          </cell>
          <cell r="V282">
            <v>83</v>
          </cell>
          <cell r="W282">
            <v>9</v>
          </cell>
          <cell r="X282">
            <v>0</v>
          </cell>
          <cell r="Y282">
            <v>0</v>
          </cell>
          <cell r="Z282">
            <v>0</v>
          </cell>
          <cell r="AA282">
            <v>0</v>
          </cell>
          <cell r="AB282">
            <v>0</v>
          </cell>
          <cell r="AC282">
            <v>0</v>
          </cell>
          <cell r="AD282">
            <v>0</v>
          </cell>
          <cell r="AE282">
            <v>0</v>
          </cell>
          <cell r="AF282">
            <v>0</v>
          </cell>
          <cell r="AG282">
            <v>0</v>
          </cell>
          <cell r="AH282">
            <v>0</v>
          </cell>
          <cell r="AI282">
            <v>0</v>
          </cell>
          <cell r="AM282">
            <v>0</v>
          </cell>
          <cell r="AN282">
            <v>0</v>
          </cell>
          <cell r="AO282">
            <v>0</v>
          </cell>
          <cell r="AP282">
            <v>188236</v>
          </cell>
          <cell r="AQ282">
            <v>41983</v>
          </cell>
          <cell r="AR282">
            <v>4665</v>
          </cell>
          <cell r="AS282">
            <v>-150000</v>
          </cell>
          <cell r="AT282">
            <v>-120000</v>
          </cell>
          <cell r="AU282">
            <v>-27000</v>
          </cell>
          <cell r="AV282">
            <v>-3000</v>
          </cell>
          <cell r="AW282">
            <v>-300000</v>
          </cell>
          <cell r="AX282">
            <v>-200000</v>
          </cell>
          <cell r="AY282">
            <v>-160000</v>
          </cell>
          <cell r="AZ282">
            <v>-36000</v>
          </cell>
          <cell r="BA282">
            <v>-4000</v>
          </cell>
          <cell r="BB282">
            <v>-400000</v>
          </cell>
          <cell r="BC282">
            <v>31374315</v>
          </cell>
          <cell r="BD282">
            <v>-4018472</v>
          </cell>
          <cell r="BE282">
            <v>809947</v>
          </cell>
          <cell r="BF282">
            <v>0</v>
          </cell>
          <cell r="BG282">
            <v>-2628983</v>
          </cell>
          <cell r="BH282">
            <v>-76800</v>
          </cell>
          <cell r="BI282">
            <v>-52581</v>
          </cell>
          <cell r="BJ282">
            <v>0</v>
          </cell>
          <cell r="BK282">
            <v>-968389</v>
          </cell>
          <cell r="BL282">
            <v>-79612</v>
          </cell>
          <cell r="BM282">
            <v>-45733</v>
          </cell>
          <cell r="BN282">
            <v>-7515</v>
          </cell>
          <cell r="BO282">
            <v>-41923</v>
          </cell>
          <cell r="BP282">
            <v>-3090</v>
          </cell>
          <cell r="BQ282">
            <v>0</v>
          </cell>
          <cell r="BR282">
            <v>0</v>
          </cell>
          <cell r="BS282">
            <v>0</v>
          </cell>
          <cell r="BT282">
            <v>31676567</v>
          </cell>
          <cell r="BU282">
            <v>-90358</v>
          </cell>
          <cell r="BV282">
            <v>492434</v>
          </cell>
          <cell r="BW282">
            <v>-333429</v>
          </cell>
          <cell r="BX282">
            <v>-2944208</v>
          </cell>
          <cell r="BY282">
            <v>-2232000</v>
          </cell>
          <cell r="BZ282">
            <v>31053967</v>
          </cell>
          <cell r="CA282">
            <v>-1472104</v>
          </cell>
          <cell r="CB282">
            <v>-1177683</v>
          </cell>
          <cell r="CC282">
            <v>-264979</v>
          </cell>
          <cell r="CD282">
            <v>-29442</v>
          </cell>
          <cell r="CE282">
            <v>-1116000</v>
          </cell>
          <cell r="CF282">
            <v>-892800</v>
          </cell>
          <cell r="CG282">
            <v>-200880</v>
          </cell>
          <cell r="CH282">
            <v>-22320</v>
          </cell>
        </row>
        <row r="283">
          <cell r="A283">
            <v>276</v>
          </cell>
          <cell r="B283" t="str">
            <v>Telford and the Wrekin</v>
          </cell>
          <cell r="C283" t="str">
            <v>E3201</v>
          </cell>
          <cell r="D283">
            <v>216826</v>
          </cell>
          <cell r="H283">
            <v>-599557</v>
          </cell>
          <cell r="I283">
            <v>0</v>
          </cell>
          <cell r="J283">
            <v>216826</v>
          </cell>
          <cell r="K283">
            <v>0</v>
          </cell>
          <cell r="L283">
            <v>63524</v>
          </cell>
          <cell r="M283">
            <v>0</v>
          </cell>
          <cell r="N283">
            <v>0</v>
          </cell>
          <cell r="O283">
            <v>0</v>
          </cell>
          <cell r="P283">
            <v>0</v>
          </cell>
          <cell r="Q283">
            <v>0</v>
          </cell>
          <cell r="R283">
            <v>957517</v>
          </cell>
          <cell r="S283">
            <v>0</v>
          </cell>
          <cell r="T283">
            <v>19541</v>
          </cell>
          <cell r="U283">
            <v>6703</v>
          </cell>
          <cell r="V283">
            <v>0</v>
          </cell>
          <cell r="W283">
            <v>137</v>
          </cell>
          <cell r="X283">
            <v>2740</v>
          </cell>
          <cell r="Y283">
            <v>0</v>
          </cell>
          <cell r="Z283">
            <v>56</v>
          </cell>
          <cell r="AA283">
            <v>38985</v>
          </cell>
          <cell r="AB283">
            <v>0</v>
          </cell>
          <cell r="AC283">
            <v>796</v>
          </cell>
          <cell r="AD283">
            <v>0</v>
          </cell>
          <cell r="AE283">
            <v>0</v>
          </cell>
          <cell r="AF283">
            <v>0</v>
          </cell>
          <cell r="AG283">
            <v>0</v>
          </cell>
          <cell r="AH283">
            <v>0</v>
          </cell>
          <cell r="AI283">
            <v>0</v>
          </cell>
          <cell r="AM283">
            <v>0</v>
          </cell>
          <cell r="AN283">
            <v>0</v>
          </cell>
          <cell r="AO283">
            <v>0</v>
          </cell>
          <cell r="AP283">
            <v>500802</v>
          </cell>
          <cell r="AQ283">
            <v>0</v>
          </cell>
          <cell r="AR283">
            <v>10201</v>
          </cell>
          <cell r="AS283">
            <v>-627000</v>
          </cell>
          <cell r="AT283">
            <v>-614460</v>
          </cell>
          <cell r="AU283">
            <v>0</v>
          </cell>
          <cell r="AV283">
            <v>-12540</v>
          </cell>
          <cell r="AW283">
            <v>-1254000</v>
          </cell>
          <cell r="AX283">
            <v>-3360000</v>
          </cell>
          <cell r="AY283">
            <v>-3292800</v>
          </cell>
          <cell r="AZ283">
            <v>0</v>
          </cell>
          <cell r="BA283">
            <v>-67200</v>
          </cell>
          <cell r="BB283">
            <v>-6720000</v>
          </cell>
          <cell r="BC283">
            <v>71511328</v>
          </cell>
          <cell r="BD283">
            <v>-3066085</v>
          </cell>
          <cell r="BE283">
            <v>2016849</v>
          </cell>
          <cell r="BF283">
            <v>0</v>
          </cell>
          <cell r="BG283">
            <v>-4900656</v>
          </cell>
          <cell r="BH283">
            <v>-32822</v>
          </cell>
          <cell r="BI283">
            <v>-5271</v>
          </cell>
          <cell r="BJ283">
            <v>-124310</v>
          </cell>
          <cell r="BK283">
            <v>-1952600</v>
          </cell>
          <cell r="BL283">
            <v>-309557</v>
          </cell>
          <cell r="BM283">
            <v>-64992</v>
          </cell>
          <cell r="BN283">
            <v>-4972</v>
          </cell>
          <cell r="BO283">
            <v>-5271</v>
          </cell>
          <cell r="BP283">
            <v>0</v>
          </cell>
          <cell r="BQ283">
            <v>-10000</v>
          </cell>
          <cell r="BR283">
            <v>0</v>
          </cell>
          <cell r="BS283">
            <v>0</v>
          </cell>
          <cell r="BT283">
            <v>74053399</v>
          </cell>
          <cell r="BU283">
            <v>-768085</v>
          </cell>
          <cell r="BV283">
            <v>2684282</v>
          </cell>
          <cell r="BW283">
            <v>-2472655</v>
          </cell>
          <cell r="BX283">
            <v>3373727</v>
          </cell>
          <cell r="BY283">
            <v>3723398</v>
          </cell>
          <cell r="BZ283">
            <v>67909389</v>
          </cell>
          <cell r="CA283">
            <v>1686864</v>
          </cell>
          <cell r="CB283">
            <v>1653126</v>
          </cell>
          <cell r="CC283">
            <v>0</v>
          </cell>
          <cell r="CD283">
            <v>33737</v>
          </cell>
          <cell r="CE283">
            <v>1861699</v>
          </cell>
          <cell r="CF283">
            <v>1824465</v>
          </cell>
          <cell r="CG283">
            <v>0</v>
          </cell>
          <cell r="CH283">
            <v>37234</v>
          </cell>
        </row>
        <row r="284">
          <cell r="A284">
            <v>277</v>
          </cell>
          <cell r="B284" t="str">
            <v>Tendring</v>
          </cell>
          <cell r="C284" t="str">
            <v>E1542</v>
          </cell>
          <cell r="D284">
            <v>290060</v>
          </cell>
          <cell r="H284">
            <v>460247</v>
          </cell>
          <cell r="I284">
            <v>0</v>
          </cell>
          <cell r="J284">
            <v>290060</v>
          </cell>
          <cell r="K284">
            <v>0</v>
          </cell>
          <cell r="L284">
            <v>275365</v>
          </cell>
          <cell r="M284">
            <v>0</v>
          </cell>
          <cell r="N284">
            <v>0</v>
          </cell>
          <cell r="O284">
            <v>0</v>
          </cell>
          <cell r="P284">
            <v>0</v>
          </cell>
          <cell r="Q284">
            <v>0</v>
          </cell>
          <cell r="R284">
            <v>1147819</v>
          </cell>
          <cell r="S284">
            <v>258259</v>
          </cell>
          <cell r="T284">
            <v>28695</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M284">
            <v>0</v>
          </cell>
          <cell r="AN284">
            <v>0</v>
          </cell>
          <cell r="AO284">
            <v>0</v>
          </cell>
          <cell r="AP284">
            <v>151821</v>
          </cell>
          <cell r="AQ284">
            <v>33229</v>
          </cell>
          <cell r="AR284">
            <v>3692</v>
          </cell>
          <cell r="AS284">
            <v>-81691</v>
          </cell>
          <cell r="AT284">
            <v>-65354</v>
          </cell>
          <cell r="AU284">
            <v>-14706</v>
          </cell>
          <cell r="AV284">
            <v>-1634</v>
          </cell>
          <cell r="AW284">
            <v>-163385</v>
          </cell>
          <cell r="AX284">
            <v>-1221500</v>
          </cell>
          <cell r="AY284">
            <v>-977200</v>
          </cell>
          <cell r="AZ284">
            <v>-219870</v>
          </cell>
          <cell r="BA284">
            <v>-24430</v>
          </cell>
          <cell r="BB284">
            <v>-2443000</v>
          </cell>
          <cell r="BC284">
            <v>26317194</v>
          </cell>
          <cell r="BD284">
            <v>-4574323</v>
          </cell>
          <cell r="BE284">
            <v>662973</v>
          </cell>
          <cell r="BF284">
            <v>0</v>
          </cell>
          <cell r="BG284">
            <v>-2135863</v>
          </cell>
          <cell r="BH284">
            <v>-169934</v>
          </cell>
          <cell r="BI284">
            <v>-43241</v>
          </cell>
          <cell r="BJ284">
            <v>0</v>
          </cell>
          <cell r="BK284">
            <v>-588783</v>
          </cell>
          <cell r="BL284">
            <v>-32442</v>
          </cell>
          <cell r="BM284">
            <v>-207</v>
          </cell>
          <cell r="BN284">
            <v>0</v>
          </cell>
          <cell r="BO284">
            <v>-43240</v>
          </cell>
          <cell r="BP284">
            <v>0</v>
          </cell>
          <cell r="BQ284">
            <v>0</v>
          </cell>
          <cell r="BR284">
            <v>0</v>
          </cell>
          <cell r="BS284">
            <v>0</v>
          </cell>
          <cell r="BT284">
            <v>26585959</v>
          </cell>
          <cell r="BU284">
            <v>-162567</v>
          </cell>
          <cell r="BV284">
            <v>735900</v>
          </cell>
          <cell r="BW284">
            <v>-838474</v>
          </cell>
          <cell r="BX284">
            <v>26853</v>
          </cell>
          <cell r="BY284">
            <v>-374626</v>
          </cell>
          <cell r="BZ284">
            <v>24578912</v>
          </cell>
          <cell r="CA284">
            <v>13426</v>
          </cell>
          <cell r="CB284">
            <v>10741</v>
          </cell>
          <cell r="CC284">
            <v>2417</v>
          </cell>
          <cell r="CD284">
            <v>269</v>
          </cell>
          <cell r="CE284">
            <v>-187314</v>
          </cell>
          <cell r="CF284">
            <v>-149850</v>
          </cell>
          <cell r="CG284">
            <v>-33716</v>
          </cell>
          <cell r="CH284">
            <v>-3746</v>
          </cell>
        </row>
        <row r="285">
          <cell r="A285">
            <v>278</v>
          </cell>
          <cell r="B285" t="str">
            <v>Test Valley</v>
          </cell>
          <cell r="C285" t="str">
            <v>E1742</v>
          </cell>
          <cell r="D285">
            <v>188253</v>
          </cell>
          <cell r="H285">
            <v>195880</v>
          </cell>
          <cell r="I285">
            <v>0</v>
          </cell>
          <cell r="J285">
            <v>188253</v>
          </cell>
          <cell r="K285">
            <v>0</v>
          </cell>
          <cell r="L285">
            <v>359040</v>
          </cell>
          <cell r="M285">
            <v>0</v>
          </cell>
          <cell r="N285">
            <v>0</v>
          </cell>
          <cell r="O285">
            <v>0</v>
          </cell>
          <cell r="P285">
            <v>0</v>
          </cell>
          <cell r="Q285">
            <v>0</v>
          </cell>
          <cell r="R285">
            <v>672264</v>
          </cell>
          <cell r="S285">
            <v>151259</v>
          </cell>
          <cell r="T285">
            <v>16807</v>
          </cell>
          <cell r="U285">
            <v>8648</v>
          </cell>
          <cell r="V285">
            <v>1946</v>
          </cell>
          <cell r="W285">
            <v>216</v>
          </cell>
          <cell r="X285">
            <v>93497</v>
          </cell>
          <cell r="Y285">
            <v>21037</v>
          </cell>
          <cell r="Z285">
            <v>2337</v>
          </cell>
          <cell r="AA285">
            <v>471</v>
          </cell>
          <cell r="AB285">
            <v>106</v>
          </cell>
          <cell r="AC285">
            <v>12</v>
          </cell>
          <cell r="AD285">
            <v>0</v>
          </cell>
          <cell r="AE285">
            <v>0</v>
          </cell>
          <cell r="AF285">
            <v>0</v>
          </cell>
          <cell r="AG285">
            <v>0</v>
          </cell>
          <cell r="AH285">
            <v>0</v>
          </cell>
          <cell r="AI285">
            <v>0</v>
          </cell>
          <cell r="AM285">
            <v>0</v>
          </cell>
          <cell r="AN285">
            <v>0</v>
          </cell>
          <cell r="AO285">
            <v>0</v>
          </cell>
          <cell r="AP285">
            <v>313584</v>
          </cell>
          <cell r="AQ285">
            <v>69343</v>
          </cell>
          <cell r="AR285">
            <v>7705</v>
          </cell>
          <cell r="AS285">
            <v>-497449</v>
          </cell>
          <cell r="AT285">
            <v>-397959</v>
          </cell>
          <cell r="AU285">
            <v>-89540</v>
          </cell>
          <cell r="AV285">
            <v>-9948</v>
          </cell>
          <cell r="AW285">
            <v>-994896</v>
          </cell>
          <cell r="AX285">
            <v>-2156722</v>
          </cell>
          <cell r="AY285">
            <v>-1725378</v>
          </cell>
          <cell r="AZ285">
            <v>-388211</v>
          </cell>
          <cell r="BA285">
            <v>-43135</v>
          </cell>
          <cell r="BB285">
            <v>-4313446</v>
          </cell>
          <cell r="BC285">
            <v>48173778</v>
          </cell>
          <cell r="BD285">
            <v>-2647039</v>
          </cell>
          <cell r="BE285">
            <v>1353581</v>
          </cell>
          <cell r="BF285">
            <v>0</v>
          </cell>
          <cell r="BG285">
            <v>-2823358</v>
          </cell>
          <cell r="BH285">
            <v>-67986</v>
          </cell>
          <cell r="BI285">
            <v>-30583</v>
          </cell>
          <cell r="BJ285">
            <v>-15372</v>
          </cell>
          <cell r="BK285">
            <v>-1103687</v>
          </cell>
          <cell r="BL285">
            <v>-179774</v>
          </cell>
          <cell r="BM285">
            <v>-93610</v>
          </cell>
          <cell r="BN285">
            <v>-16997</v>
          </cell>
          <cell r="BO285">
            <v>-55854</v>
          </cell>
          <cell r="BP285">
            <v>-30583</v>
          </cell>
          <cell r="BQ285">
            <v>0</v>
          </cell>
          <cell r="BR285">
            <v>0</v>
          </cell>
          <cell r="BS285">
            <v>0</v>
          </cell>
          <cell r="BT285">
            <v>51979451</v>
          </cell>
          <cell r="BU285">
            <v>-728275</v>
          </cell>
          <cell r="BV285">
            <v>2337465</v>
          </cell>
          <cell r="BW285">
            <v>-660126</v>
          </cell>
          <cell r="BX285">
            <v>13334</v>
          </cell>
          <cell r="BY285">
            <v>1586089</v>
          </cell>
          <cell r="BZ285">
            <v>51291761</v>
          </cell>
          <cell r="CA285">
            <v>6667</v>
          </cell>
          <cell r="CB285">
            <v>5333</v>
          </cell>
          <cell r="CC285">
            <v>1200</v>
          </cell>
          <cell r="CD285">
            <v>134</v>
          </cell>
          <cell r="CE285">
            <v>793044</v>
          </cell>
          <cell r="CF285">
            <v>634436</v>
          </cell>
          <cell r="CG285">
            <v>142748</v>
          </cell>
          <cell r="CH285">
            <v>15861</v>
          </cell>
        </row>
        <row r="286">
          <cell r="A286">
            <v>279</v>
          </cell>
          <cell r="B286" t="str">
            <v>Tewkesbury</v>
          </cell>
          <cell r="C286" t="str">
            <v>E1636</v>
          </cell>
          <cell r="D286">
            <v>123791</v>
          </cell>
          <cell r="H286">
            <v>1118347</v>
          </cell>
          <cell r="I286">
            <v>0</v>
          </cell>
          <cell r="J286">
            <v>123791</v>
          </cell>
          <cell r="K286">
            <v>0</v>
          </cell>
          <cell r="L286">
            <v>0</v>
          </cell>
          <cell r="M286">
            <v>0</v>
          </cell>
          <cell r="N286">
            <v>0</v>
          </cell>
          <cell r="O286">
            <v>0</v>
          </cell>
          <cell r="P286">
            <v>0</v>
          </cell>
          <cell r="Q286">
            <v>0</v>
          </cell>
          <cell r="R286">
            <v>497384</v>
          </cell>
          <cell r="S286">
            <v>124346</v>
          </cell>
          <cell r="T286">
            <v>0</v>
          </cell>
          <cell r="U286">
            <v>0</v>
          </cell>
          <cell r="V286">
            <v>0</v>
          </cell>
          <cell r="W286">
            <v>0</v>
          </cell>
          <cell r="X286">
            <v>0</v>
          </cell>
          <cell r="Y286">
            <v>0</v>
          </cell>
          <cell r="Z286">
            <v>0</v>
          </cell>
          <cell r="AA286">
            <v>1580</v>
          </cell>
          <cell r="AB286">
            <v>395</v>
          </cell>
          <cell r="AC286">
            <v>0</v>
          </cell>
          <cell r="AD286">
            <v>0</v>
          </cell>
          <cell r="AE286">
            <v>0</v>
          </cell>
          <cell r="AF286">
            <v>0</v>
          </cell>
          <cell r="AG286">
            <v>0</v>
          </cell>
          <cell r="AH286">
            <v>0</v>
          </cell>
          <cell r="AI286">
            <v>0</v>
          </cell>
          <cell r="AM286">
            <v>0</v>
          </cell>
          <cell r="AN286">
            <v>0</v>
          </cell>
          <cell r="AO286">
            <v>0</v>
          </cell>
          <cell r="AP286">
            <v>210562</v>
          </cell>
          <cell r="AQ286">
            <v>52641</v>
          </cell>
          <cell r="AR286">
            <v>0</v>
          </cell>
          <cell r="AS286">
            <v>-61431</v>
          </cell>
          <cell r="AT286">
            <v>-49144</v>
          </cell>
          <cell r="AU286">
            <v>-12286</v>
          </cell>
          <cell r="AV286">
            <v>0</v>
          </cell>
          <cell r="AW286">
            <v>-122861</v>
          </cell>
          <cell r="AX286">
            <v>-4097412</v>
          </cell>
          <cell r="AY286">
            <v>-3277930</v>
          </cell>
          <cell r="AZ286">
            <v>-819483</v>
          </cell>
          <cell r="BA286">
            <v>0</v>
          </cell>
          <cell r="BB286">
            <v>-8194825</v>
          </cell>
          <cell r="BC286">
            <v>31850178</v>
          </cell>
          <cell r="BD286">
            <v>-1895957</v>
          </cell>
          <cell r="BE286">
            <v>926846</v>
          </cell>
          <cell r="BF286">
            <v>0</v>
          </cell>
          <cell r="BG286">
            <v>-1248712</v>
          </cell>
          <cell r="BH286">
            <v>-33256</v>
          </cell>
          <cell r="BI286">
            <v>-10168</v>
          </cell>
          <cell r="BJ286">
            <v>-32156</v>
          </cell>
          <cell r="BK286">
            <v>-898428</v>
          </cell>
          <cell r="BL286">
            <v>-39331</v>
          </cell>
          <cell r="BM286">
            <v>-27219</v>
          </cell>
          <cell r="BN286">
            <v>-378</v>
          </cell>
          <cell r="BO286">
            <v>-7351</v>
          </cell>
          <cell r="BP286">
            <v>0</v>
          </cell>
          <cell r="BQ286">
            <v>0</v>
          </cell>
          <cell r="BR286">
            <v>0</v>
          </cell>
          <cell r="BS286">
            <v>0</v>
          </cell>
          <cell r="BT286">
            <v>35771794</v>
          </cell>
          <cell r="BU286">
            <v>-73757</v>
          </cell>
          <cell r="BV286">
            <v>132137</v>
          </cell>
          <cell r="BW286">
            <v>-106187</v>
          </cell>
          <cell r="BX286">
            <v>-3866464</v>
          </cell>
          <cell r="BY286">
            <v>-2075752</v>
          </cell>
          <cell r="BZ286">
            <v>35043566</v>
          </cell>
          <cell r="CA286">
            <v>-1933232</v>
          </cell>
          <cell r="CB286">
            <v>-1546586</v>
          </cell>
          <cell r="CC286">
            <v>-386646</v>
          </cell>
          <cell r="CD286">
            <v>0</v>
          </cell>
          <cell r="CE286">
            <v>-1037876</v>
          </cell>
          <cell r="CF286">
            <v>-830301</v>
          </cell>
          <cell r="CG286">
            <v>-207575</v>
          </cell>
          <cell r="CH286">
            <v>0</v>
          </cell>
        </row>
        <row r="287">
          <cell r="A287">
            <v>280</v>
          </cell>
          <cell r="B287" t="str">
            <v>Thanet</v>
          </cell>
          <cell r="C287" t="str">
            <v>E2242</v>
          </cell>
          <cell r="D287">
            <v>191748</v>
          </cell>
          <cell r="H287">
            <v>-340296</v>
          </cell>
          <cell r="I287">
            <v>0</v>
          </cell>
          <cell r="J287">
            <v>191748</v>
          </cell>
          <cell r="K287">
            <v>0</v>
          </cell>
          <cell r="L287">
            <v>0</v>
          </cell>
          <cell r="M287">
            <v>0</v>
          </cell>
          <cell r="N287">
            <v>0</v>
          </cell>
          <cell r="O287">
            <v>0</v>
          </cell>
          <cell r="P287">
            <v>0</v>
          </cell>
          <cell r="Q287">
            <v>0</v>
          </cell>
          <cell r="R287">
            <v>982862</v>
          </cell>
          <cell r="S287">
            <v>221144</v>
          </cell>
          <cell r="T287">
            <v>24572</v>
          </cell>
          <cell r="U287">
            <v>526</v>
          </cell>
          <cell r="V287">
            <v>118</v>
          </cell>
          <cell r="W287">
            <v>13</v>
          </cell>
          <cell r="X287">
            <v>480</v>
          </cell>
          <cell r="Y287">
            <v>108</v>
          </cell>
          <cell r="Z287">
            <v>12</v>
          </cell>
          <cell r="AA287">
            <v>762</v>
          </cell>
          <cell r="AB287">
            <v>171</v>
          </cell>
          <cell r="AC287">
            <v>19</v>
          </cell>
          <cell r="AD287">
            <v>0</v>
          </cell>
          <cell r="AE287">
            <v>0</v>
          </cell>
          <cell r="AF287">
            <v>0</v>
          </cell>
          <cell r="AG287">
            <v>0</v>
          </cell>
          <cell r="AH287">
            <v>0</v>
          </cell>
          <cell r="AI287">
            <v>0</v>
          </cell>
          <cell r="AM287">
            <v>0</v>
          </cell>
          <cell r="AN287">
            <v>0</v>
          </cell>
          <cell r="AO287">
            <v>0</v>
          </cell>
          <cell r="AP287">
            <v>187898</v>
          </cell>
          <cell r="AQ287">
            <v>42277</v>
          </cell>
          <cell r="AR287">
            <v>4697</v>
          </cell>
          <cell r="AS287">
            <v>-482754</v>
          </cell>
          <cell r="AT287">
            <v>-386201</v>
          </cell>
          <cell r="AU287">
            <v>-86896</v>
          </cell>
          <cell r="AV287">
            <v>-9655</v>
          </cell>
          <cell r="AW287">
            <v>-965506</v>
          </cell>
          <cell r="AX287">
            <v>-2631650</v>
          </cell>
          <cell r="AY287">
            <v>-2105320</v>
          </cell>
          <cell r="AZ287">
            <v>-473698</v>
          </cell>
          <cell r="BA287">
            <v>-52633</v>
          </cell>
          <cell r="BB287">
            <v>-5263301</v>
          </cell>
          <cell r="BC287">
            <v>33674766</v>
          </cell>
          <cell r="BD287">
            <v>-4153604</v>
          </cell>
          <cell r="BE287">
            <v>934524</v>
          </cell>
          <cell r="BF287">
            <v>0</v>
          </cell>
          <cell r="BG287">
            <v>-3848991</v>
          </cell>
          <cell r="BH287">
            <v>-39794</v>
          </cell>
          <cell r="BI287">
            <v>-5107</v>
          </cell>
          <cell r="BJ287">
            <v>-2745</v>
          </cell>
          <cell r="BK287">
            <v>-1445183</v>
          </cell>
          <cell r="BL287">
            <v>-151002</v>
          </cell>
          <cell r="BM287">
            <v>-45620</v>
          </cell>
          <cell r="BN287">
            <v>0</v>
          </cell>
          <cell r="BO287">
            <v>-758</v>
          </cell>
          <cell r="BP287">
            <v>0</v>
          </cell>
          <cell r="BQ287">
            <v>0</v>
          </cell>
          <cell r="BR287">
            <v>0</v>
          </cell>
          <cell r="BS287">
            <v>0</v>
          </cell>
          <cell r="BT287">
            <v>33275112</v>
          </cell>
          <cell r="BU287">
            <v>-290509</v>
          </cell>
          <cell r="BV287">
            <v>1804806</v>
          </cell>
          <cell r="BW287">
            <v>-1595293</v>
          </cell>
          <cell r="BX287">
            <v>3421105</v>
          </cell>
          <cell r="BY287">
            <v>3118092</v>
          </cell>
          <cell r="BZ287">
            <v>31271603</v>
          </cell>
          <cell r="CA287">
            <v>1710552</v>
          </cell>
          <cell r="CB287">
            <v>1368441</v>
          </cell>
          <cell r="CC287">
            <v>307900</v>
          </cell>
          <cell r="CD287">
            <v>34212</v>
          </cell>
          <cell r="CE287">
            <v>1559046</v>
          </cell>
          <cell r="CF287">
            <v>1247237</v>
          </cell>
          <cell r="CG287">
            <v>280628</v>
          </cell>
          <cell r="CH287">
            <v>31181</v>
          </cell>
        </row>
        <row r="288">
          <cell r="A288">
            <v>281</v>
          </cell>
          <cell r="B288" t="str">
            <v>Three Rivers</v>
          </cell>
          <cell r="C288" t="str">
            <v>E1938</v>
          </cell>
          <cell r="D288">
            <v>92778</v>
          </cell>
          <cell r="H288">
            <v>0</v>
          </cell>
          <cell r="I288">
            <v>0</v>
          </cell>
          <cell r="J288">
            <v>92778</v>
          </cell>
          <cell r="K288">
            <v>0</v>
          </cell>
          <cell r="L288">
            <v>0</v>
          </cell>
          <cell r="M288">
            <v>0</v>
          </cell>
          <cell r="N288">
            <v>0</v>
          </cell>
          <cell r="O288">
            <v>0</v>
          </cell>
          <cell r="P288">
            <v>0</v>
          </cell>
          <cell r="Q288">
            <v>0</v>
          </cell>
          <cell r="R288">
            <v>324881</v>
          </cell>
          <cell r="S288">
            <v>81220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M288">
            <v>0</v>
          </cell>
          <cell r="AN288">
            <v>0</v>
          </cell>
          <cell r="AO288">
            <v>0</v>
          </cell>
          <cell r="AP288">
            <v>154818</v>
          </cell>
          <cell r="AQ288">
            <v>38705</v>
          </cell>
          <cell r="AR288">
            <v>0</v>
          </cell>
          <cell r="AS288">
            <v>-338766</v>
          </cell>
          <cell r="AT288">
            <v>-271011</v>
          </cell>
          <cell r="AU288">
            <v>-67753</v>
          </cell>
          <cell r="AV288">
            <v>0</v>
          </cell>
          <cell r="AW288">
            <v>-677530</v>
          </cell>
          <cell r="AX288">
            <v>-1112593</v>
          </cell>
          <cell r="AY288">
            <v>-890072</v>
          </cell>
          <cell r="AZ288">
            <v>-222519</v>
          </cell>
          <cell r="BA288">
            <v>0</v>
          </cell>
          <cell r="BB288">
            <v>-2225184</v>
          </cell>
          <cell r="BC288">
            <v>30373309</v>
          </cell>
          <cell r="BD288">
            <v>-988486</v>
          </cell>
          <cell r="BE288">
            <v>759964</v>
          </cell>
          <cell r="BF288">
            <v>0</v>
          </cell>
          <cell r="BG288">
            <v>-2353617</v>
          </cell>
          <cell r="BH288">
            <v>-28464</v>
          </cell>
          <cell r="BI288">
            <v>-1864</v>
          </cell>
          <cell r="BJ288">
            <v>-115569</v>
          </cell>
          <cell r="BK288">
            <v>-549136</v>
          </cell>
          <cell r="BL288">
            <v>-10574</v>
          </cell>
          <cell r="BM288">
            <v>-124057</v>
          </cell>
          <cell r="BN288">
            <v>0</v>
          </cell>
          <cell r="BO288">
            <v>-1864</v>
          </cell>
          <cell r="BP288">
            <v>0</v>
          </cell>
          <cell r="BQ288">
            <v>0</v>
          </cell>
          <cell r="BR288">
            <v>0</v>
          </cell>
          <cell r="BS288">
            <v>0</v>
          </cell>
          <cell r="BT288">
            <v>27866457</v>
          </cell>
          <cell r="BU288">
            <v>-237719</v>
          </cell>
          <cell r="BV288">
            <v>703867</v>
          </cell>
          <cell r="BW288">
            <v>-839429</v>
          </cell>
          <cell r="BX288">
            <v>-9863538</v>
          </cell>
          <cell r="BY288">
            <v>-12976506</v>
          </cell>
          <cell r="BZ288">
            <v>25766155</v>
          </cell>
          <cell r="CA288">
            <v>-4931769</v>
          </cell>
          <cell r="CB288">
            <v>-3945415</v>
          </cell>
          <cell r="CC288">
            <v>-986354</v>
          </cell>
          <cell r="CD288">
            <v>0</v>
          </cell>
          <cell r="CE288">
            <v>-6488253</v>
          </cell>
          <cell r="CF288">
            <v>-5190602</v>
          </cell>
          <cell r="CG288">
            <v>-1297651</v>
          </cell>
          <cell r="CH288">
            <v>0</v>
          </cell>
        </row>
        <row r="289">
          <cell r="A289">
            <v>282</v>
          </cell>
          <cell r="B289" t="str">
            <v>Thurrock</v>
          </cell>
          <cell r="C289" t="str">
            <v>E1502</v>
          </cell>
          <cell r="D289">
            <v>229558</v>
          </cell>
          <cell r="H289">
            <v>-2403089</v>
          </cell>
          <cell r="I289">
            <v>0</v>
          </cell>
          <cell r="J289">
            <v>229558</v>
          </cell>
          <cell r="K289">
            <v>0</v>
          </cell>
          <cell r="L289">
            <v>0</v>
          </cell>
          <cell r="M289">
            <v>0</v>
          </cell>
          <cell r="N289">
            <v>0</v>
          </cell>
          <cell r="O289">
            <v>0</v>
          </cell>
          <cell r="P289">
            <v>0</v>
          </cell>
          <cell r="Q289">
            <v>0</v>
          </cell>
          <cell r="R289">
            <v>779715</v>
          </cell>
          <cell r="S289">
            <v>0</v>
          </cell>
          <cell r="T289">
            <v>15913</v>
          </cell>
          <cell r="U289">
            <v>0</v>
          </cell>
          <cell r="V289">
            <v>0</v>
          </cell>
          <cell r="W289">
            <v>0</v>
          </cell>
          <cell r="X289">
            <v>0</v>
          </cell>
          <cell r="Y289">
            <v>0</v>
          </cell>
          <cell r="Z289">
            <v>0</v>
          </cell>
          <cell r="AA289">
            <v>52313</v>
          </cell>
          <cell r="AB289">
            <v>0</v>
          </cell>
          <cell r="AC289">
            <v>1068</v>
          </cell>
          <cell r="AD289">
            <v>0</v>
          </cell>
          <cell r="AE289">
            <v>0</v>
          </cell>
          <cell r="AF289">
            <v>0</v>
          </cell>
          <cell r="AG289">
            <v>0</v>
          </cell>
          <cell r="AH289">
            <v>0</v>
          </cell>
          <cell r="AI289">
            <v>0</v>
          </cell>
          <cell r="AM289">
            <v>0</v>
          </cell>
          <cell r="AN289">
            <v>0</v>
          </cell>
          <cell r="AO289">
            <v>0</v>
          </cell>
          <cell r="AP289">
            <v>811728</v>
          </cell>
          <cell r="AQ289">
            <v>0</v>
          </cell>
          <cell r="AR289">
            <v>16566</v>
          </cell>
          <cell r="AS289">
            <v>41831</v>
          </cell>
          <cell r="AT289">
            <v>40995</v>
          </cell>
          <cell r="AU289">
            <v>0</v>
          </cell>
          <cell r="AV289">
            <v>837</v>
          </cell>
          <cell r="AW289">
            <v>83663</v>
          </cell>
          <cell r="AX289">
            <v>-6132673</v>
          </cell>
          <cell r="AY289">
            <v>-6010021</v>
          </cell>
          <cell r="AZ289">
            <v>0</v>
          </cell>
          <cell r="BA289">
            <v>-122653</v>
          </cell>
          <cell r="BB289">
            <v>-12265347</v>
          </cell>
          <cell r="BC289">
            <v>110404107</v>
          </cell>
          <cell r="BD289">
            <v>-2434680</v>
          </cell>
          <cell r="BE289">
            <v>3090465</v>
          </cell>
          <cell r="BF289">
            <v>0</v>
          </cell>
          <cell r="BG289">
            <v>-4026219</v>
          </cell>
          <cell r="BH289">
            <v>-34939</v>
          </cell>
          <cell r="BI289">
            <v>0</v>
          </cell>
          <cell r="BJ289">
            <v>-3556</v>
          </cell>
          <cell r="BK289">
            <v>-5294577</v>
          </cell>
          <cell r="BL289">
            <v>-46161</v>
          </cell>
          <cell r="BM289">
            <v>-32700</v>
          </cell>
          <cell r="BN289">
            <v>-941</v>
          </cell>
          <cell r="BO289">
            <v>0</v>
          </cell>
          <cell r="BP289">
            <v>0</v>
          </cell>
          <cell r="BQ289">
            <v>0</v>
          </cell>
          <cell r="BR289">
            <v>0</v>
          </cell>
          <cell r="BS289">
            <v>0</v>
          </cell>
          <cell r="BT289">
            <v>112181176</v>
          </cell>
          <cell r="BU289">
            <v>0</v>
          </cell>
          <cell r="BV289">
            <v>599825</v>
          </cell>
          <cell r="BW289">
            <v>-270617</v>
          </cell>
          <cell r="BX289">
            <v>422656</v>
          </cell>
          <cell r="BY289">
            <v>-3617709</v>
          </cell>
          <cell r="BZ289">
            <v>110281361</v>
          </cell>
          <cell r="CA289">
            <v>211328</v>
          </cell>
          <cell r="CB289">
            <v>207101</v>
          </cell>
          <cell r="CC289">
            <v>0</v>
          </cell>
          <cell r="CD289">
            <v>4227</v>
          </cell>
          <cell r="CE289">
            <v>-1808855</v>
          </cell>
          <cell r="CF289">
            <v>-1772677</v>
          </cell>
          <cell r="CG289">
            <v>0</v>
          </cell>
          <cell r="CH289">
            <v>-36177</v>
          </cell>
        </row>
        <row r="290">
          <cell r="A290">
            <v>283</v>
          </cell>
          <cell r="B290" t="str">
            <v>Tonbridge and Malling</v>
          </cell>
          <cell r="C290" t="str">
            <v>E2243</v>
          </cell>
          <cell r="D290">
            <v>162575</v>
          </cell>
          <cell r="H290">
            <v>52258</v>
          </cell>
          <cell r="I290">
            <v>0</v>
          </cell>
          <cell r="J290">
            <v>162575</v>
          </cell>
          <cell r="K290">
            <v>0</v>
          </cell>
          <cell r="L290">
            <v>0</v>
          </cell>
          <cell r="M290">
            <v>0</v>
          </cell>
          <cell r="N290">
            <v>0</v>
          </cell>
          <cell r="O290">
            <v>0</v>
          </cell>
          <cell r="P290">
            <v>0</v>
          </cell>
          <cell r="Q290">
            <v>0</v>
          </cell>
          <cell r="R290">
            <v>521837</v>
          </cell>
          <cell r="S290">
            <v>117413</v>
          </cell>
          <cell r="T290">
            <v>13046</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M290">
            <v>0</v>
          </cell>
          <cell r="AN290">
            <v>0</v>
          </cell>
          <cell r="AO290">
            <v>0</v>
          </cell>
          <cell r="AP290">
            <v>320682</v>
          </cell>
          <cell r="AQ290">
            <v>72153</v>
          </cell>
          <cell r="AR290">
            <v>8017</v>
          </cell>
          <cell r="AS290">
            <v>-180000</v>
          </cell>
          <cell r="AT290">
            <v>-144000</v>
          </cell>
          <cell r="AU290">
            <v>-32400</v>
          </cell>
          <cell r="AV290">
            <v>-3600</v>
          </cell>
          <cell r="AW290">
            <v>-360000</v>
          </cell>
          <cell r="AX290">
            <v>-3750000</v>
          </cell>
          <cell r="AY290">
            <v>-3000000</v>
          </cell>
          <cell r="AZ290">
            <v>-675000</v>
          </cell>
          <cell r="BA290">
            <v>-75000</v>
          </cell>
          <cell r="BB290">
            <v>-7500000</v>
          </cell>
          <cell r="BC290">
            <v>53230926</v>
          </cell>
          <cell r="BD290">
            <v>-1844945</v>
          </cell>
          <cell r="BE290">
            <v>1573388</v>
          </cell>
          <cell r="BF290">
            <v>0</v>
          </cell>
          <cell r="BG290">
            <v>-4769582</v>
          </cell>
          <cell r="BH290">
            <v>-70859</v>
          </cell>
          <cell r="BI290">
            <v>-7447</v>
          </cell>
          <cell r="BJ290">
            <v>-84880</v>
          </cell>
          <cell r="BK290">
            <v>-3245623</v>
          </cell>
          <cell r="BL290">
            <v>-135113</v>
          </cell>
          <cell r="BM290">
            <v>-47477</v>
          </cell>
          <cell r="BN290">
            <v>-17408</v>
          </cell>
          <cell r="BO290">
            <v>-1558</v>
          </cell>
          <cell r="BP290">
            <v>-12899</v>
          </cell>
          <cell r="BQ290">
            <v>0</v>
          </cell>
          <cell r="BR290">
            <v>0</v>
          </cell>
          <cell r="BS290">
            <v>0</v>
          </cell>
          <cell r="BT290">
            <v>53751367</v>
          </cell>
          <cell r="BU290">
            <v>-230000</v>
          </cell>
          <cell r="BV290">
            <v>1350815</v>
          </cell>
          <cell r="BW290">
            <v>-2078022</v>
          </cell>
          <cell r="BX290">
            <v>-649646</v>
          </cell>
          <cell r="BY290">
            <v>-29785</v>
          </cell>
          <cell r="BZ290">
            <v>53370595</v>
          </cell>
          <cell r="CA290">
            <v>-324822</v>
          </cell>
          <cell r="CB290">
            <v>-259859</v>
          </cell>
          <cell r="CC290">
            <v>-58468</v>
          </cell>
          <cell r="CD290">
            <v>-6497</v>
          </cell>
          <cell r="CE290">
            <v>-14892</v>
          </cell>
          <cell r="CF290">
            <v>-11914</v>
          </cell>
          <cell r="CG290">
            <v>-2681</v>
          </cell>
          <cell r="CH290">
            <v>-298</v>
          </cell>
        </row>
        <row r="291">
          <cell r="A291">
            <v>284</v>
          </cell>
          <cell r="B291" t="str">
            <v>Torbay</v>
          </cell>
          <cell r="C291" t="str">
            <v>E1102</v>
          </cell>
          <cell r="D291">
            <v>195813</v>
          </cell>
          <cell r="H291">
            <v>-3609793.3899999997</v>
          </cell>
          <cell r="I291">
            <v>0</v>
          </cell>
          <cell r="J291">
            <v>195813</v>
          </cell>
          <cell r="K291">
            <v>0</v>
          </cell>
          <cell r="L291">
            <v>0</v>
          </cell>
          <cell r="M291">
            <v>0</v>
          </cell>
          <cell r="N291">
            <v>0</v>
          </cell>
          <cell r="O291">
            <v>0</v>
          </cell>
          <cell r="P291">
            <v>0</v>
          </cell>
          <cell r="Q291">
            <v>0</v>
          </cell>
          <cell r="R291">
            <v>1392580</v>
          </cell>
          <cell r="S291">
            <v>0</v>
          </cell>
          <cell r="T291">
            <v>28420</v>
          </cell>
          <cell r="U291">
            <v>6363</v>
          </cell>
          <cell r="V291">
            <v>0</v>
          </cell>
          <cell r="W291">
            <v>130</v>
          </cell>
          <cell r="X291">
            <v>0</v>
          </cell>
          <cell r="Y291">
            <v>0</v>
          </cell>
          <cell r="Z291">
            <v>0</v>
          </cell>
          <cell r="AA291">
            <v>5069</v>
          </cell>
          <cell r="AB291">
            <v>0</v>
          </cell>
          <cell r="AC291">
            <v>103</v>
          </cell>
          <cell r="AD291">
            <v>0</v>
          </cell>
          <cell r="AE291">
            <v>0</v>
          </cell>
          <cell r="AF291">
            <v>0</v>
          </cell>
          <cell r="AG291">
            <v>0</v>
          </cell>
          <cell r="AH291">
            <v>0</v>
          </cell>
          <cell r="AI291">
            <v>0</v>
          </cell>
          <cell r="AM291">
            <v>0</v>
          </cell>
          <cell r="AN291">
            <v>0</v>
          </cell>
          <cell r="AO291">
            <v>0</v>
          </cell>
          <cell r="AP291">
            <v>224188</v>
          </cell>
          <cell r="AQ291">
            <v>0</v>
          </cell>
          <cell r="AR291">
            <v>4575</v>
          </cell>
          <cell r="AS291">
            <v>-431057</v>
          </cell>
          <cell r="AT291">
            <v>-422435</v>
          </cell>
          <cell r="AU291">
            <v>0</v>
          </cell>
          <cell r="AV291">
            <v>-8622</v>
          </cell>
          <cell r="AW291">
            <v>-862114</v>
          </cell>
          <cell r="AX291">
            <v>-1515396</v>
          </cell>
          <cell r="AY291">
            <v>-1485088</v>
          </cell>
          <cell r="AZ291">
            <v>0</v>
          </cell>
          <cell r="BA291">
            <v>-30308</v>
          </cell>
          <cell r="BB291">
            <v>-3030792</v>
          </cell>
          <cell r="BC291">
            <v>37457069</v>
          </cell>
          <cell r="BD291">
            <v>-4386286</v>
          </cell>
          <cell r="BE291">
            <v>1005147</v>
          </cell>
          <cell r="BF291">
            <v>0</v>
          </cell>
          <cell r="BG291">
            <v>-3656907</v>
          </cell>
          <cell r="BH291">
            <v>-137454</v>
          </cell>
          <cell r="BI291">
            <v>0</v>
          </cell>
          <cell r="BJ291">
            <v>-9569</v>
          </cell>
          <cell r="BK291">
            <v>-1232178</v>
          </cell>
          <cell r="BL291">
            <v>-67209</v>
          </cell>
          <cell r="BM291">
            <v>-294024</v>
          </cell>
          <cell r="BN291">
            <v>-4968</v>
          </cell>
          <cell r="BO291">
            <v>0</v>
          </cell>
          <cell r="BP291">
            <v>0</v>
          </cell>
          <cell r="BQ291">
            <v>0</v>
          </cell>
          <cell r="BR291">
            <v>0</v>
          </cell>
          <cell r="BS291">
            <v>0</v>
          </cell>
          <cell r="BT291">
            <v>37377885</v>
          </cell>
          <cell r="BU291">
            <v>-603748</v>
          </cell>
          <cell r="BV291">
            <v>1878475</v>
          </cell>
          <cell r="BW291">
            <v>-720079</v>
          </cell>
          <cell r="BX291">
            <v>-493639</v>
          </cell>
          <cell r="BY291">
            <v>-103564</v>
          </cell>
          <cell r="BZ291">
            <v>30458166</v>
          </cell>
          <cell r="CA291">
            <v>-246820</v>
          </cell>
          <cell r="CB291">
            <v>-241883</v>
          </cell>
          <cell r="CC291">
            <v>0</v>
          </cell>
          <cell r="CD291">
            <v>-4936</v>
          </cell>
          <cell r="CE291">
            <v>-51782</v>
          </cell>
          <cell r="CF291">
            <v>-50746</v>
          </cell>
          <cell r="CG291">
            <v>0</v>
          </cell>
          <cell r="CH291">
            <v>-1036</v>
          </cell>
        </row>
        <row r="292">
          <cell r="A292">
            <v>285</v>
          </cell>
          <cell r="B292" t="str">
            <v>Torridge</v>
          </cell>
          <cell r="C292" t="str">
            <v>E1139</v>
          </cell>
          <cell r="D292">
            <v>132592</v>
          </cell>
          <cell r="H292">
            <v>648424</v>
          </cell>
          <cell r="I292">
            <v>0</v>
          </cell>
          <cell r="J292">
            <v>132592</v>
          </cell>
          <cell r="K292">
            <v>0</v>
          </cell>
          <cell r="L292">
            <v>746789</v>
          </cell>
          <cell r="M292">
            <v>0</v>
          </cell>
          <cell r="N292">
            <v>0</v>
          </cell>
          <cell r="O292">
            <v>0</v>
          </cell>
          <cell r="P292">
            <v>0</v>
          </cell>
          <cell r="Q292">
            <v>0</v>
          </cell>
          <cell r="R292">
            <v>729512</v>
          </cell>
          <cell r="S292">
            <v>164140</v>
          </cell>
          <cell r="T292">
            <v>18238</v>
          </cell>
          <cell r="U292">
            <v>271</v>
          </cell>
          <cell r="V292">
            <v>61</v>
          </cell>
          <cell r="W292">
            <v>7</v>
          </cell>
          <cell r="X292">
            <v>0</v>
          </cell>
          <cell r="Y292">
            <v>0</v>
          </cell>
          <cell r="Z292">
            <v>0</v>
          </cell>
          <cell r="AA292">
            <v>0</v>
          </cell>
          <cell r="AB292">
            <v>0</v>
          </cell>
          <cell r="AC292">
            <v>0</v>
          </cell>
          <cell r="AD292">
            <v>0</v>
          </cell>
          <cell r="AE292">
            <v>0</v>
          </cell>
          <cell r="AF292">
            <v>0</v>
          </cell>
          <cell r="AG292">
            <v>0</v>
          </cell>
          <cell r="AH292">
            <v>0</v>
          </cell>
          <cell r="AI292">
            <v>0</v>
          </cell>
          <cell r="AM292">
            <v>0</v>
          </cell>
          <cell r="AN292">
            <v>0</v>
          </cell>
          <cell r="AO292">
            <v>0</v>
          </cell>
          <cell r="AP292">
            <v>74565</v>
          </cell>
          <cell r="AQ292">
            <v>14253</v>
          </cell>
          <cell r="AR292">
            <v>1584</v>
          </cell>
          <cell r="AS292">
            <v>-46487</v>
          </cell>
          <cell r="AT292">
            <v>-37189</v>
          </cell>
          <cell r="AU292">
            <v>-8368</v>
          </cell>
          <cell r="AV292">
            <v>-930</v>
          </cell>
          <cell r="AW292">
            <v>-92974</v>
          </cell>
          <cell r="AX292">
            <v>-645782</v>
          </cell>
          <cell r="AY292">
            <v>-516623</v>
          </cell>
          <cell r="AZ292">
            <v>-116241</v>
          </cell>
          <cell r="BA292">
            <v>-12916</v>
          </cell>
          <cell r="BB292">
            <v>-1291562</v>
          </cell>
          <cell r="BC292">
            <v>10098580</v>
          </cell>
          <cell r="BD292">
            <v>-3083690</v>
          </cell>
          <cell r="BE292">
            <v>273801</v>
          </cell>
          <cell r="BF292">
            <v>0</v>
          </cell>
          <cell r="BG292">
            <v>-1311683</v>
          </cell>
          <cell r="BH292">
            <v>-30662</v>
          </cell>
          <cell r="BI292">
            <v>-57724</v>
          </cell>
          <cell r="BJ292">
            <v>0</v>
          </cell>
          <cell r="BK292">
            <v>-334507</v>
          </cell>
          <cell r="BL292">
            <v>-85024</v>
          </cell>
          <cell r="BM292">
            <v>-20124</v>
          </cell>
          <cell r="BN292">
            <v>-3508</v>
          </cell>
          <cell r="BO292">
            <v>-19390</v>
          </cell>
          <cell r="BP292">
            <v>-10361</v>
          </cell>
          <cell r="BQ292">
            <v>0</v>
          </cell>
          <cell r="BR292">
            <v>0</v>
          </cell>
          <cell r="BS292">
            <v>0</v>
          </cell>
          <cell r="BT292">
            <v>10590926</v>
          </cell>
          <cell r="BU292">
            <v>-47436</v>
          </cell>
          <cell r="BV292">
            <v>335855</v>
          </cell>
          <cell r="BW292">
            <v>-125690</v>
          </cell>
          <cell r="BX292">
            <v>-726667</v>
          </cell>
          <cell r="BY292">
            <v>-1312729</v>
          </cell>
          <cell r="BZ292">
            <v>10542753</v>
          </cell>
          <cell r="CA292">
            <v>-363333</v>
          </cell>
          <cell r="CB292">
            <v>-290667</v>
          </cell>
          <cell r="CC292">
            <v>-65401</v>
          </cell>
          <cell r="CD292">
            <v>-7266</v>
          </cell>
          <cell r="CE292">
            <v>-656364</v>
          </cell>
          <cell r="CF292">
            <v>-525092</v>
          </cell>
          <cell r="CG292">
            <v>-118146</v>
          </cell>
          <cell r="CH292">
            <v>-13127</v>
          </cell>
        </row>
        <row r="293">
          <cell r="A293">
            <v>286</v>
          </cell>
          <cell r="B293" t="str">
            <v>Tower Hamlets</v>
          </cell>
          <cell r="C293" t="str">
            <v>E5020</v>
          </cell>
          <cell r="D293">
            <v>1016741</v>
          </cell>
          <cell r="H293">
            <v>23454911</v>
          </cell>
          <cell r="I293">
            <v>0</v>
          </cell>
          <cell r="J293">
            <v>1016741</v>
          </cell>
          <cell r="K293">
            <v>0</v>
          </cell>
          <cell r="L293">
            <v>0</v>
          </cell>
          <cell r="M293">
            <v>0</v>
          </cell>
          <cell r="N293">
            <v>0</v>
          </cell>
          <cell r="O293">
            <v>0</v>
          </cell>
          <cell r="P293">
            <v>0</v>
          </cell>
          <cell r="Q293">
            <v>0</v>
          </cell>
          <cell r="R293">
            <v>1047046</v>
          </cell>
          <cell r="S293">
            <v>1291356</v>
          </cell>
          <cell r="T293">
            <v>0</v>
          </cell>
          <cell r="U293">
            <v>0</v>
          </cell>
          <cell r="V293">
            <v>0</v>
          </cell>
          <cell r="W293">
            <v>0</v>
          </cell>
          <cell r="X293">
            <v>164304</v>
          </cell>
          <cell r="Y293">
            <v>202642</v>
          </cell>
          <cell r="Z293">
            <v>0</v>
          </cell>
          <cell r="AA293">
            <v>1400</v>
          </cell>
          <cell r="AB293">
            <v>1726</v>
          </cell>
          <cell r="AC293">
            <v>0</v>
          </cell>
          <cell r="AD293">
            <v>0</v>
          </cell>
          <cell r="AE293">
            <v>0</v>
          </cell>
          <cell r="AF293">
            <v>0</v>
          </cell>
          <cell r="AG293">
            <v>0</v>
          </cell>
          <cell r="AH293">
            <v>0</v>
          </cell>
          <cell r="AI293">
            <v>0</v>
          </cell>
          <cell r="AM293">
            <v>0</v>
          </cell>
          <cell r="AN293">
            <v>0</v>
          </cell>
          <cell r="AO293">
            <v>0</v>
          </cell>
          <cell r="AP293">
            <v>2022094</v>
          </cell>
          <cell r="AQ293">
            <v>2493916</v>
          </cell>
          <cell r="AR293">
            <v>0</v>
          </cell>
          <cell r="AS293">
            <v>-4228101</v>
          </cell>
          <cell r="AT293">
            <v>-2536863</v>
          </cell>
          <cell r="AU293">
            <v>-1691241</v>
          </cell>
          <cell r="AV293">
            <v>0</v>
          </cell>
          <cell r="AW293">
            <v>-8456205</v>
          </cell>
          <cell r="AX293">
            <v>-972610</v>
          </cell>
          <cell r="AY293">
            <v>-583566</v>
          </cell>
          <cell r="AZ293">
            <v>-389044</v>
          </cell>
          <cell r="BA293">
            <v>0</v>
          </cell>
          <cell r="BB293">
            <v>-1945220</v>
          </cell>
          <cell r="BC293">
            <v>392900678</v>
          </cell>
          <cell r="BD293">
            <v>-6700974</v>
          </cell>
          <cell r="BE293">
            <v>10340539</v>
          </cell>
          <cell r="BF293">
            <v>0</v>
          </cell>
          <cell r="BG293">
            <v>-13115228</v>
          </cell>
          <cell r="BH293">
            <v>0</v>
          </cell>
          <cell r="BI293">
            <v>0</v>
          </cell>
          <cell r="BJ293">
            <v>-97</v>
          </cell>
          <cell r="BK293">
            <v>-13340648</v>
          </cell>
          <cell r="BL293">
            <v>-361285</v>
          </cell>
          <cell r="BM293">
            <v>-46569</v>
          </cell>
          <cell r="BN293">
            <v>0</v>
          </cell>
          <cell r="BO293">
            <v>0</v>
          </cell>
          <cell r="BP293">
            <v>0</v>
          </cell>
          <cell r="BQ293">
            <v>0</v>
          </cell>
          <cell r="BR293">
            <v>0</v>
          </cell>
          <cell r="BS293">
            <v>0</v>
          </cell>
          <cell r="BT293">
            <v>399518653</v>
          </cell>
          <cell r="BU293">
            <v>-1771817</v>
          </cell>
          <cell r="BV293">
            <v>20568052</v>
          </cell>
          <cell r="BW293">
            <v>-22899382</v>
          </cell>
          <cell r="BX293">
            <v>-13598394</v>
          </cell>
          <cell r="BY293">
            <v>-1313659</v>
          </cell>
          <cell r="BZ293">
            <v>448712213</v>
          </cell>
          <cell r="CA293">
            <v>-6799197</v>
          </cell>
          <cell r="CB293">
            <v>-4079518</v>
          </cell>
          <cell r="CC293">
            <v>-2719679</v>
          </cell>
          <cell r="CD293">
            <v>0</v>
          </cell>
          <cell r="CE293">
            <v>-656829</v>
          </cell>
          <cell r="CF293">
            <v>-394098</v>
          </cell>
          <cell r="CG293">
            <v>-262732</v>
          </cell>
          <cell r="CH293">
            <v>0</v>
          </cell>
        </row>
        <row r="294">
          <cell r="A294">
            <v>287</v>
          </cell>
          <cell r="B294" t="str">
            <v>Trafford</v>
          </cell>
          <cell r="C294" t="str">
            <v>E4209</v>
          </cell>
          <cell r="D294">
            <v>442753</v>
          </cell>
          <cell r="H294">
            <v>-9789188</v>
          </cell>
          <cell r="I294">
            <v>0</v>
          </cell>
          <cell r="J294">
            <v>442753</v>
          </cell>
          <cell r="K294">
            <v>0</v>
          </cell>
          <cell r="L294">
            <v>72696</v>
          </cell>
          <cell r="M294">
            <v>0</v>
          </cell>
          <cell r="N294">
            <v>0</v>
          </cell>
          <cell r="O294">
            <v>0</v>
          </cell>
          <cell r="P294">
            <v>0</v>
          </cell>
          <cell r="Q294">
            <v>0</v>
          </cell>
          <cell r="R294">
            <v>3237582</v>
          </cell>
          <cell r="S294">
            <v>0</v>
          </cell>
          <cell r="T294">
            <v>32703</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M294">
            <v>0</v>
          </cell>
          <cell r="AN294">
            <v>0</v>
          </cell>
          <cell r="AO294">
            <v>0</v>
          </cell>
          <cell r="AP294">
            <v>2264171</v>
          </cell>
          <cell r="AQ294">
            <v>0</v>
          </cell>
          <cell r="AR294">
            <v>22859</v>
          </cell>
          <cell r="AS294">
            <v>-4075008.4</v>
          </cell>
          <cell r="AT294">
            <v>-3993508</v>
          </cell>
          <cell r="AU294">
            <v>0</v>
          </cell>
          <cell r="AV294">
            <v>-81502</v>
          </cell>
          <cell r="AW294">
            <v>-8150018.4000000004</v>
          </cell>
          <cell r="AX294">
            <v>-19989435</v>
          </cell>
          <cell r="AY294">
            <v>-19589647</v>
          </cell>
          <cell r="AZ294">
            <v>0</v>
          </cell>
          <cell r="BA294">
            <v>-399789</v>
          </cell>
          <cell r="BB294">
            <v>-39978871</v>
          </cell>
          <cell r="BC294">
            <v>156549939</v>
          </cell>
          <cell r="BD294">
            <v>-4636836</v>
          </cell>
          <cell r="BE294">
            <v>4574294</v>
          </cell>
          <cell r="BF294">
            <v>0</v>
          </cell>
          <cell r="BG294">
            <v>-4683907</v>
          </cell>
          <cell r="BH294">
            <v>-67569</v>
          </cell>
          <cell r="BI294">
            <v>-509</v>
          </cell>
          <cell r="BJ294">
            <v>0</v>
          </cell>
          <cell r="BK294">
            <v>-6486639</v>
          </cell>
          <cell r="BL294">
            <v>-49275</v>
          </cell>
          <cell r="BM294">
            <v>-801407</v>
          </cell>
          <cell r="BN294">
            <v>-12494</v>
          </cell>
          <cell r="BO294">
            <v>-509</v>
          </cell>
          <cell r="BP294">
            <v>0</v>
          </cell>
          <cell r="BQ294">
            <v>0</v>
          </cell>
          <cell r="BR294">
            <v>0</v>
          </cell>
          <cell r="BS294">
            <v>0</v>
          </cell>
          <cell r="BT294">
            <v>169516024</v>
          </cell>
          <cell r="BU294">
            <v>18506</v>
          </cell>
          <cell r="BV294">
            <v>12539438</v>
          </cell>
          <cell r="BW294">
            <v>-6632396</v>
          </cell>
          <cell r="BX294">
            <v>-12020621</v>
          </cell>
          <cell r="BY294">
            <v>-1294352</v>
          </cell>
          <cell r="BZ294">
            <v>152178196</v>
          </cell>
          <cell r="CA294">
            <v>-6010310</v>
          </cell>
          <cell r="CB294">
            <v>-5890104</v>
          </cell>
          <cell r="CC294">
            <v>0</v>
          </cell>
          <cell r="CD294">
            <v>-120207</v>
          </cell>
          <cell r="CE294">
            <v>-647176</v>
          </cell>
          <cell r="CF294">
            <v>-634232</v>
          </cell>
          <cell r="CG294">
            <v>0</v>
          </cell>
          <cell r="CH294">
            <v>-12944</v>
          </cell>
        </row>
        <row r="295">
          <cell r="A295">
            <v>288</v>
          </cell>
          <cell r="B295" t="str">
            <v>Tunbridge Wells</v>
          </cell>
          <cell r="C295" t="str">
            <v>E2244</v>
          </cell>
          <cell r="D295">
            <v>172841</v>
          </cell>
          <cell r="H295">
            <v>-732748</v>
          </cell>
          <cell r="I295">
            <v>0</v>
          </cell>
          <cell r="J295">
            <v>172841</v>
          </cell>
          <cell r="K295">
            <v>0</v>
          </cell>
          <cell r="L295">
            <v>0</v>
          </cell>
          <cell r="M295">
            <v>0</v>
          </cell>
          <cell r="N295">
            <v>0</v>
          </cell>
          <cell r="O295">
            <v>0</v>
          </cell>
          <cell r="P295">
            <v>0</v>
          </cell>
          <cell r="Q295">
            <v>0</v>
          </cell>
          <cell r="R295">
            <v>602319</v>
          </cell>
          <cell r="S295">
            <v>135522</v>
          </cell>
          <cell r="T295">
            <v>15058</v>
          </cell>
          <cell r="U295">
            <v>832</v>
          </cell>
          <cell r="V295">
            <v>187</v>
          </cell>
          <cell r="W295">
            <v>21</v>
          </cell>
          <cell r="X295">
            <v>0</v>
          </cell>
          <cell r="Y295">
            <v>0</v>
          </cell>
          <cell r="Z295">
            <v>0</v>
          </cell>
          <cell r="AA295">
            <v>7630</v>
          </cell>
          <cell r="AB295">
            <v>1717</v>
          </cell>
          <cell r="AC295">
            <v>191</v>
          </cell>
          <cell r="AD295">
            <v>0</v>
          </cell>
          <cell r="AE295">
            <v>0</v>
          </cell>
          <cell r="AF295">
            <v>0</v>
          </cell>
          <cell r="AG295">
            <v>0</v>
          </cell>
          <cell r="AH295">
            <v>0</v>
          </cell>
          <cell r="AI295">
            <v>0</v>
          </cell>
          <cell r="AM295">
            <v>0</v>
          </cell>
          <cell r="AN295">
            <v>0</v>
          </cell>
          <cell r="AO295">
            <v>0</v>
          </cell>
          <cell r="AP295">
            <v>327367</v>
          </cell>
          <cell r="AQ295">
            <v>73658</v>
          </cell>
          <cell r="AR295">
            <v>8184</v>
          </cell>
          <cell r="AS295">
            <v>-980934</v>
          </cell>
          <cell r="AT295">
            <v>-784749</v>
          </cell>
          <cell r="AU295">
            <v>-176569</v>
          </cell>
          <cell r="AV295">
            <v>-19618</v>
          </cell>
          <cell r="AW295">
            <v>-1961870</v>
          </cell>
          <cell r="AX295">
            <v>-2426227</v>
          </cell>
          <cell r="AY295">
            <v>-1940982</v>
          </cell>
          <cell r="AZ295">
            <v>-436721</v>
          </cell>
          <cell r="BA295">
            <v>-48524</v>
          </cell>
          <cell r="BB295">
            <v>-4852454</v>
          </cell>
          <cell r="BC295">
            <v>52451433</v>
          </cell>
          <cell r="BD295">
            <v>-2228564</v>
          </cell>
          <cell r="BE295">
            <v>1443942</v>
          </cell>
          <cell r="BF295">
            <v>0</v>
          </cell>
          <cell r="BG295">
            <v>-4292233</v>
          </cell>
          <cell r="BH295">
            <v>-27325</v>
          </cell>
          <cell r="BI295">
            <v>-7424</v>
          </cell>
          <cell r="BJ295">
            <v>0</v>
          </cell>
          <cell r="BK295">
            <v>-1528140</v>
          </cell>
          <cell r="BL295">
            <v>-24878</v>
          </cell>
          <cell r="BM295">
            <v>-12848</v>
          </cell>
          <cell r="BN295">
            <v>-987</v>
          </cell>
          <cell r="BO295">
            <v>-4541</v>
          </cell>
          <cell r="BP295">
            <v>-21788</v>
          </cell>
          <cell r="BQ295">
            <v>0</v>
          </cell>
          <cell r="BR295">
            <v>0</v>
          </cell>
          <cell r="BS295">
            <v>0</v>
          </cell>
          <cell r="BT295">
            <v>52737362</v>
          </cell>
          <cell r="BU295">
            <v>0</v>
          </cell>
          <cell r="BV295">
            <v>2454288</v>
          </cell>
          <cell r="BW295">
            <v>-1370894</v>
          </cell>
          <cell r="BX295">
            <v>642034</v>
          </cell>
          <cell r="BY295">
            <v>-257648</v>
          </cell>
          <cell r="BZ295">
            <v>54483176</v>
          </cell>
          <cell r="CA295">
            <v>321018</v>
          </cell>
          <cell r="CB295">
            <v>256813</v>
          </cell>
          <cell r="CC295">
            <v>57783</v>
          </cell>
          <cell r="CD295">
            <v>6420</v>
          </cell>
          <cell r="CE295">
            <v>-128825</v>
          </cell>
          <cell r="CF295">
            <v>-103059</v>
          </cell>
          <cell r="CG295">
            <v>-23188</v>
          </cell>
          <cell r="CH295">
            <v>-2576</v>
          </cell>
        </row>
        <row r="296">
          <cell r="A296">
            <v>289</v>
          </cell>
          <cell r="B296" t="str">
            <v>Uttlesford</v>
          </cell>
          <cell r="C296" t="str">
            <v>E1544</v>
          </cell>
          <cell r="D296">
            <v>138766</v>
          </cell>
          <cell r="H296">
            <v>-1164784</v>
          </cell>
          <cell r="I296">
            <v>0</v>
          </cell>
          <cell r="J296">
            <v>138766</v>
          </cell>
          <cell r="K296">
            <v>0</v>
          </cell>
          <cell r="L296">
            <v>136486</v>
          </cell>
          <cell r="M296">
            <v>0</v>
          </cell>
          <cell r="N296">
            <v>0</v>
          </cell>
          <cell r="O296">
            <v>0</v>
          </cell>
          <cell r="P296">
            <v>0</v>
          </cell>
          <cell r="Q296">
            <v>0</v>
          </cell>
          <cell r="R296">
            <v>558469</v>
          </cell>
          <cell r="S296">
            <v>125656</v>
          </cell>
          <cell r="T296">
            <v>13962</v>
          </cell>
          <cell r="U296">
            <v>3993</v>
          </cell>
          <cell r="V296">
            <v>898</v>
          </cell>
          <cell r="W296">
            <v>100</v>
          </cell>
          <cell r="X296">
            <v>0</v>
          </cell>
          <cell r="Y296">
            <v>0</v>
          </cell>
          <cell r="Z296">
            <v>0</v>
          </cell>
          <cell r="AA296">
            <v>0</v>
          </cell>
          <cell r="AB296">
            <v>0</v>
          </cell>
          <cell r="AC296">
            <v>0</v>
          </cell>
          <cell r="AD296">
            <v>0</v>
          </cell>
          <cell r="AE296">
            <v>0</v>
          </cell>
          <cell r="AF296">
            <v>0</v>
          </cell>
          <cell r="AG296">
            <v>0</v>
          </cell>
          <cell r="AH296">
            <v>0</v>
          </cell>
          <cell r="AI296">
            <v>0</v>
          </cell>
          <cell r="AM296">
            <v>0</v>
          </cell>
          <cell r="AN296">
            <v>0</v>
          </cell>
          <cell r="AO296">
            <v>0</v>
          </cell>
          <cell r="AP296">
            <v>253570</v>
          </cell>
          <cell r="AQ296">
            <v>56592</v>
          </cell>
          <cell r="AR296">
            <v>6288</v>
          </cell>
          <cell r="AS296">
            <v>-228289</v>
          </cell>
          <cell r="AT296">
            <v>-182630</v>
          </cell>
          <cell r="AU296">
            <v>-41091</v>
          </cell>
          <cell r="AV296">
            <v>-4566</v>
          </cell>
          <cell r="AW296">
            <v>-456576</v>
          </cell>
          <cell r="AX296">
            <v>-1061718</v>
          </cell>
          <cell r="AY296">
            <v>-849373</v>
          </cell>
          <cell r="AZ296">
            <v>-191110</v>
          </cell>
          <cell r="BA296">
            <v>-21234</v>
          </cell>
          <cell r="BB296">
            <v>-2123435</v>
          </cell>
          <cell r="BC296">
            <v>39930711</v>
          </cell>
          <cell r="BD296">
            <v>-2184257</v>
          </cell>
          <cell r="BE296">
            <v>1113368</v>
          </cell>
          <cell r="BF296">
            <v>0</v>
          </cell>
          <cell r="BG296">
            <v>-1933096</v>
          </cell>
          <cell r="BH296">
            <v>-16282</v>
          </cell>
          <cell r="BI296">
            <v>-48148</v>
          </cell>
          <cell r="BJ296">
            <v>-78515</v>
          </cell>
          <cell r="BK296">
            <v>-923224</v>
          </cell>
          <cell r="BL296">
            <v>-46318</v>
          </cell>
          <cell r="BM296">
            <v>-122536</v>
          </cell>
          <cell r="BN296">
            <v>-169</v>
          </cell>
          <cell r="BO296">
            <v>-44657</v>
          </cell>
          <cell r="BP296">
            <v>-120451</v>
          </cell>
          <cell r="BQ296">
            <v>-56883</v>
          </cell>
          <cell r="BR296">
            <v>0</v>
          </cell>
          <cell r="BS296">
            <v>0</v>
          </cell>
          <cell r="BT296">
            <v>32462603</v>
          </cell>
          <cell r="BU296">
            <v>-232960</v>
          </cell>
          <cell r="BV296">
            <v>1438992</v>
          </cell>
          <cell r="BW296">
            <v>-504013</v>
          </cell>
          <cell r="BX296">
            <v>-2173048</v>
          </cell>
          <cell r="BY296">
            <v>-3429337</v>
          </cell>
          <cell r="BZ296">
            <v>41860113</v>
          </cell>
          <cell r="CA296">
            <v>-1086523</v>
          </cell>
          <cell r="CB296">
            <v>-869220</v>
          </cell>
          <cell r="CC296">
            <v>-195574</v>
          </cell>
          <cell r="CD296">
            <v>-21731</v>
          </cell>
          <cell r="CE296">
            <v>-1714669</v>
          </cell>
          <cell r="CF296">
            <v>-1371735</v>
          </cell>
          <cell r="CG296">
            <v>-308640</v>
          </cell>
          <cell r="CH296">
            <v>-34293</v>
          </cell>
        </row>
        <row r="297">
          <cell r="A297">
            <v>290</v>
          </cell>
          <cell r="B297" t="str">
            <v>Vale of White Horse</v>
          </cell>
          <cell r="C297" t="str">
            <v>E3134</v>
          </cell>
          <cell r="D297">
            <v>179515</v>
          </cell>
          <cell r="H297">
            <v>-3945400</v>
          </cell>
          <cell r="I297">
            <v>-31563</v>
          </cell>
          <cell r="J297">
            <v>179515</v>
          </cell>
          <cell r="K297">
            <v>817931</v>
          </cell>
          <cell r="L297">
            <v>236429</v>
          </cell>
          <cell r="M297">
            <v>0</v>
          </cell>
          <cell r="N297">
            <v>659722</v>
          </cell>
          <cell r="O297">
            <v>659722</v>
          </cell>
          <cell r="P297">
            <v>0</v>
          </cell>
          <cell r="Q297">
            <v>0</v>
          </cell>
          <cell r="R297">
            <v>490751</v>
          </cell>
          <cell r="S297">
            <v>117430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M297">
            <v>0</v>
          </cell>
          <cell r="AN297">
            <v>0</v>
          </cell>
          <cell r="AO297">
            <v>0</v>
          </cell>
          <cell r="AP297">
            <v>341010</v>
          </cell>
          <cell r="AQ297">
            <v>78815</v>
          </cell>
          <cell r="AR297">
            <v>0</v>
          </cell>
          <cell r="AS297">
            <v>-509435</v>
          </cell>
          <cell r="AT297">
            <v>-407548</v>
          </cell>
          <cell r="AU297">
            <v>-101887</v>
          </cell>
          <cell r="AV297">
            <v>0</v>
          </cell>
          <cell r="AW297">
            <v>-1018870</v>
          </cell>
          <cell r="AX297">
            <v>-2077965</v>
          </cell>
          <cell r="AY297">
            <v>-1662374</v>
          </cell>
          <cell r="AZ297">
            <v>-415593</v>
          </cell>
          <cell r="BA297">
            <v>0</v>
          </cell>
          <cell r="BB297">
            <v>-4155932</v>
          </cell>
          <cell r="BC297">
            <v>56978978</v>
          </cell>
          <cell r="BD297">
            <v>-1769500</v>
          </cell>
          <cell r="BE297">
            <v>1683381</v>
          </cell>
          <cell r="BF297">
            <v>0</v>
          </cell>
          <cell r="BG297">
            <v>-7350309</v>
          </cell>
          <cell r="BH297">
            <v>-98410</v>
          </cell>
          <cell r="BI297">
            <v>-37071</v>
          </cell>
          <cell r="BJ297">
            <v>0</v>
          </cell>
          <cell r="BK297">
            <v>-1597417</v>
          </cell>
          <cell r="BL297">
            <v>-158516</v>
          </cell>
          <cell r="BM297">
            <v>-8092</v>
          </cell>
          <cell r="BN297">
            <v>-6151</v>
          </cell>
          <cell r="BO297">
            <v>-15021</v>
          </cell>
          <cell r="BP297">
            <v>0</v>
          </cell>
          <cell r="BQ297">
            <v>-694514</v>
          </cell>
          <cell r="BR297">
            <v>-968447</v>
          </cell>
          <cell r="BS297">
            <v>0</v>
          </cell>
          <cell r="BT297">
            <v>58045375</v>
          </cell>
          <cell r="BU297">
            <v>-243724</v>
          </cell>
          <cell r="BV297">
            <v>1854023</v>
          </cell>
          <cell r="BW297">
            <v>-595740</v>
          </cell>
          <cell r="BX297">
            <v>-1417930</v>
          </cell>
          <cell r="BY297">
            <v>-2598407</v>
          </cell>
          <cell r="BZ297">
            <v>52468602</v>
          </cell>
          <cell r="CA297">
            <v>-708964</v>
          </cell>
          <cell r="CB297">
            <v>-567173</v>
          </cell>
          <cell r="CC297">
            <v>-141793</v>
          </cell>
          <cell r="CD297">
            <v>0</v>
          </cell>
          <cell r="CE297">
            <v>-1299203</v>
          </cell>
          <cell r="CF297">
            <v>-1039363</v>
          </cell>
          <cell r="CG297">
            <v>-259841</v>
          </cell>
          <cell r="CH297">
            <v>0</v>
          </cell>
        </row>
        <row r="298">
          <cell r="A298">
            <v>291</v>
          </cell>
          <cell r="B298" t="str">
            <v>Wakefield</v>
          </cell>
          <cell r="C298" t="str">
            <v>E4705</v>
          </cell>
          <cell r="D298">
            <v>451332</v>
          </cell>
          <cell r="H298">
            <v>-6216765</v>
          </cell>
          <cell r="I298">
            <v>0</v>
          </cell>
          <cell r="J298">
            <v>451332</v>
          </cell>
          <cell r="K298">
            <v>0</v>
          </cell>
          <cell r="L298">
            <v>543161</v>
          </cell>
          <cell r="M298">
            <v>0</v>
          </cell>
          <cell r="N298">
            <v>0</v>
          </cell>
          <cell r="O298">
            <v>0</v>
          </cell>
          <cell r="P298">
            <v>0</v>
          </cell>
          <cell r="Q298">
            <v>0</v>
          </cell>
          <cell r="R298">
            <v>2504436</v>
          </cell>
          <cell r="S298">
            <v>0</v>
          </cell>
          <cell r="T298">
            <v>51111</v>
          </cell>
          <cell r="U298">
            <v>4973</v>
          </cell>
          <cell r="V298">
            <v>0</v>
          </cell>
          <cell r="W298">
            <v>102</v>
          </cell>
          <cell r="X298">
            <v>0</v>
          </cell>
          <cell r="Y298">
            <v>0</v>
          </cell>
          <cell r="Z298">
            <v>0</v>
          </cell>
          <cell r="AA298">
            <v>1813</v>
          </cell>
          <cell r="AB298">
            <v>0</v>
          </cell>
          <cell r="AC298">
            <v>37</v>
          </cell>
          <cell r="AD298">
            <v>0</v>
          </cell>
          <cell r="AE298">
            <v>0</v>
          </cell>
          <cell r="AF298">
            <v>0</v>
          </cell>
          <cell r="AG298">
            <v>0</v>
          </cell>
          <cell r="AH298">
            <v>0</v>
          </cell>
          <cell r="AI298">
            <v>0</v>
          </cell>
          <cell r="AM298">
            <v>0</v>
          </cell>
          <cell r="AN298">
            <v>0</v>
          </cell>
          <cell r="AO298">
            <v>0</v>
          </cell>
          <cell r="AP298">
            <v>860826</v>
          </cell>
          <cell r="AQ298">
            <v>0</v>
          </cell>
          <cell r="AR298">
            <v>17401</v>
          </cell>
          <cell r="AS298">
            <v>-510000</v>
          </cell>
          <cell r="AT298">
            <v>-499800</v>
          </cell>
          <cell r="AU298">
            <v>0</v>
          </cell>
          <cell r="AV298">
            <v>-10200</v>
          </cell>
          <cell r="AW298">
            <v>-1020000</v>
          </cell>
          <cell r="AX298">
            <v>-6014807</v>
          </cell>
          <cell r="AY298">
            <v>-5894516</v>
          </cell>
          <cell r="AZ298">
            <v>0</v>
          </cell>
          <cell r="BA298">
            <v>-120298</v>
          </cell>
          <cell r="BB298">
            <v>-12029621</v>
          </cell>
          <cell r="BC298">
            <v>121268877</v>
          </cell>
          <cell r="BD298">
            <v>-8204154</v>
          </cell>
          <cell r="BE298">
            <v>3488962</v>
          </cell>
          <cell r="BF298">
            <v>0</v>
          </cell>
          <cell r="BG298">
            <v>-7452163</v>
          </cell>
          <cell r="BH298">
            <v>-73375</v>
          </cell>
          <cell r="BI298">
            <v>-6572</v>
          </cell>
          <cell r="BJ298">
            <v>-67766</v>
          </cell>
          <cell r="BK298">
            <v>-4679217</v>
          </cell>
          <cell r="BL298">
            <v>-803316</v>
          </cell>
          <cell r="BM298">
            <v>-453822</v>
          </cell>
          <cell r="BN298">
            <v>-11783</v>
          </cell>
          <cell r="BO298">
            <v>0</v>
          </cell>
          <cell r="BP298">
            <v>0</v>
          </cell>
          <cell r="BQ298">
            <v>0</v>
          </cell>
          <cell r="BR298">
            <v>0</v>
          </cell>
          <cell r="BS298">
            <v>0</v>
          </cell>
          <cell r="BT298">
            <v>127932240</v>
          </cell>
          <cell r="BU298">
            <v>-1151053</v>
          </cell>
          <cell r="BV298">
            <v>1674166</v>
          </cell>
          <cell r="BW298">
            <v>-1400948</v>
          </cell>
          <cell r="BX298">
            <v>-6589340</v>
          </cell>
          <cell r="BY298">
            <v>-6665203</v>
          </cell>
          <cell r="BZ298">
            <v>115843438</v>
          </cell>
          <cell r="CA298">
            <v>-3294671</v>
          </cell>
          <cell r="CB298">
            <v>-3228776</v>
          </cell>
          <cell r="CC298">
            <v>0</v>
          </cell>
          <cell r="CD298">
            <v>-65893</v>
          </cell>
          <cell r="CE298">
            <v>-3332602</v>
          </cell>
          <cell r="CF298">
            <v>-3265949</v>
          </cell>
          <cell r="CG298">
            <v>0</v>
          </cell>
          <cell r="CH298">
            <v>-66652</v>
          </cell>
        </row>
        <row r="299">
          <cell r="A299">
            <v>292</v>
          </cell>
          <cell r="B299" t="str">
            <v>Walsall</v>
          </cell>
          <cell r="C299" t="str">
            <v>E4606</v>
          </cell>
          <cell r="D299">
            <v>337320</v>
          </cell>
          <cell r="H299">
            <v>3450076</v>
          </cell>
          <cell r="I299">
            <v>-3437</v>
          </cell>
          <cell r="J299">
            <v>337320</v>
          </cell>
          <cell r="K299">
            <v>13229</v>
          </cell>
          <cell r="L299">
            <v>0</v>
          </cell>
          <cell r="M299">
            <v>0</v>
          </cell>
          <cell r="N299">
            <v>0</v>
          </cell>
          <cell r="O299">
            <v>0</v>
          </cell>
          <cell r="P299">
            <v>0</v>
          </cell>
          <cell r="Q299">
            <v>0</v>
          </cell>
          <cell r="R299">
            <v>4007678</v>
          </cell>
          <cell r="S299">
            <v>0</v>
          </cell>
          <cell r="T299">
            <v>40477</v>
          </cell>
          <cell r="U299">
            <v>44106</v>
          </cell>
          <cell r="V299">
            <v>0</v>
          </cell>
          <cell r="W299">
            <v>446</v>
          </cell>
          <cell r="X299">
            <v>0</v>
          </cell>
          <cell r="Y299">
            <v>0</v>
          </cell>
          <cell r="Z299">
            <v>0</v>
          </cell>
          <cell r="AA299">
            <v>4023</v>
          </cell>
          <cell r="AB299">
            <v>0</v>
          </cell>
          <cell r="AC299">
            <v>41</v>
          </cell>
          <cell r="AD299">
            <v>0</v>
          </cell>
          <cell r="AE299">
            <v>0</v>
          </cell>
          <cell r="AF299">
            <v>0</v>
          </cell>
          <cell r="AG299">
            <v>0</v>
          </cell>
          <cell r="AH299">
            <v>0</v>
          </cell>
          <cell r="AI299">
            <v>0</v>
          </cell>
          <cell r="AM299">
            <v>0</v>
          </cell>
          <cell r="AN299">
            <v>0</v>
          </cell>
          <cell r="AO299">
            <v>0</v>
          </cell>
          <cell r="AP299">
            <v>1086113</v>
          </cell>
          <cell r="AQ299">
            <v>0</v>
          </cell>
          <cell r="AR299">
            <v>10969</v>
          </cell>
          <cell r="AS299">
            <v>-1792164</v>
          </cell>
          <cell r="AT299">
            <v>-1756320</v>
          </cell>
          <cell r="AU299">
            <v>0</v>
          </cell>
          <cell r="AV299">
            <v>-35842</v>
          </cell>
          <cell r="AW299">
            <v>-3584326</v>
          </cell>
          <cell r="AX299">
            <v>-2657653</v>
          </cell>
          <cell r="AY299">
            <v>-2604502</v>
          </cell>
          <cell r="AZ299">
            <v>0</v>
          </cell>
          <cell r="BA299">
            <v>-53154</v>
          </cell>
          <cell r="BB299">
            <v>-5315309</v>
          </cell>
          <cell r="BC299">
            <v>70102033</v>
          </cell>
          <cell r="BD299">
            <v>-6132267</v>
          </cell>
          <cell r="BE299">
            <v>1872286</v>
          </cell>
          <cell r="BF299">
            <v>0</v>
          </cell>
          <cell r="BG299">
            <v>-4970911</v>
          </cell>
          <cell r="BH299">
            <v>-44783</v>
          </cell>
          <cell r="BI299">
            <v>0</v>
          </cell>
          <cell r="BJ299">
            <v>-20052</v>
          </cell>
          <cell r="BK299">
            <v>-2869423</v>
          </cell>
          <cell r="BL299">
            <v>-149489</v>
          </cell>
          <cell r="BM299">
            <v>-46004</v>
          </cell>
          <cell r="BN299">
            <v>-3428</v>
          </cell>
          <cell r="BO299">
            <v>0</v>
          </cell>
          <cell r="BP299">
            <v>0</v>
          </cell>
          <cell r="BQ299">
            <v>0</v>
          </cell>
          <cell r="BR299">
            <v>0</v>
          </cell>
          <cell r="BS299">
            <v>0</v>
          </cell>
          <cell r="BT299">
            <v>69165793</v>
          </cell>
          <cell r="BU299">
            <v>0</v>
          </cell>
          <cell r="BV299">
            <v>7170296</v>
          </cell>
          <cell r="BW299">
            <v>-1480735</v>
          </cell>
          <cell r="BX299">
            <v>-222878</v>
          </cell>
          <cell r="BY299">
            <v>-1368293</v>
          </cell>
          <cell r="BZ299">
            <v>73021071</v>
          </cell>
          <cell r="CA299">
            <v>-111438</v>
          </cell>
          <cell r="CB299">
            <v>-109210</v>
          </cell>
          <cell r="CC299">
            <v>0</v>
          </cell>
          <cell r="CD299">
            <v>-2230</v>
          </cell>
          <cell r="CE299">
            <v>-684146</v>
          </cell>
          <cell r="CF299">
            <v>-670464</v>
          </cell>
          <cell r="CG299">
            <v>0</v>
          </cell>
          <cell r="CH299">
            <v>-13683</v>
          </cell>
        </row>
        <row r="300">
          <cell r="A300">
            <v>293</v>
          </cell>
          <cell r="B300" t="str">
            <v>Waltham Forest</v>
          </cell>
          <cell r="C300" t="str">
            <v>E5049</v>
          </cell>
          <cell r="D300">
            <v>294648</v>
          </cell>
          <cell r="H300">
            <v>10647989</v>
          </cell>
          <cell r="I300">
            <v>0</v>
          </cell>
          <cell r="J300">
            <v>294648</v>
          </cell>
          <cell r="K300">
            <v>0</v>
          </cell>
          <cell r="L300">
            <v>0</v>
          </cell>
          <cell r="M300">
            <v>0</v>
          </cell>
          <cell r="N300">
            <v>0</v>
          </cell>
          <cell r="O300">
            <v>0</v>
          </cell>
          <cell r="P300">
            <v>0</v>
          </cell>
          <cell r="Q300">
            <v>0</v>
          </cell>
          <cell r="R300">
            <v>1051429</v>
          </cell>
          <cell r="S300">
            <v>1296762</v>
          </cell>
          <cell r="T300">
            <v>0</v>
          </cell>
          <cell r="U300">
            <v>442</v>
          </cell>
          <cell r="V300">
            <v>545</v>
          </cell>
          <cell r="W300">
            <v>0</v>
          </cell>
          <cell r="X300">
            <v>8075</v>
          </cell>
          <cell r="Y300">
            <v>9959</v>
          </cell>
          <cell r="Z300">
            <v>0</v>
          </cell>
          <cell r="AA300">
            <v>364</v>
          </cell>
          <cell r="AB300">
            <v>449</v>
          </cell>
          <cell r="AC300">
            <v>0</v>
          </cell>
          <cell r="AD300">
            <v>0</v>
          </cell>
          <cell r="AE300">
            <v>0</v>
          </cell>
          <cell r="AF300">
            <v>0</v>
          </cell>
          <cell r="AG300">
            <v>0</v>
          </cell>
          <cell r="AH300">
            <v>0</v>
          </cell>
          <cell r="AI300">
            <v>0</v>
          </cell>
          <cell r="AM300">
            <v>0</v>
          </cell>
          <cell r="AN300">
            <v>0</v>
          </cell>
          <cell r="AO300">
            <v>0</v>
          </cell>
          <cell r="AP300">
            <v>283927</v>
          </cell>
          <cell r="AQ300">
            <v>350176</v>
          </cell>
          <cell r="AR300">
            <v>0</v>
          </cell>
          <cell r="AS300">
            <v>-1212260</v>
          </cell>
          <cell r="AT300">
            <v>-727355</v>
          </cell>
          <cell r="AU300">
            <v>-484904</v>
          </cell>
          <cell r="AV300">
            <v>0</v>
          </cell>
          <cell r="AW300">
            <v>-2424519</v>
          </cell>
          <cell r="AX300">
            <v>-3329164</v>
          </cell>
          <cell r="AY300">
            <v>-1997499</v>
          </cell>
          <cell r="AZ300">
            <v>-1331665</v>
          </cell>
          <cell r="BA300">
            <v>0</v>
          </cell>
          <cell r="BB300">
            <v>-6658328</v>
          </cell>
          <cell r="BC300">
            <v>52592567</v>
          </cell>
          <cell r="BD300">
            <v>-5479117</v>
          </cell>
          <cell r="BE300">
            <v>1362363</v>
          </cell>
          <cell r="BF300">
            <v>0</v>
          </cell>
          <cell r="BG300">
            <v>-5285388</v>
          </cell>
          <cell r="BH300">
            <v>-46633</v>
          </cell>
          <cell r="BI300">
            <v>0</v>
          </cell>
          <cell r="BJ300">
            <v>0</v>
          </cell>
          <cell r="BK300">
            <v>-1152320</v>
          </cell>
          <cell r="BL300">
            <v>-146842</v>
          </cell>
          <cell r="BM300">
            <v>-67052</v>
          </cell>
          <cell r="BN300">
            <v>-2858</v>
          </cell>
          <cell r="BO300">
            <v>0</v>
          </cell>
          <cell r="BP300">
            <v>0</v>
          </cell>
          <cell r="BQ300">
            <v>0</v>
          </cell>
          <cell r="BR300">
            <v>0</v>
          </cell>
          <cell r="BS300">
            <v>0</v>
          </cell>
          <cell r="BT300">
            <v>59401699</v>
          </cell>
          <cell r="BU300">
            <v>-586642</v>
          </cell>
          <cell r="BV300">
            <v>4358167</v>
          </cell>
          <cell r="BW300">
            <v>-3658472</v>
          </cell>
          <cell r="BX300">
            <v>-1052387</v>
          </cell>
          <cell r="BY300">
            <v>-3533463</v>
          </cell>
          <cell r="BZ300">
            <v>63004726</v>
          </cell>
          <cell r="CA300">
            <v>-526193</v>
          </cell>
          <cell r="CB300">
            <v>-315716</v>
          </cell>
          <cell r="CC300">
            <v>-210478</v>
          </cell>
          <cell r="CD300">
            <v>0</v>
          </cell>
          <cell r="CE300">
            <v>-1766731</v>
          </cell>
          <cell r="CF300">
            <v>-1060039</v>
          </cell>
          <cell r="CG300">
            <v>-706693</v>
          </cell>
          <cell r="CH300">
            <v>0</v>
          </cell>
        </row>
        <row r="301">
          <cell r="A301">
            <v>294</v>
          </cell>
          <cell r="B301" t="str">
            <v>Wandsworth</v>
          </cell>
          <cell r="C301" t="str">
            <v>E5021</v>
          </cell>
          <cell r="D301">
            <v>462945</v>
          </cell>
          <cell r="H301">
            <v>6864065</v>
          </cell>
          <cell r="I301">
            <v>380607</v>
          </cell>
          <cell r="J301">
            <v>462945</v>
          </cell>
          <cell r="K301">
            <v>0</v>
          </cell>
          <cell r="L301">
            <v>0</v>
          </cell>
          <cell r="M301">
            <v>0</v>
          </cell>
          <cell r="N301">
            <v>0</v>
          </cell>
          <cell r="O301">
            <v>0</v>
          </cell>
          <cell r="P301">
            <v>0</v>
          </cell>
          <cell r="Q301">
            <v>0</v>
          </cell>
          <cell r="R301">
            <v>972756</v>
          </cell>
          <cell r="S301">
            <v>1080352</v>
          </cell>
          <cell r="T301">
            <v>0</v>
          </cell>
          <cell r="U301">
            <v>9703</v>
          </cell>
          <cell r="V301">
            <v>9631</v>
          </cell>
          <cell r="W301">
            <v>0</v>
          </cell>
          <cell r="X301">
            <v>0</v>
          </cell>
          <cell r="Y301">
            <v>0</v>
          </cell>
          <cell r="Z301">
            <v>0</v>
          </cell>
          <cell r="AA301">
            <v>15999</v>
          </cell>
          <cell r="AB301">
            <v>19732</v>
          </cell>
          <cell r="AC301">
            <v>0</v>
          </cell>
          <cell r="AD301">
            <v>0</v>
          </cell>
          <cell r="AE301">
            <v>0</v>
          </cell>
          <cell r="AF301">
            <v>0</v>
          </cell>
          <cell r="AG301">
            <v>0</v>
          </cell>
          <cell r="AH301">
            <v>0</v>
          </cell>
          <cell r="AI301">
            <v>0</v>
          </cell>
          <cell r="AM301">
            <v>0</v>
          </cell>
          <cell r="AN301">
            <v>0</v>
          </cell>
          <cell r="AO301">
            <v>0</v>
          </cell>
          <cell r="AP301">
            <v>513994</v>
          </cell>
          <cell r="AQ301">
            <v>633925</v>
          </cell>
          <cell r="AR301">
            <v>0</v>
          </cell>
          <cell r="AS301">
            <v>-1491000</v>
          </cell>
          <cell r="AT301">
            <v>-894600</v>
          </cell>
          <cell r="AU301">
            <v>-596400</v>
          </cell>
          <cell r="AV301">
            <v>0</v>
          </cell>
          <cell r="AW301">
            <v>-2982000</v>
          </cell>
          <cell r="AX301">
            <v>-3498570</v>
          </cell>
          <cell r="AY301">
            <v>-2099141</v>
          </cell>
          <cell r="AZ301">
            <v>-1399427</v>
          </cell>
          <cell r="BA301">
            <v>0</v>
          </cell>
          <cell r="BB301">
            <v>-6997138</v>
          </cell>
          <cell r="BC301">
            <v>101775301</v>
          </cell>
          <cell r="BD301">
            <v>-4210701</v>
          </cell>
          <cell r="BE301">
            <v>2542838</v>
          </cell>
          <cell r="BF301">
            <v>0</v>
          </cell>
          <cell r="BG301">
            <v>-9562973</v>
          </cell>
          <cell r="BH301">
            <v>-26232</v>
          </cell>
          <cell r="BI301">
            <v>0</v>
          </cell>
          <cell r="BJ301">
            <v>0</v>
          </cell>
          <cell r="BK301">
            <v>-2747274</v>
          </cell>
          <cell r="BL301">
            <v>-223397</v>
          </cell>
          <cell r="BM301">
            <v>-957417</v>
          </cell>
          <cell r="BN301">
            <v>-1384</v>
          </cell>
          <cell r="BO301">
            <v>0</v>
          </cell>
          <cell r="BP301">
            <v>0</v>
          </cell>
          <cell r="BQ301">
            <v>0</v>
          </cell>
          <cell r="BR301">
            <v>0</v>
          </cell>
          <cell r="BS301">
            <v>0</v>
          </cell>
          <cell r="BT301">
            <v>102353445</v>
          </cell>
          <cell r="BU301">
            <v>-24040</v>
          </cell>
          <cell r="BV301">
            <v>6261127</v>
          </cell>
          <cell r="BW301">
            <v>-3798139</v>
          </cell>
          <cell r="BX301">
            <v>-7123959</v>
          </cell>
          <cell r="BY301">
            <v>-6050615</v>
          </cell>
          <cell r="BZ301">
            <v>114057619</v>
          </cell>
          <cell r="CA301">
            <v>-3561979</v>
          </cell>
          <cell r="CB301">
            <v>-2137188</v>
          </cell>
          <cell r="CC301">
            <v>-1424792</v>
          </cell>
          <cell r="CD301">
            <v>0</v>
          </cell>
          <cell r="CE301">
            <v>-3025307</v>
          </cell>
          <cell r="CF301">
            <v>-1815185</v>
          </cell>
          <cell r="CG301">
            <v>-1210123</v>
          </cell>
          <cell r="CH301">
            <v>0</v>
          </cell>
        </row>
        <row r="302">
          <cell r="A302">
            <v>295</v>
          </cell>
          <cell r="B302" t="str">
            <v>Warrington</v>
          </cell>
          <cell r="C302" t="str">
            <v>E0602</v>
          </cell>
          <cell r="D302">
            <v>294932</v>
          </cell>
          <cell r="H302">
            <v>-8695887</v>
          </cell>
          <cell r="I302">
            <v>-154394</v>
          </cell>
          <cell r="J302">
            <v>294932</v>
          </cell>
          <cell r="K302">
            <v>0</v>
          </cell>
          <cell r="L302">
            <v>0</v>
          </cell>
          <cell r="M302">
            <v>0</v>
          </cell>
          <cell r="N302">
            <v>1065427</v>
          </cell>
          <cell r="O302">
            <v>1065427</v>
          </cell>
          <cell r="P302">
            <v>0</v>
          </cell>
          <cell r="Q302">
            <v>0</v>
          </cell>
          <cell r="R302">
            <v>1040201</v>
          </cell>
          <cell r="S302">
            <v>0</v>
          </cell>
          <cell r="T302">
            <v>21172</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M302">
            <v>0</v>
          </cell>
          <cell r="AN302">
            <v>0</v>
          </cell>
          <cell r="AO302">
            <v>0</v>
          </cell>
          <cell r="AP302">
            <v>772652</v>
          </cell>
          <cell r="AQ302">
            <v>0</v>
          </cell>
          <cell r="AR302">
            <v>15442</v>
          </cell>
          <cell r="AS302">
            <v>-2357974</v>
          </cell>
          <cell r="AT302">
            <v>-2310814</v>
          </cell>
          <cell r="AU302">
            <v>0</v>
          </cell>
          <cell r="AV302">
            <v>-47160</v>
          </cell>
          <cell r="AW302">
            <v>-4715948</v>
          </cell>
          <cell r="AX302">
            <v>-4614363</v>
          </cell>
          <cell r="AY302">
            <v>-4522077</v>
          </cell>
          <cell r="AZ302">
            <v>0</v>
          </cell>
          <cell r="BA302">
            <v>-92288</v>
          </cell>
          <cell r="BB302">
            <v>-9228728</v>
          </cell>
          <cell r="BC302">
            <v>108308426</v>
          </cell>
          <cell r="BD302">
            <v>-3340065</v>
          </cell>
          <cell r="BE302">
            <v>3014623</v>
          </cell>
          <cell r="BF302">
            <v>0</v>
          </cell>
          <cell r="BG302">
            <v>-4037433</v>
          </cell>
          <cell r="BH302">
            <v>-89377</v>
          </cell>
          <cell r="BI302">
            <v>-1832</v>
          </cell>
          <cell r="BJ302">
            <v>-239521</v>
          </cell>
          <cell r="BK302">
            <v>-4163330</v>
          </cell>
          <cell r="BL302">
            <v>-151369</v>
          </cell>
          <cell r="BM302">
            <v>-764682</v>
          </cell>
          <cell r="BN302">
            <v>-5268</v>
          </cell>
          <cell r="BO302">
            <v>-1018</v>
          </cell>
          <cell r="BP302">
            <v>-3557</v>
          </cell>
          <cell r="BQ302">
            <v>-5454</v>
          </cell>
          <cell r="BR302">
            <v>0</v>
          </cell>
          <cell r="BS302">
            <v>0</v>
          </cell>
          <cell r="BT302">
            <v>109769262</v>
          </cell>
          <cell r="BU302">
            <v>0</v>
          </cell>
          <cell r="BV302">
            <v>12679343</v>
          </cell>
          <cell r="BW302">
            <v>-1613339</v>
          </cell>
          <cell r="BX302">
            <v>-7687019</v>
          </cell>
          <cell r="BY302">
            <v>-8168528</v>
          </cell>
          <cell r="BZ302">
            <v>102798183</v>
          </cell>
          <cell r="CA302">
            <v>-3843510</v>
          </cell>
          <cell r="CB302">
            <v>-3766639</v>
          </cell>
          <cell r="CC302">
            <v>0</v>
          </cell>
          <cell r="CD302">
            <v>-76870</v>
          </cell>
          <cell r="CE302">
            <v>-4084264</v>
          </cell>
          <cell r="CF302">
            <v>-4002579</v>
          </cell>
          <cell r="CG302">
            <v>0</v>
          </cell>
          <cell r="CH302">
            <v>-81685</v>
          </cell>
        </row>
        <row r="303">
          <cell r="A303">
            <v>296</v>
          </cell>
          <cell r="B303" t="str">
            <v>Warwick</v>
          </cell>
          <cell r="C303" t="str">
            <v>E3735</v>
          </cell>
          <cell r="D303">
            <v>209611</v>
          </cell>
          <cell r="H303">
            <v>-589545</v>
          </cell>
          <cell r="I303">
            <v>0</v>
          </cell>
          <cell r="J303">
            <v>209611</v>
          </cell>
          <cell r="K303">
            <v>0</v>
          </cell>
          <cell r="L303">
            <v>8505</v>
          </cell>
          <cell r="M303">
            <v>0</v>
          </cell>
          <cell r="N303">
            <v>0</v>
          </cell>
          <cell r="O303">
            <v>0</v>
          </cell>
          <cell r="P303">
            <v>0</v>
          </cell>
          <cell r="Q303">
            <v>0</v>
          </cell>
          <cell r="R303">
            <v>1146535</v>
          </cell>
          <cell r="S303">
            <v>286634</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M303">
            <v>0</v>
          </cell>
          <cell r="AN303">
            <v>0</v>
          </cell>
          <cell r="AO303">
            <v>0</v>
          </cell>
          <cell r="AP303">
            <v>368077</v>
          </cell>
          <cell r="AQ303">
            <v>91987</v>
          </cell>
          <cell r="AR303">
            <v>0</v>
          </cell>
          <cell r="AS303">
            <v>-462500</v>
          </cell>
          <cell r="AT303">
            <v>-370000</v>
          </cell>
          <cell r="AU303">
            <v>-92500</v>
          </cell>
          <cell r="AV303">
            <v>0</v>
          </cell>
          <cell r="AW303">
            <v>-925000</v>
          </cell>
          <cell r="AX303">
            <v>-4574130</v>
          </cell>
          <cell r="AY303">
            <v>-3659302</v>
          </cell>
          <cell r="AZ303">
            <v>-914826</v>
          </cell>
          <cell r="BA303">
            <v>0</v>
          </cell>
          <cell r="BB303">
            <v>-9148258</v>
          </cell>
          <cell r="BC303">
            <v>70253328</v>
          </cell>
          <cell r="BD303">
            <v>-3000792</v>
          </cell>
          <cell r="BE303">
            <v>1857678</v>
          </cell>
          <cell r="BF303">
            <v>0</v>
          </cell>
          <cell r="BG303">
            <v>-4179613</v>
          </cell>
          <cell r="BH303">
            <v>-60366</v>
          </cell>
          <cell r="BI303">
            <v>-7759</v>
          </cell>
          <cell r="BJ303">
            <v>-8014</v>
          </cell>
          <cell r="BK303">
            <v>-2468872</v>
          </cell>
          <cell r="BL303">
            <v>-7116</v>
          </cell>
          <cell r="BM303">
            <v>-79297</v>
          </cell>
          <cell r="BN303">
            <v>0</v>
          </cell>
          <cell r="BO303">
            <v>-14419</v>
          </cell>
          <cell r="BP303">
            <v>0</v>
          </cell>
          <cell r="BQ303">
            <v>0</v>
          </cell>
          <cell r="BR303">
            <v>0</v>
          </cell>
          <cell r="BS303">
            <v>0</v>
          </cell>
          <cell r="BT303">
            <v>70315418</v>
          </cell>
          <cell r="BU303">
            <v>-204555</v>
          </cell>
          <cell r="BV303">
            <v>1551360</v>
          </cell>
          <cell r="BW303">
            <v>-452352</v>
          </cell>
          <cell r="BX303">
            <v>3056038</v>
          </cell>
          <cell r="BY303">
            <v>2769763</v>
          </cell>
          <cell r="BZ303">
            <v>61237254</v>
          </cell>
          <cell r="CA303">
            <v>1528019</v>
          </cell>
          <cell r="CB303">
            <v>1222415</v>
          </cell>
          <cell r="CC303">
            <v>305604</v>
          </cell>
          <cell r="CD303">
            <v>0</v>
          </cell>
          <cell r="CE303">
            <v>1384882</v>
          </cell>
          <cell r="CF303">
            <v>1107905</v>
          </cell>
          <cell r="CG303">
            <v>276976</v>
          </cell>
          <cell r="CH303">
            <v>0</v>
          </cell>
        </row>
        <row r="304">
          <cell r="A304">
            <v>297</v>
          </cell>
          <cell r="B304" t="str">
            <v>Watford</v>
          </cell>
          <cell r="C304" t="str">
            <v>E1939</v>
          </cell>
          <cell r="D304">
            <v>166600</v>
          </cell>
          <cell r="H304">
            <v>0</v>
          </cell>
          <cell r="I304">
            <v>0</v>
          </cell>
          <cell r="J304">
            <v>166600</v>
          </cell>
          <cell r="K304">
            <v>0</v>
          </cell>
          <cell r="L304">
            <v>0</v>
          </cell>
          <cell r="M304">
            <v>0</v>
          </cell>
          <cell r="N304">
            <v>0</v>
          </cell>
          <cell r="O304">
            <v>0</v>
          </cell>
          <cell r="P304">
            <v>0</v>
          </cell>
          <cell r="Q304">
            <v>0</v>
          </cell>
          <cell r="R304">
            <v>426163</v>
          </cell>
          <cell r="S304">
            <v>106541</v>
          </cell>
          <cell r="T304">
            <v>0</v>
          </cell>
          <cell r="U304">
            <v>6595</v>
          </cell>
          <cell r="V304">
            <v>1649</v>
          </cell>
          <cell r="W304">
            <v>0</v>
          </cell>
          <cell r="X304">
            <v>0</v>
          </cell>
          <cell r="Y304">
            <v>0</v>
          </cell>
          <cell r="Z304">
            <v>0</v>
          </cell>
          <cell r="AA304">
            <v>46166</v>
          </cell>
          <cell r="AB304">
            <v>11541</v>
          </cell>
          <cell r="AC304">
            <v>0</v>
          </cell>
          <cell r="AD304">
            <v>0</v>
          </cell>
          <cell r="AE304">
            <v>0</v>
          </cell>
          <cell r="AF304">
            <v>0</v>
          </cell>
          <cell r="AG304">
            <v>0</v>
          </cell>
          <cell r="AH304">
            <v>0</v>
          </cell>
          <cell r="AI304">
            <v>0</v>
          </cell>
          <cell r="AM304">
            <v>0</v>
          </cell>
          <cell r="AN304">
            <v>0</v>
          </cell>
          <cell r="AO304">
            <v>0</v>
          </cell>
          <cell r="AP304">
            <v>359665</v>
          </cell>
          <cell r="AQ304">
            <v>89916</v>
          </cell>
          <cell r="AR304">
            <v>0</v>
          </cell>
          <cell r="AS304">
            <v>-808344</v>
          </cell>
          <cell r="AT304">
            <v>-646675</v>
          </cell>
          <cell r="AU304">
            <v>-161668</v>
          </cell>
          <cell r="AV304">
            <v>0</v>
          </cell>
          <cell r="AW304">
            <v>-1616687</v>
          </cell>
          <cell r="AX304">
            <v>-5089682</v>
          </cell>
          <cell r="AY304">
            <v>-4071746</v>
          </cell>
          <cell r="AZ304">
            <v>-1017937</v>
          </cell>
          <cell r="BA304">
            <v>0</v>
          </cell>
          <cell r="BB304">
            <v>-10179365</v>
          </cell>
          <cell r="BC304">
            <v>72091579</v>
          </cell>
          <cell r="BD304">
            <v>-1498235</v>
          </cell>
          <cell r="BE304">
            <v>1836613</v>
          </cell>
          <cell r="BF304">
            <v>0</v>
          </cell>
          <cell r="BG304">
            <v>-3130302</v>
          </cell>
          <cell r="BH304">
            <v>0</v>
          </cell>
          <cell r="BI304">
            <v>0</v>
          </cell>
          <cell r="BJ304">
            <v>-23350</v>
          </cell>
          <cell r="BK304">
            <v>-2916626</v>
          </cell>
          <cell r="BL304">
            <v>-163707</v>
          </cell>
          <cell r="BM304">
            <v>0</v>
          </cell>
          <cell r="BN304">
            <v>0</v>
          </cell>
          <cell r="BO304">
            <v>0</v>
          </cell>
          <cell r="BP304">
            <v>0</v>
          </cell>
          <cell r="BQ304">
            <v>0</v>
          </cell>
          <cell r="BR304">
            <v>0</v>
          </cell>
          <cell r="BS304">
            <v>0</v>
          </cell>
          <cell r="BT304">
            <v>63332202</v>
          </cell>
          <cell r="BU304">
            <v>-681642</v>
          </cell>
          <cell r="BV304">
            <v>2815985</v>
          </cell>
          <cell r="BW304">
            <v>-2349115</v>
          </cell>
          <cell r="BX304">
            <v>8904529.3000000007</v>
          </cell>
          <cell r="BY304">
            <v>-1347568</v>
          </cell>
          <cell r="BZ304">
            <v>59858485</v>
          </cell>
          <cell r="CA304">
            <v>4452263.3000000007</v>
          </cell>
          <cell r="CB304">
            <v>3561813</v>
          </cell>
          <cell r="CC304">
            <v>890453</v>
          </cell>
          <cell r="CD304">
            <v>0</v>
          </cell>
          <cell r="CE304">
            <v>-673784</v>
          </cell>
          <cell r="CF304">
            <v>-539027</v>
          </cell>
          <cell r="CG304">
            <v>-134757</v>
          </cell>
          <cell r="CH304">
            <v>0</v>
          </cell>
        </row>
        <row r="305">
          <cell r="A305">
            <v>298</v>
          </cell>
          <cell r="B305" t="str">
            <v>Waveney</v>
          </cell>
          <cell r="C305" t="str">
            <v>E3537</v>
          </cell>
          <cell r="D305">
            <v>202129</v>
          </cell>
          <cell r="H305">
            <v>644820</v>
          </cell>
          <cell r="I305">
            <v>-9712</v>
          </cell>
          <cell r="J305">
            <v>202129</v>
          </cell>
          <cell r="K305">
            <v>238342</v>
          </cell>
          <cell r="L305">
            <v>201779</v>
          </cell>
          <cell r="M305">
            <v>0</v>
          </cell>
          <cell r="N305">
            <v>169145</v>
          </cell>
          <cell r="O305">
            <v>169145</v>
          </cell>
          <cell r="P305">
            <v>0</v>
          </cell>
          <cell r="Q305">
            <v>0</v>
          </cell>
          <cell r="R305">
            <v>811060</v>
          </cell>
          <cell r="S305">
            <v>202765</v>
          </cell>
          <cell r="T305">
            <v>0</v>
          </cell>
          <cell r="U305">
            <v>0</v>
          </cell>
          <cell r="V305">
            <v>0</v>
          </cell>
          <cell r="W305">
            <v>0</v>
          </cell>
          <cell r="X305">
            <v>0</v>
          </cell>
          <cell r="Y305">
            <v>0</v>
          </cell>
          <cell r="Z305">
            <v>0</v>
          </cell>
          <cell r="AA305">
            <v>4206</v>
          </cell>
          <cell r="AB305">
            <v>1051</v>
          </cell>
          <cell r="AC305">
            <v>0</v>
          </cell>
          <cell r="AD305">
            <v>0</v>
          </cell>
          <cell r="AE305">
            <v>0</v>
          </cell>
          <cell r="AF305">
            <v>0</v>
          </cell>
          <cell r="AG305">
            <v>0</v>
          </cell>
          <cell r="AH305">
            <v>0</v>
          </cell>
          <cell r="AI305">
            <v>0</v>
          </cell>
          <cell r="AM305">
            <v>0</v>
          </cell>
          <cell r="AN305">
            <v>0</v>
          </cell>
          <cell r="AO305">
            <v>0</v>
          </cell>
          <cell r="AP305">
            <v>168667</v>
          </cell>
          <cell r="AQ305">
            <v>39879</v>
          </cell>
          <cell r="AR305">
            <v>0</v>
          </cell>
          <cell r="AS305">
            <v>-422920</v>
          </cell>
          <cell r="AT305">
            <v>-338338</v>
          </cell>
          <cell r="AU305">
            <v>-84585</v>
          </cell>
          <cell r="AV305">
            <v>0</v>
          </cell>
          <cell r="AW305">
            <v>-845843</v>
          </cell>
          <cell r="AX305">
            <v>-1555642</v>
          </cell>
          <cell r="AY305">
            <v>-1244512</v>
          </cell>
          <cell r="AZ305">
            <v>-311128</v>
          </cell>
          <cell r="BA305">
            <v>0</v>
          </cell>
          <cell r="BB305">
            <v>-3111282</v>
          </cell>
          <cell r="BC305">
            <v>26800625</v>
          </cell>
          <cell r="BD305">
            <v>-3426165</v>
          </cell>
          <cell r="BE305">
            <v>713773</v>
          </cell>
          <cell r="BF305">
            <v>0</v>
          </cell>
          <cell r="BG305">
            <v>-2457991</v>
          </cell>
          <cell r="BH305">
            <v>-46285</v>
          </cell>
          <cell r="BI305">
            <v>-18358</v>
          </cell>
          <cell r="BJ305">
            <v>0</v>
          </cell>
          <cell r="BK305">
            <v>-988709</v>
          </cell>
          <cell r="BL305">
            <v>-79692</v>
          </cell>
          <cell r="BM305">
            <v>-5262</v>
          </cell>
          <cell r="BN305">
            <v>-204</v>
          </cell>
          <cell r="BO305">
            <v>-864</v>
          </cell>
          <cell r="BP305">
            <v>0</v>
          </cell>
          <cell r="BQ305">
            <v>-158686</v>
          </cell>
          <cell r="BR305">
            <v>-163398</v>
          </cell>
          <cell r="BS305">
            <v>0</v>
          </cell>
          <cell r="BT305">
            <v>27019959</v>
          </cell>
          <cell r="BU305">
            <v>-98861</v>
          </cell>
          <cell r="BV305">
            <v>1511412</v>
          </cell>
          <cell r="BW305">
            <v>-773777</v>
          </cell>
          <cell r="BX305">
            <v>-1194914</v>
          </cell>
          <cell r="BY305">
            <v>-2415155</v>
          </cell>
          <cell r="BZ305">
            <v>26547922</v>
          </cell>
          <cell r="CA305">
            <v>-597458</v>
          </cell>
          <cell r="CB305">
            <v>-477965</v>
          </cell>
          <cell r="CC305">
            <v>-119491</v>
          </cell>
          <cell r="CD305">
            <v>0</v>
          </cell>
          <cell r="CE305">
            <v>-1207577</v>
          </cell>
          <cell r="CF305">
            <v>-966062</v>
          </cell>
          <cell r="CG305">
            <v>-241516</v>
          </cell>
          <cell r="CH305">
            <v>0</v>
          </cell>
        </row>
        <row r="306">
          <cell r="A306">
            <v>299</v>
          </cell>
          <cell r="B306" t="str">
            <v>Waverley</v>
          </cell>
          <cell r="C306" t="str">
            <v>E3640</v>
          </cell>
          <cell r="D306">
            <v>177540</v>
          </cell>
          <cell r="H306">
            <v>1961408</v>
          </cell>
          <cell r="I306">
            <v>0</v>
          </cell>
          <cell r="J306">
            <v>177540</v>
          </cell>
          <cell r="K306">
            <v>0</v>
          </cell>
          <cell r="L306">
            <v>0</v>
          </cell>
          <cell r="M306">
            <v>0</v>
          </cell>
          <cell r="N306">
            <v>0</v>
          </cell>
          <cell r="O306">
            <v>0</v>
          </cell>
          <cell r="P306">
            <v>0</v>
          </cell>
          <cell r="Q306">
            <v>0</v>
          </cell>
          <cell r="R306">
            <v>661458</v>
          </cell>
          <cell r="S306">
            <v>165364</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M306">
            <v>0</v>
          </cell>
          <cell r="AN306">
            <v>0</v>
          </cell>
          <cell r="AO306">
            <v>0</v>
          </cell>
          <cell r="AP306">
            <v>227699</v>
          </cell>
          <cell r="AQ306">
            <v>56925</v>
          </cell>
          <cell r="AR306">
            <v>0</v>
          </cell>
          <cell r="AS306">
            <v>-235000</v>
          </cell>
          <cell r="AT306">
            <v>-188000</v>
          </cell>
          <cell r="AU306">
            <v>-47000</v>
          </cell>
          <cell r="AV306">
            <v>0</v>
          </cell>
          <cell r="AW306">
            <v>-470000</v>
          </cell>
          <cell r="AX306">
            <v>-1025000</v>
          </cell>
          <cell r="AY306">
            <v>-820000</v>
          </cell>
          <cell r="AZ306">
            <v>-205000</v>
          </cell>
          <cell r="BA306">
            <v>0</v>
          </cell>
          <cell r="BB306">
            <v>-2050000</v>
          </cell>
          <cell r="BC306">
            <v>36334694</v>
          </cell>
          <cell r="BD306">
            <v>-2348545</v>
          </cell>
          <cell r="BE306">
            <v>1020893</v>
          </cell>
          <cell r="BF306">
            <v>0</v>
          </cell>
          <cell r="BG306">
            <v>-5072305</v>
          </cell>
          <cell r="BH306">
            <v>-40414</v>
          </cell>
          <cell r="BI306">
            <v>-7244</v>
          </cell>
          <cell r="BJ306">
            <v>-3027</v>
          </cell>
          <cell r="BK306">
            <v>-1096289</v>
          </cell>
          <cell r="BL306">
            <v>-66204</v>
          </cell>
          <cell r="BM306">
            <v>-489165</v>
          </cell>
          <cell r="BN306">
            <v>0</v>
          </cell>
          <cell r="BO306">
            <v>-4346</v>
          </cell>
          <cell r="BP306">
            <v>-6699</v>
          </cell>
          <cell r="BQ306">
            <v>0</v>
          </cell>
          <cell r="BR306">
            <v>0</v>
          </cell>
          <cell r="BS306">
            <v>0</v>
          </cell>
          <cell r="BT306">
            <v>36734987</v>
          </cell>
          <cell r="BU306">
            <v>-235786</v>
          </cell>
          <cell r="BV306">
            <v>2338145</v>
          </cell>
          <cell r="BW306">
            <v>-750111</v>
          </cell>
          <cell r="BX306">
            <v>-2193877</v>
          </cell>
          <cell r="BY306">
            <v>-2359829</v>
          </cell>
          <cell r="BZ306">
            <v>37895632</v>
          </cell>
          <cell r="CA306">
            <v>-1096939</v>
          </cell>
          <cell r="CB306">
            <v>-877550</v>
          </cell>
          <cell r="CC306">
            <v>-219388</v>
          </cell>
          <cell r="CD306">
            <v>0</v>
          </cell>
          <cell r="CE306">
            <v>-1179914</v>
          </cell>
          <cell r="CF306">
            <v>-943932</v>
          </cell>
          <cell r="CG306">
            <v>-235983</v>
          </cell>
          <cell r="CH306">
            <v>0</v>
          </cell>
        </row>
        <row r="307">
          <cell r="A307">
            <v>300</v>
          </cell>
          <cell r="B307" t="str">
            <v>Wealden</v>
          </cell>
          <cell r="C307" t="str">
            <v>E1437</v>
          </cell>
          <cell r="D307">
            <v>214771</v>
          </cell>
          <cell r="H307">
            <v>1061787</v>
          </cell>
          <cell r="I307">
            <v>0</v>
          </cell>
          <cell r="J307">
            <v>214771</v>
          </cell>
          <cell r="K307">
            <v>0</v>
          </cell>
          <cell r="L307">
            <v>155165</v>
          </cell>
          <cell r="M307">
            <v>0</v>
          </cell>
          <cell r="N307">
            <v>0</v>
          </cell>
          <cell r="O307">
            <v>0</v>
          </cell>
          <cell r="P307">
            <v>0</v>
          </cell>
          <cell r="Q307">
            <v>0</v>
          </cell>
          <cell r="R307">
            <v>1356599</v>
          </cell>
          <cell r="S307">
            <v>305235</v>
          </cell>
          <cell r="T307">
            <v>33915</v>
          </cell>
          <cell r="U307">
            <v>10781</v>
          </cell>
          <cell r="V307">
            <v>2426</v>
          </cell>
          <cell r="W307">
            <v>270</v>
          </cell>
          <cell r="X307">
            <v>0</v>
          </cell>
          <cell r="Y307">
            <v>0</v>
          </cell>
          <cell r="Z307">
            <v>0</v>
          </cell>
          <cell r="AA307">
            <v>1545</v>
          </cell>
          <cell r="AB307">
            <v>348</v>
          </cell>
          <cell r="AC307">
            <v>39</v>
          </cell>
          <cell r="AD307">
            <v>0</v>
          </cell>
          <cell r="AE307">
            <v>0</v>
          </cell>
          <cell r="AF307">
            <v>0</v>
          </cell>
          <cell r="AG307">
            <v>0</v>
          </cell>
          <cell r="AH307">
            <v>0</v>
          </cell>
          <cell r="AI307">
            <v>0</v>
          </cell>
          <cell r="AM307">
            <v>0</v>
          </cell>
          <cell r="AN307">
            <v>0</v>
          </cell>
          <cell r="AO307">
            <v>0</v>
          </cell>
          <cell r="AP307">
            <v>162269</v>
          </cell>
          <cell r="AQ307">
            <v>35986</v>
          </cell>
          <cell r="AR307">
            <v>3998</v>
          </cell>
          <cell r="AS307">
            <v>-362344</v>
          </cell>
          <cell r="AT307">
            <v>-289874</v>
          </cell>
          <cell r="AU307">
            <v>-65221</v>
          </cell>
          <cell r="AV307">
            <v>-7247</v>
          </cell>
          <cell r="AW307">
            <v>-724686</v>
          </cell>
          <cell r="AX307">
            <v>-646501</v>
          </cell>
          <cell r="AY307">
            <v>-517200</v>
          </cell>
          <cell r="AZ307">
            <v>-116370</v>
          </cell>
          <cell r="BA307">
            <v>-12929</v>
          </cell>
          <cell r="BB307">
            <v>-1293000</v>
          </cell>
          <cell r="BC307">
            <v>30101270</v>
          </cell>
          <cell r="BD307">
            <v>-5230618</v>
          </cell>
          <cell r="BE307">
            <v>738417</v>
          </cell>
          <cell r="BF307">
            <v>0</v>
          </cell>
          <cell r="BG307">
            <v>-2737976</v>
          </cell>
          <cell r="BH307">
            <v>-88929</v>
          </cell>
          <cell r="BI307">
            <v>-71409</v>
          </cell>
          <cell r="BJ307">
            <v>-3616</v>
          </cell>
          <cell r="BK307">
            <v>-615841</v>
          </cell>
          <cell r="BL307">
            <v>-83031</v>
          </cell>
          <cell r="BM307">
            <v>-11943</v>
          </cell>
          <cell r="BN307">
            <v>0</v>
          </cell>
          <cell r="BO307">
            <v>-14341</v>
          </cell>
          <cell r="BP307">
            <v>-4227</v>
          </cell>
          <cell r="BQ307">
            <v>0</v>
          </cell>
          <cell r="BR307">
            <v>0</v>
          </cell>
          <cell r="BS307">
            <v>0</v>
          </cell>
          <cell r="BT307">
            <v>30870024</v>
          </cell>
          <cell r="BU307">
            <v>-208445</v>
          </cell>
          <cell r="BV307">
            <v>1552996</v>
          </cell>
          <cell r="BW307">
            <v>-435978</v>
          </cell>
          <cell r="BX307">
            <v>-774437</v>
          </cell>
          <cell r="BY307">
            <v>-955405</v>
          </cell>
          <cell r="BZ307">
            <v>26618351</v>
          </cell>
          <cell r="CA307">
            <v>-387220</v>
          </cell>
          <cell r="CB307">
            <v>-309774</v>
          </cell>
          <cell r="CC307">
            <v>-69699</v>
          </cell>
          <cell r="CD307">
            <v>-7744</v>
          </cell>
          <cell r="CE307">
            <v>-477703</v>
          </cell>
          <cell r="CF307">
            <v>-382162</v>
          </cell>
          <cell r="CG307">
            <v>-85986</v>
          </cell>
          <cell r="CH307">
            <v>-9554</v>
          </cell>
        </row>
        <row r="308">
          <cell r="A308">
            <v>301</v>
          </cell>
          <cell r="B308" t="str">
            <v>Wellingborough</v>
          </cell>
          <cell r="C308" t="str">
            <v>E2837</v>
          </cell>
          <cell r="D308">
            <v>109064</v>
          </cell>
          <cell r="H308">
            <v>-975612</v>
          </cell>
          <cell r="I308">
            <v>0</v>
          </cell>
          <cell r="J308">
            <v>109064</v>
          </cell>
          <cell r="K308">
            <v>0</v>
          </cell>
          <cell r="L308">
            <v>30277</v>
          </cell>
          <cell r="M308">
            <v>0</v>
          </cell>
          <cell r="N308">
            <v>0</v>
          </cell>
          <cell r="O308">
            <v>0</v>
          </cell>
          <cell r="P308">
            <v>0</v>
          </cell>
          <cell r="Q308">
            <v>0</v>
          </cell>
          <cell r="R308">
            <v>696000</v>
          </cell>
          <cell r="S308">
            <v>174000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M308">
            <v>0</v>
          </cell>
          <cell r="AN308">
            <v>0</v>
          </cell>
          <cell r="AO308">
            <v>0</v>
          </cell>
          <cell r="AP308">
            <v>168157</v>
          </cell>
          <cell r="AQ308">
            <v>41925</v>
          </cell>
          <cell r="AR308">
            <v>0</v>
          </cell>
          <cell r="AS308">
            <v>-134010</v>
          </cell>
          <cell r="AT308">
            <v>-107208</v>
          </cell>
          <cell r="AU308">
            <v>-26802</v>
          </cell>
          <cell r="AV308">
            <v>0</v>
          </cell>
          <cell r="AW308">
            <v>-268020</v>
          </cell>
          <cell r="AX308">
            <v>-1313982.8</v>
          </cell>
          <cell r="AY308">
            <v>-1051186</v>
          </cell>
          <cell r="AZ308">
            <v>-262798</v>
          </cell>
          <cell r="BA308">
            <v>0</v>
          </cell>
          <cell r="BB308">
            <v>-2627966.7999999998</v>
          </cell>
          <cell r="BC308">
            <v>28160189</v>
          </cell>
          <cell r="BD308">
            <v>-2110602</v>
          </cell>
          <cell r="BE308">
            <v>794397</v>
          </cell>
          <cell r="BF308">
            <v>0</v>
          </cell>
          <cell r="BG308">
            <v>-1734797</v>
          </cell>
          <cell r="BH308">
            <v>-8429</v>
          </cell>
          <cell r="BI308">
            <v>-2547</v>
          </cell>
          <cell r="BJ308">
            <v>-287946</v>
          </cell>
          <cell r="BK308">
            <v>-931762</v>
          </cell>
          <cell r="BL308">
            <v>-91275</v>
          </cell>
          <cell r="BM308">
            <v>-11820</v>
          </cell>
          <cell r="BN308">
            <v>-378</v>
          </cell>
          <cell r="BO308">
            <v>0</v>
          </cell>
          <cell r="BP308">
            <v>0</v>
          </cell>
          <cell r="BQ308">
            <v>0</v>
          </cell>
          <cell r="BR308">
            <v>0</v>
          </cell>
          <cell r="BS308">
            <v>0</v>
          </cell>
          <cell r="BT308">
            <v>28740993</v>
          </cell>
          <cell r="BU308">
            <v>-43078</v>
          </cell>
          <cell r="BV308">
            <v>710535</v>
          </cell>
          <cell r="BW308">
            <v>-734908</v>
          </cell>
          <cell r="BX308">
            <v>-2997216</v>
          </cell>
          <cell r="BY308">
            <v>-2624627</v>
          </cell>
          <cell r="BZ308">
            <v>27910368</v>
          </cell>
          <cell r="CA308">
            <v>-1498609</v>
          </cell>
          <cell r="CB308">
            <v>-1198886</v>
          </cell>
          <cell r="CC308">
            <v>-299721</v>
          </cell>
          <cell r="CD308">
            <v>0</v>
          </cell>
          <cell r="CE308">
            <v>-1312313</v>
          </cell>
          <cell r="CF308">
            <v>-1049851</v>
          </cell>
          <cell r="CG308">
            <v>-262463</v>
          </cell>
          <cell r="CH308">
            <v>0</v>
          </cell>
        </row>
        <row r="309">
          <cell r="A309">
            <v>302</v>
          </cell>
          <cell r="B309" t="str">
            <v>Welwyn Hatfield</v>
          </cell>
          <cell r="C309" t="str">
            <v>E1940</v>
          </cell>
          <cell r="D309">
            <v>152235</v>
          </cell>
          <cell r="H309">
            <v>-513096</v>
          </cell>
          <cell r="I309">
            <v>0</v>
          </cell>
          <cell r="J309">
            <v>152235</v>
          </cell>
          <cell r="K309">
            <v>0</v>
          </cell>
          <cell r="L309">
            <v>0</v>
          </cell>
          <cell r="M309">
            <v>0</v>
          </cell>
          <cell r="N309">
            <v>0</v>
          </cell>
          <cell r="O309">
            <v>0</v>
          </cell>
          <cell r="P309">
            <v>0</v>
          </cell>
          <cell r="Q309">
            <v>0</v>
          </cell>
          <cell r="R309">
            <v>337529</v>
          </cell>
          <cell r="S309">
            <v>84382</v>
          </cell>
          <cell r="T309">
            <v>0</v>
          </cell>
          <cell r="U309">
            <v>0</v>
          </cell>
          <cell r="V309">
            <v>0</v>
          </cell>
          <cell r="W309">
            <v>0</v>
          </cell>
          <cell r="X309">
            <v>0</v>
          </cell>
          <cell r="Y309">
            <v>0</v>
          </cell>
          <cell r="Z309">
            <v>0</v>
          </cell>
          <cell r="AA309">
            <v>7245</v>
          </cell>
          <cell r="AB309">
            <v>1811</v>
          </cell>
          <cell r="AC309">
            <v>0</v>
          </cell>
          <cell r="AD309">
            <v>0</v>
          </cell>
          <cell r="AE309">
            <v>0</v>
          </cell>
          <cell r="AF309">
            <v>0</v>
          </cell>
          <cell r="AG309">
            <v>0</v>
          </cell>
          <cell r="AH309">
            <v>0</v>
          </cell>
          <cell r="AI309">
            <v>0</v>
          </cell>
          <cell r="AM309">
            <v>0</v>
          </cell>
          <cell r="AN309">
            <v>0</v>
          </cell>
          <cell r="AO309">
            <v>0</v>
          </cell>
          <cell r="AP309">
            <v>351915</v>
          </cell>
          <cell r="AQ309">
            <v>87979</v>
          </cell>
          <cell r="AR309">
            <v>0</v>
          </cell>
          <cell r="AS309">
            <v>-69510.070000000007</v>
          </cell>
          <cell r="AT309">
            <v>-55608</v>
          </cell>
          <cell r="AU309">
            <v>-13903</v>
          </cell>
          <cell r="AV309">
            <v>0</v>
          </cell>
          <cell r="AW309">
            <v>-139021.07</v>
          </cell>
          <cell r="AX309">
            <v>-2382622.7000000002</v>
          </cell>
          <cell r="AY309">
            <v>-1906096</v>
          </cell>
          <cell r="AZ309">
            <v>-476524</v>
          </cell>
          <cell r="BA309">
            <v>0</v>
          </cell>
          <cell r="BB309">
            <v>-4765242.7</v>
          </cell>
          <cell r="BC309">
            <v>56229304</v>
          </cell>
          <cell r="BD309">
            <v>-1409325</v>
          </cell>
          <cell r="BE309">
            <v>1687652</v>
          </cell>
          <cell r="BF309">
            <v>0</v>
          </cell>
          <cell r="BG309">
            <v>-5450010</v>
          </cell>
          <cell r="BH309">
            <v>-48010</v>
          </cell>
          <cell r="BI309">
            <v>0</v>
          </cell>
          <cell r="BJ309">
            <v>-381170</v>
          </cell>
          <cell r="BK309">
            <v>-1503379</v>
          </cell>
          <cell r="BL309">
            <v>-192841</v>
          </cell>
          <cell r="BM309">
            <v>-50078</v>
          </cell>
          <cell r="BN309">
            <v>-6020</v>
          </cell>
          <cell r="BO309">
            <v>0</v>
          </cell>
          <cell r="BP309">
            <v>0</v>
          </cell>
          <cell r="BQ309">
            <v>0</v>
          </cell>
          <cell r="BR309">
            <v>0</v>
          </cell>
          <cell r="BS309">
            <v>0</v>
          </cell>
          <cell r="BT309">
            <v>58180195</v>
          </cell>
          <cell r="BU309">
            <v>-141940</v>
          </cell>
          <cell r="BV309">
            <v>764946</v>
          </cell>
          <cell r="BW309">
            <v>-194322</v>
          </cell>
          <cell r="BX309">
            <v>-3783319</v>
          </cell>
          <cell r="BY309">
            <v>-1586171</v>
          </cell>
          <cell r="BZ309">
            <v>58568763</v>
          </cell>
          <cell r="CA309">
            <v>-1891660</v>
          </cell>
          <cell r="CB309">
            <v>-1513327</v>
          </cell>
          <cell r="CC309">
            <v>-378332</v>
          </cell>
          <cell r="CD309">
            <v>0</v>
          </cell>
          <cell r="CE309">
            <v>-793086</v>
          </cell>
          <cell r="CF309">
            <v>-634468</v>
          </cell>
          <cell r="CG309">
            <v>-158617</v>
          </cell>
          <cell r="CH309">
            <v>0</v>
          </cell>
        </row>
        <row r="310">
          <cell r="A310">
            <v>303</v>
          </cell>
          <cell r="B310" t="str">
            <v>West Berkshire</v>
          </cell>
          <cell r="C310" t="str">
            <v>E0302</v>
          </cell>
          <cell r="D310">
            <v>257198</v>
          </cell>
          <cell r="H310">
            <v>-1019381</v>
          </cell>
          <cell r="I310">
            <v>0</v>
          </cell>
          <cell r="J310">
            <v>257198</v>
          </cell>
          <cell r="K310">
            <v>0</v>
          </cell>
          <cell r="L310">
            <v>0</v>
          </cell>
          <cell r="M310">
            <v>0</v>
          </cell>
          <cell r="N310">
            <v>0</v>
          </cell>
          <cell r="O310">
            <v>0</v>
          </cell>
          <cell r="P310">
            <v>0</v>
          </cell>
          <cell r="Q310">
            <v>0</v>
          </cell>
          <cell r="R310">
            <v>825632</v>
          </cell>
          <cell r="S310">
            <v>0</v>
          </cell>
          <cell r="T310">
            <v>16850</v>
          </cell>
          <cell r="U310">
            <v>7815</v>
          </cell>
          <cell r="V310">
            <v>0</v>
          </cell>
          <cell r="W310">
            <v>160</v>
          </cell>
          <cell r="X310">
            <v>0</v>
          </cell>
          <cell r="Y310">
            <v>0</v>
          </cell>
          <cell r="Z310">
            <v>0</v>
          </cell>
          <cell r="AA310">
            <v>0</v>
          </cell>
          <cell r="AB310">
            <v>0</v>
          </cell>
          <cell r="AC310">
            <v>0</v>
          </cell>
          <cell r="AD310">
            <v>0</v>
          </cell>
          <cell r="AE310">
            <v>0</v>
          </cell>
          <cell r="AF310">
            <v>0</v>
          </cell>
          <cell r="AG310">
            <v>0</v>
          </cell>
          <cell r="AH310">
            <v>0</v>
          </cell>
          <cell r="AI310">
            <v>0</v>
          </cell>
          <cell r="AM310">
            <v>0</v>
          </cell>
          <cell r="AN310">
            <v>0</v>
          </cell>
          <cell r="AO310">
            <v>0</v>
          </cell>
          <cell r="AP310">
            <v>628669</v>
          </cell>
          <cell r="AQ310">
            <v>0</v>
          </cell>
          <cell r="AR310">
            <v>12830</v>
          </cell>
          <cell r="AS310">
            <v>-98292</v>
          </cell>
          <cell r="AT310">
            <v>-96326</v>
          </cell>
          <cell r="AU310">
            <v>0</v>
          </cell>
          <cell r="AV310">
            <v>-1966</v>
          </cell>
          <cell r="AW310">
            <v>-196584</v>
          </cell>
          <cell r="AX310">
            <v>-250000</v>
          </cell>
          <cell r="AY310">
            <v>-245000</v>
          </cell>
          <cell r="AZ310">
            <v>0</v>
          </cell>
          <cell r="BA310">
            <v>-5000</v>
          </cell>
          <cell r="BB310">
            <v>-500000</v>
          </cell>
          <cell r="BC310">
            <v>86689645</v>
          </cell>
          <cell r="BD310">
            <v>-2523698</v>
          </cell>
          <cell r="BE310">
            <v>2249077</v>
          </cell>
          <cell r="BF310">
            <v>0</v>
          </cell>
          <cell r="BG310">
            <v>-4341190</v>
          </cell>
          <cell r="BH310">
            <v>-73244</v>
          </cell>
          <cell r="BI310">
            <v>-33951</v>
          </cell>
          <cell r="BJ310">
            <v>0</v>
          </cell>
          <cell r="BK310">
            <v>-2530631</v>
          </cell>
          <cell r="BL310">
            <v>-41805</v>
          </cell>
          <cell r="BM310">
            <v>-28971</v>
          </cell>
          <cell r="BN310">
            <v>-6163</v>
          </cell>
          <cell r="BO310">
            <v>-7773</v>
          </cell>
          <cell r="BP310">
            <v>-39732</v>
          </cell>
          <cell r="BQ310">
            <v>0</v>
          </cell>
          <cell r="BR310">
            <v>0</v>
          </cell>
          <cell r="BS310">
            <v>0</v>
          </cell>
          <cell r="BT310">
            <v>85690602</v>
          </cell>
          <cell r="BU310">
            <v>-347502</v>
          </cell>
          <cell r="BV310">
            <v>2594126</v>
          </cell>
          <cell r="BW310">
            <v>-2366758</v>
          </cell>
          <cell r="BX310">
            <v>-2208885</v>
          </cell>
          <cell r="BY310">
            <v>-1235028</v>
          </cell>
          <cell r="BZ310">
            <v>85411066</v>
          </cell>
          <cell r="CA310">
            <v>-1104442</v>
          </cell>
          <cell r="CB310">
            <v>-1082353</v>
          </cell>
          <cell r="CC310">
            <v>0</v>
          </cell>
          <cell r="CD310">
            <v>-22090</v>
          </cell>
          <cell r="CE310">
            <v>-617514</v>
          </cell>
          <cell r="CF310">
            <v>-605164</v>
          </cell>
          <cell r="CG310">
            <v>0</v>
          </cell>
          <cell r="CH310">
            <v>-12350</v>
          </cell>
        </row>
        <row r="311">
          <cell r="A311">
            <v>304</v>
          </cell>
          <cell r="B311" t="str">
            <v>West Devon</v>
          </cell>
          <cell r="C311" t="str">
            <v>E1140</v>
          </cell>
          <cell r="D311">
            <v>83792</v>
          </cell>
          <cell r="H311">
            <v>339571</v>
          </cell>
          <cell r="I311">
            <v>0</v>
          </cell>
          <cell r="J311">
            <v>83792</v>
          </cell>
          <cell r="K311">
            <v>0</v>
          </cell>
          <cell r="L311">
            <v>0</v>
          </cell>
          <cell r="M311">
            <v>0</v>
          </cell>
          <cell r="N311">
            <v>0</v>
          </cell>
          <cell r="O311">
            <v>0</v>
          </cell>
          <cell r="P311">
            <v>0</v>
          </cell>
          <cell r="Q311">
            <v>0</v>
          </cell>
          <cell r="R311">
            <v>450134</v>
          </cell>
          <cell r="S311">
            <v>101280</v>
          </cell>
          <cell r="T311">
            <v>11253</v>
          </cell>
          <cell r="U311">
            <v>0</v>
          </cell>
          <cell r="V311">
            <v>0</v>
          </cell>
          <cell r="W311">
            <v>0</v>
          </cell>
          <cell r="X311">
            <v>812</v>
          </cell>
          <cell r="Y311">
            <v>183</v>
          </cell>
          <cell r="Z311">
            <v>20</v>
          </cell>
          <cell r="AA311">
            <v>0</v>
          </cell>
          <cell r="AB311">
            <v>0</v>
          </cell>
          <cell r="AC311">
            <v>0</v>
          </cell>
          <cell r="AD311">
            <v>0</v>
          </cell>
          <cell r="AE311">
            <v>0</v>
          </cell>
          <cell r="AF311">
            <v>0</v>
          </cell>
          <cell r="AG311">
            <v>0</v>
          </cell>
          <cell r="AH311">
            <v>0</v>
          </cell>
          <cell r="AI311">
            <v>0</v>
          </cell>
          <cell r="AM311">
            <v>0</v>
          </cell>
          <cell r="AN311">
            <v>0</v>
          </cell>
          <cell r="AO311">
            <v>0</v>
          </cell>
          <cell r="AP311">
            <v>61576</v>
          </cell>
          <cell r="AQ311">
            <v>13855</v>
          </cell>
          <cell r="AR311">
            <v>1539</v>
          </cell>
          <cell r="AS311">
            <v>-166103</v>
          </cell>
          <cell r="AT311">
            <v>-132882</v>
          </cell>
          <cell r="AU311">
            <v>-29899</v>
          </cell>
          <cell r="AV311">
            <v>-3322</v>
          </cell>
          <cell r="AW311">
            <v>-332206</v>
          </cell>
          <cell r="AX311">
            <v>-382249</v>
          </cell>
          <cell r="AY311">
            <v>-305799</v>
          </cell>
          <cell r="AZ311">
            <v>-68804</v>
          </cell>
          <cell r="BA311">
            <v>-7645</v>
          </cell>
          <cell r="BB311">
            <v>-764497</v>
          </cell>
          <cell r="BC311">
            <v>11196592</v>
          </cell>
          <cell r="BD311">
            <v>-1589659</v>
          </cell>
          <cell r="BE311">
            <v>253740</v>
          </cell>
          <cell r="BF311">
            <v>0</v>
          </cell>
          <cell r="BG311">
            <v>-799188</v>
          </cell>
          <cell r="BH311">
            <v>-68981</v>
          </cell>
          <cell r="BI311">
            <v>-44225</v>
          </cell>
          <cell r="BJ311">
            <v>0</v>
          </cell>
          <cell r="BK311">
            <v>-261829</v>
          </cell>
          <cell r="BL311">
            <v>-47660</v>
          </cell>
          <cell r="BM311">
            <v>-11243</v>
          </cell>
          <cell r="BN311">
            <v>-6434</v>
          </cell>
          <cell r="BO311">
            <v>-15933</v>
          </cell>
          <cell r="BP311">
            <v>0</v>
          </cell>
          <cell r="BQ311">
            <v>0</v>
          </cell>
          <cell r="BR311">
            <v>0</v>
          </cell>
          <cell r="BS311">
            <v>0</v>
          </cell>
          <cell r="BT311">
            <v>10737656</v>
          </cell>
          <cell r="BU311">
            <v>-23516</v>
          </cell>
          <cell r="BV311">
            <v>958220</v>
          </cell>
          <cell r="BW311">
            <v>-213251</v>
          </cell>
          <cell r="BX311">
            <v>402052</v>
          </cell>
          <cell r="BY311">
            <v>34654</v>
          </cell>
          <cell r="BZ311">
            <v>10247984</v>
          </cell>
          <cell r="CA311">
            <v>201027</v>
          </cell>
          <cell r="CB311">
            <v>160820</v>
          </cell>
          <cell r="CC311">
            <v>36185</v>
          </cell>
          <cell r="CD311">
            <v>4020</v>
          </cell>
          <cell r="CE311">
            <v>17326</v>
          </cell>
          <cell r="CF311">
            <v>13862</v>
          </cell>
          <cell r="CG311">
            <v>3119</v>
          </cell>
          <cell r="CH311">
            <v>347</v>
          </cell>
        </row>
        <row r="312">
          <cell r="A312">
            <v>305</v>
          </cell>
          <cell r="B312" t="str">
            <v>West Dorset</v>
          </cell>
          <cell r="C312" t="str">
            <v>E1237</v>
          </cell>
          <cell r="D312">
            <v>211340</v>
          </cell>
          <cell r="H312">
            <v>1704916</v>
          </cell>
          <cell r="I312">
            <v>0</v>
          </cell>
          <cell r="J312">
            <v>211340</v>
          </cell>
          <cell r="K312">
            <v>0</v>
          </cell>
          <cell r="L312">
            <v>96399</v>
          </cell>
          <cell r="M312">
            <v>0</v>
          </cell>
          <cell r="N312">
            <v>0</v>
          </cell>
          <cell r="O312">
            <v>0</v>
          </cell>
          <cell r="P312">
            <v>0</v>
          </cell>
          <cell r="Q312">
            <v>0</v>
          </cell>
          <cell r="R312">
            <v>1049864</v>
          </cell>
          <cell r="S312">
            <v>236220</v>
          </cell>
          <cell r="T312">
            <v>26247</v>
          </cell>
          <cell r="U312">
            <v>4339</v>
          </cell>
          <cell r="V312">
            <v>976</v>
          </cell>
          <cell r="W312">
            <v>108</v>
          </cell>
          <cell r="X312">
            <v>100964</v>
          </cell>
          <cell r="Y312">
            <v>22717</v>
          </cell>
          <cell r="Z312">
            <v>2524</v>
          </cell>
          <cell r="AA312">
            <v>3141</v>
          </cell>
          <cell r="AB312">
            <v>707</v>
          </cell>
          <cell r="AC312">
            <v>79</v>
          </cell>
          <cell r="AD312">
            <v>0</v>
          </cell>
          <cell r="AE312">
            <v>0</v>
          </cell>
          <cell r="AF312">
            <v>0</v>
          </cell>
          <cell r="AG312">
            <v>0</v>
          </cell>
          <cell r="AH312">
            <v>0</v>
          </cell>
          <cell r="AI312">
            <v>0</v>
          </cell>
          <cell r="AM312">
            <v>0</v>
          </cell>
          <cell r="AN312">
            <v>0</v>
          </cell>
          <cell r="AO312">
            <v>0</v>
          </cell>
          <cell r="AP312">
            <v>168526</v>
          </cell>
          <cell r="AQ312">
            <v>37593</v>
          </cell>
          <cell r="AR312">
            <v>4177</v>
          </cell>
          <cell r="AS312">
            <v>-338000</v>
          </cell>
          <cell r="AT312">
            <v>-270400</v>
          </cell>
          <cell r="AU312">
            <v>-60840</v>
          </cell>
          <cell r="AV312">
            <v>-6760</v>
          </cell>
          <cell r="AW312">
            <v>-676000</v>
          </cell>
          <cell r="AX312">
            <v>-3749700</v>
          </cell>
          <cell r="AY312">
            <v>-2999764</v>
          </cell>
          <cell r="AZ312">
            <v>-674948</v>
          </cell>
          <cell r="BA312">
            <v>-74994</v>
          </cell>
          <cell r="BB312">
            <v>-7499406</v>
          </cell>
          <cell r="BC312">
            <v>28132761</v>
          </cell>
          <cell r="BD312">
            <v>-4148278</v>
          </cell>
          <cell r="BE312">
            <v>781785</v>
          </cell>
          <cell r="BF312">
            <v>0</v>
          </cell>
          <cell r="BG312">
            <v>-3310053</v>
          </cell>
          <cell r="BH312">
            <v>-96862</v>
          </cell>
          <cell r="BI312">
            <v>-81473</v>
          </cell>
          <cell r="BJ312">
            <v>0</v>
          </cell>
          <cell r="BK312">
            <v>-1033470</v>
          </cell>
          <cell r="BL312">
            <v>-152666</v>
          </cell>
          <cell r="BM312">
            <v>-3227</v>
          </cell>
          <cell r="BN312">
            <v>-1320</v>
          </cell>
          <cell r="BO312">
            <v>-21778</v>
          </cell>
          <cell r="BP312">
            <v>0</v>
          </cell>
          <cell r="BQ312">
            <v>0</v>
          </cell>
          <cell r="BR312">
            <v>0</v>
          </cell>
          <cell r="BS312">
            <v>0</v>
          </cell>
          <cell r="BT312">
            <v>30486560</v>
          </cell>
          <cell r="BU312">
            <v>-500258</v>
          </cell>
          <cell r="BV312">
            <v>1281177</v>
          </cell>
          <cell r="BW312">
            <v>-657226</v>
          </cell>
          <cell r="BX312">
            <v>-753075</v>
          </cell>
          <cell r="BY312">
            <v>0</v>
          </cell>
          <cell r="BZ312">
            <v>27806544</v>
          </cell>
          <cell r="CA312">
            <v>-376538</v>
          </cell>
          <cell r="CB312">
            <v>-301230</v>
          </cell>
          <cell r="CC312">
            <v>-67777</v>
          </cell>
          <cell r="CD312">
            <v>-7530</v>
          </cell>
          <cell r="CE312">
            <v>0</v>
          </cell>
          <cell r="CF312">
            <v>0</v>
          </cell>
          <cell r="CG312">
            <v>0</v>
          </cell>
          <cell r="CH312">
            <v>0</v>
          </cell>
        </row>
        <row r="313">
          <cell r="A313">
            <v>306</v>
          </cell>
          <cell r="B313" t="str">
            <v>West Lancashire</v>
          </cell>
          <cell r="C313" t="str">
            <v>E2343</v>
          </cell>
          <cell r="D313">
            <v>128797</v>
          </cell>
          <cell r="H313">
            <v>-1920400</v>
          </cell>
          <cell r="I313">
            <v>0</v>
          </cell>
          <cell r="J313">
            <v>128797</v>
          </cell>
          <cell r="K313">
            <v>0</v>
          </cell>
          <cell r="L313">
            <v>0</v>
          </cell>
          <cell r="M313">
            <v>0</v>
          </cell>
          <cell r="N313">
            <v>0</v>
          </cell>
          <cell r="O313">
            <v>0</v>
          </cell>
          <cell r="P313">
            <v>0</v>
          </cell>
          <cell r="Q313">
            <v>0</v>
          </cell>
          <cell r="R313">
            <v>562225</v>
          </cell>
          <cell r="S313">
            <v>126501</v>
          </cell>
          <cell r="T313">
            <v>14056</v>
          </cell>
          <cell r="U313">
            <v>4429</v>
          </cell>
          <cell r="V313">
            <v>997</v>
          </cell>
          <cell r="W313">
            <v>111</v>
          </cell>
          <cell r="X313">
            <v>0</v>
          </cell>
          <cell r="Y313">
            <v>0</v>
          </cell>
          <cell r="Z313">
            <v>0</v>
          </cell>
          <cell r="AA313">
            <v>0</v>
          </cell>
          <cell r="AB313">
            <v>0</v>
          </cell>
          <cell r="AC313">
            <v>0</v>
          </cell>
          <cell r="AD313">
            <v>0</v>
          </cell>
          <cell r="AE313">
            <v>0</v>
          </cell>
          <cell r="AF313">
            <v>0</v>
          </cell>
          <cell r="AG313">
            <v>0</v>
          </cell>
          <cell r="AH313">
            <v>0</v>
          </cell>
          <cell r="AI313">
            <v>0</v>
          </cell>
          <cell r="AM313">
            <v>0</v>
          </cell>
          <cell r="AN313">
            <v>0</v>
          </cell>
          <cell r="AO313">
            <v>0</v>
          </cell>
          <cell r="AP313">
            <v>176046</v>
          </cell>
          <cell r="AQ313">
            <v>39610</v>
          </cell>
          <cell r="AR313">
            <v>4401</v>
          </cell>
          <cell r="AS313">
            <v>-529238</v>
          </cell>
          <cell r="AT313">
            <v>-423390</v>
          </cell>
          <cell r="AU313">
            <v>-95264</v>
          </cell>
          <cell r="AV313">
            <v>-10585</v>
          </cell>
          <cell r="AW313">
            <v>-1058477</v>
          </cell>
          <cell r="AX313">
            <v>-1254482</v>
          </cell>
          <cell r="AY313">
            <v>-1003587</v>
          </cell>
          <cell r="AZ313">
            <v>-225808</v>
          </cell>
          <cell r="BA313">
            <v>-25089</v>
          </cell>
          <cell r="BB313">
            <v>-2508966</v>
          </cell>
          <cell r="BC313">
            <v>32899117</v>
          </cell>
          <cell r="BD313">
            <v>-2241650</v>
          </cell>
          <cell r="BE313">
            <v>895116</v>
          </cell>
          <cell r="BF313">
            <v>0</v>
          </cell>
          <cell r="BG313">
            <v>-2628756</v>
          </cell>
          <cell r="BH313">
            <v>0</v>
          </cell>
          <cell r="BI313">
            <v>-2680</v>
          </cell>
          <cell r="BJ313">
            <v>0</v>
          </cell>
          <cell r="BK313">
            <v>-2147970</v>
          </cell>
          <cell r="BL313">
            <v>-14682</v>
          </cell>
          <cell r="BM313">
            <v>-40587</v>
          </cell>
          <cell r="BN313">
            <v>0</v>
          </cell>
          <cell r="BO313">
            <v>0</v>
          </cell>
          <cell r="BP313">
            <v>0</v>
          </cell>
          <cell r="BQ313">
            <v>0</v>
          </cell>
          <cell r="BR313">
            <v>0</v>
          </cell>
          <cell r="BS313">
            <v>0</v>
          </cell>
          <cell r="BT313">
            <v>31734201</v>
          </cell>
          <cell r="BU313">
            <v>-954894</v>
          </cell>
          <cell r="BV313">
            <v>3063333</v>
          </cell>
          <cell r="BW313">
            <v>-808490</v>
          </cell>
          <cell r="BX313">
            <v>-1562498</v>
          </cell>
          <cell r="BY313">
            <v>-2666668</v>
          </cell>
          <cell r="BZ313">
            <v>29299123</v>
          </cell>
          <cell r="CA313">
            <v>-781250</v>
          </cell>
          <cell r="CB313">
            <v>-624998</v>
          </cell>
          <cell r="CC313">
            <v>-140625</v>
          </cell>
          <cell r="CD313">
            <v>-15625</v>
          </cell>
          <cell r="CE313">
            <v>-1333334</v>
          </cell>
          <cell r="CF313">
            <v>-1066667</v>
          </cell>
          <cell r="CG313">
            <v>-240000</v>
          </cell>
          <cell r="CH313">
            <v>-26667</v>
          </cell>
        </row>
        <row r="314">
          <cell r="A314">
            <v>307</v>
          </cell>
          <cell r="B314" t="str">
            <v>West Lindsey</v>
          </cell>
          <cell r="C314" t="str">
            <v>E2537</v>
          </cell>
          <cell r="D314">
            <v>104972</v>
          </cell>
          <cell r="H314">
            <v>595030</v>
          </cell>
          <cell r="I314">
            <v>0</v>
          </cell>
          <cell r="J314">
            <v>104972</v>
          </cell>
          <cell r="K314">
            <v>0</v>
          </cell>
          <cell r="L314">
            <v>24558</v>
          </cell>
          <cell r="M314">
            <v>0</v>
          </cell>
          <cell r="N314">
            <v>0</v>
          </cell>
          <cell r="O314">
            <v>0</v>
          </cell>
          <cell r="P314">
            <v>0</v>
          </cell>
          <cell r="Q314">
            <v>0</v>
          </cell>
          <cell r="R314">
            <v>460135</v>
          </cell>
          <cell r="S314">
            <v>115034</v>
          </cell>
          <cell r="T314">
            <v>0</v>
          </cell>
          <cell r="U314">
            <v>3672</v>
          </cell>
          <cell r="V314">
            <v>918</v>
          </cell>
          <cell r="W314">
            <v>0</v>
          </cell>
          <cell r="X314">
            <v>5121</v>
          </cell>
          <cell r="Y314">
            <v>1280</v>
          </cell>
          <cell r="Z314">
            <v>0</v>
          </cell>
          <cell r="AA314">
            <v>1662</v>
          </cell>
          <cell r="AB314">
            <v>415</v>
          </cell>
          <cell r="AC314">
            <v>0</v>
          </cell>
          <cell r="AD314">
            <v>0</v>
          </cell>
          <cell r="AE314">
            <v>0</v>
          </cell>
          <cell r="AF314">
            <v>0</v>
          </cell>
          <cell r="AG314">
            <v>0</v>
          </cell>
          <cell r="AH314">
            <v>0</v>
          </cell>
          <cell r="AI314">
            <v>0</v>
          </cell>
          <cell r="AM314">
            <v>0</v>
          </cell>
          <cell r="AN314">
            <v>0</v>
          </cell>
          <cell r="AO314">
            <v>0</v>
          </cell>
          <cell r="AP314">
            <v>98723</v>
          </cell>
          <cell r="AQ314">
            <v>24589</v>
          </cell>
          <cell r="AR314">
            <v>0</v>
          </cell>
          <cell r="AS314">
            <v>-188561</v>
          </cell>
          <cell r="AT314">
            <v>-150847</v>
          </cell>
          <cell r="AU314">
            <v>-37712</v>
          </cell>
          <cell r="AV314">
            <v>0</v>
          </cell>
          <cell r="AW314">
            <v>-377120</v>
          </cell>
          <cell r="AX314">
            <v>-971155</v>
          </cell>
          <cell r="AY314">
            <v>-776923</v>
          </cell>
          <cell r="AZ314">
            <v>-194232</v>
          </cell>
          <cell r="BA314">
            <v>0</v>
          </cell>
          <cell r="BB314">
            <v>-1942310</v>
          </cell>
          <cell r="BC314">
            <v>15543570</v>
          </cell>
          <cell r="BD314">
            <v>-1870985</v>
          </cell>
          <cell r="BE314">
            <v>434802</v>
          </cell>
          <cell r="BF314">
            <v>0</v>
          </cell>
          <cell r="BG314">
            <v>-1578044</v>
          </cell>
          <cell r="BH314">
            <v>-27544</v>
          </cell>
          <cell r="BI314">
            <v>-34259</v>
          </cell>
          <cell r="BJ314">
            <v>0</v>
          </cell>
          <cell r="BK314">
            <v>-653235</v>
          </cell>
          <cell r="BL314">
            <v>-32535</v>
          </cell>
          <cell r="BM314">
            <v>-24658</v>
          </cell>
          <cell r="BN314">
            <v>-2266</v>
          </cell>
          <cell r="BO314">
            <v>-5927</v>
          </cell>
          <cell r="BP314">
            <v>-245</v>
          </cell>
          <cell r="BQ314">
            <v>0</v>
          </cell>
          <cell r="BR314">
            <v>0</v>
          </cell>
          <cell r="BS314">
            <v>0</v>
          </cell>
          <cell r="BT314">
            <v>16409831</v>
          </cell>
          <cell r="BU314">
            <v>-325228</v>
          </cell>
          <cell r="BV314">
            <v>1257818</v>
          </cell>
          <cell r="BW314">
            <v>-859168</v>
          </cell>
          <cell r="BX314">
            <v>-3863028</v>
          </cell>
          <cell r="BY314">
            <v>-463502</v>
          </cell>
          <cell r="BZ314">
            <v>16369007</v>
          </cell>
          <cell r="CA314">
            <v>-1931514</v>
          </cell>
          <cell r="CB314">
            <v>-1545211</v>
          </cell>
          <cell r="CC314">
            <v>-386303</v>
          </cell>
          <cell r="CD314">
            <v>0</v>
          </cell>
          <cell r="CE314">
            <v>-231751</v>
          </cell>
          <cell r="CF314">
            <v>-185401</v>
          </cell>
          <cell r="CG314">
            <v>-46350</v>
          </cell>
          <cell r="CH314">
            <v>0</v>
          </cell>
        </row>
        <row r="315">
          <cell r="A315">
            <v>308</v>
          </cell>
          <cell r="B315" t="str">
            <v>West Oxfordshire</v>
          </cell>
          <cell r="C315" t="str">
            <v>E3135</v>
          </cell>
          <cell r="D315">
            <v>163845</v>
          </cell>
          <cell r="H315">
            <v>2333653</v>
          </cell>
          <cell r="I315">
            <v>0</v>
          </cell>
          <cell r="J315">
            <v>163845</v>
          </cell>
          <cell r="K315">
            <v>0</v>
          </cell>
          <cell r="L315">
            <v>174866</v>
          </cell>
          <cell r="M315">
            <v>0</v>
          </cell>
          <cell r="N315">
            <v>0</v>
          </cell>
          <cell r="O315">
            <v>0</v>
          </cell>
          <cell r="P315">
            <v>0</v>
          </cell>
          <cell r="Q315">
            <v>0</v>
          </cell>
          <cell r="R315">
            <v>547729</v>
          </cell>
          <cell r="S315">
            <v>136932</v>
          </cell>
          <cell r="T315">
            <v>0</v>
          </cell>
          <cell r="U315">
            <v>7162</v>
          </cell>
          <cell r="V315">
            <v>1790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M315">
            <v>0</v>
          </cell>
          <cell r="AN315">
            <v>0</v>
          </cell>
          <cell r="AO315">
            <v>0</v>
          </cell>
          <cell r="AP315">
            <v>228303</v>
          </cell>
          <cell r="AQ315">
            <v>56419</v>
          </cell>
          <cell r="AR315">
            <v>0</v>
          </cell>
          <cell r="AS315">
            <v>-195606</v>
          </cell>
          <cell r="AT315">
            <v>-156483</v>
          </cell>
          <cell r="AU315">
            <v>-39122</v>
          </cell>
          <cell r="AV315">
            <v>0</v>
          </cell>
          <cell r="AW315">
            <v>-391211</v>
          </cell>
          <cell r="AX315">
            <v>-1345110</v>
          </cell>
          <cell r="AY315">
            <v>-1076086</v>
          </cell>
          <cell r="AZ315">
            <v>-269021</v>
          </cell>
          <cell r="BA315">
            <v>0</v>
          </cell>
          <cell r="BB315">
            <v>-2690217</v>
          </cell>
          <cell r="BC315">
            <v>34407453</v>
          </cell>
          <cell r="BD315">
            <v>-2388705</v>
          </cell>
          <cell r="BE315">
            <v>874260</v>
          </cell>
          <cell r="BF315">
            <v>0</v>
          </cell>
          <cell r="BG315">
            <v>-2621111</v>
          </cell>
          <cell r="BH315">
            <v>-53253</v>
          </cell>
          <cell r="BI315">
            <v>-42476</v>
          </cell>
          <cell r="BJ315">
            <v>-21903</v>
          </cell>
          <cell r="BK315">
            <v>-742451</v>
          </cell>
          <cell r="BL315">
            <v>-91573</v>
          </cell>
          <cell r="BM315">
            <v>-6704</v>
          </cell>
          <cell r="BN315">
            <v>0</v>
          </cell>
          <cell r="BO315">
            <v>-9927</v>
          </cell>
          <cell r="BP315">
            <v>0</v>
          </cell>
          <cell r="BQ315">
            <v>0</v>
          </cell>
          <cell r="BR315">
            <v>0</v>
          </cell>
          <cell r="BS315">
            <v>0</v>
          </cell>
          <cell r="BT315">
            <v>34711795</v>
          </cell>
          <cell r="BU315">
            <v>-101609</v>
          </cell>
          <cell r="BV315">
            <v>1512879</v>
          </cell>
          <cell r="BW315">
            <v>-227576</v>
          </cell>
          <cell r="BX315">
            <v>315555</v>
          </cell>
          <cell r="BY315">
            <v>-200876</v>
          </cell>
          <cell r="BZ315">
            <v>37558915</v>
          </cell>
          <cell r="CA315">
            <v>157778</v>
          </cell>
          <cell r="CB315">
            <v>126222</v>
          </cell>
          <cell r="CC315">
            <v>31555</v>
          </cell>
          <cell r="CD315">
            <v>0</v>
          </cell>
          <cell r="CE315">
            <v>-100438</v>
          </cell>
          <cell r="CF315">
            <v>-80350</v>
          </cell>
          <cell r="CG315">
            <v>-20088</v>
          </cell>
          <cell r="CH315">
            <v>0</v>
          </cell>
        </row>
        <row r="316">
          <cell r="A316">
            <v>309</v>
          </cell>
          <cell r="B316" t="str">
            <v>West Somerset</v>
          </cell>
          <cell r="C316" t="str">
            <v>E3335</v>
          </cell>
          <cell r="D316">
            <v>78132</v>
          </cell>
          <cell r="H316">
            <v>3509571</v>
          </cell>
          <cell r="I316">
            <v>0</v>
          </cell>
          <cell r="J316">
            <v>78132</v>
          </cell>
          <cell r="K316">
            <v>0</v>
          </cell>
          <cell r="L316">
            <v>50000</v>
          </cell>
          <cell r="M316">
            <v>0</v>
          </cell>
          <cell r="N316">
            <v>0</v>
          </cell>
          <cell r="O316">
            <v>0</v>
          </cell>
          <cell r="P316">
            <v>0</v>
          </cell>
          <cell r="Q316">
            <v>0</v>
          </cell>
          <cell r="R316">
            <v>340345</v>
          </cell>
          <cell r="S316">
            <v>76578</v>
          </cell>
          <cell r="T316">
            <v>8509</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M316">
            <v>0</v>
          </cell>
          <cell r="AN316">
            <v>0</v>
          </cell>
          <cell r="AO316">
            <v>0</v>
          </cell>
          <cell r="AP316">
            <v>100194</v>
          </cell>
          <cell r="AQ316">
            <v>22375</v>
          </cell>
          <cell r="AR316">
            <v>2486</v>
          </cell>
          <cell r="AS316">
            <v>-70000</v>
          </cell>
          <cell r="AT316">
            <v>-56000</v>
          </cell>
          <cell r="AU316">
            <v>-12600</v>
          </cell>
          <cell r="AV316">
            <v>-1400</v>
          </cell>
          <cell r="AW316">
            <v>-140000</v>
          </cell>
          <cell r="AX316">
            <v>-813722</v>
          </cell>
          <cell r="AY316">
            <v>-650980</v>
          </cell>
          <cell r="AZ316">
            <v>-146471</v>
          </cell>
          <cell r="BA316">
            <v>-16275</v>
          </cell>
          <cell r="BB316">
            <v>-1627448</v>
          </cell>
          <cell r="BC316">
            <v>13403061</v>
          </cell>
          <cell r="BD316">
            <v>-1459821</v>
          </cell>
          <cell r="BE316">
            <v>300717</v>
          </cell>
          <cell r="BF316">
            <v>0</v>
          </cell>
          <cell r="BG316">
            <v>-649941</v>
          </cell>
          <cell r="BH316">
            <v>-16172</v>
          </cell>
          <cell r="BI316">
            <v>-34142</v>
          </cell>
          <cell r="BJ316">
            <v>0</v>
          </cell>
          <cell r="BK316">
            <v>-133881</v>
          </cell>
          <cell r="BL316">
            <v>-25919</v>
          </cell>
          <cell r="BM316">
            <v>-13631</v>
          </cell>
          <cell r="BN316">
            <v>-1703</v>
          </cell>
          <cell r="BO316">
            <v>-33861</v>
          </cell>
          <cell r="BP316">
            <v>-45143</v>
          </cell>
          <cell r="BQ316">
            <v>0</v>
          </cell>
          <cell r="BR316">
            <v>0</v>
          </cell>
          <cell r="BS316">
            <v>0</v>
          </cell>
          <cell r="BT316">
            <v>13500368</v>
          </cell>
          <cell r="BU316">
            <v>-64238</v>
          </cell>
          <cell r="BV316">
            <v>1092041</v>
          </cell>
          <cell r="BW316">
            <v>-470155</v>
          </cell>
          <cell r="BX316">
            <v>1971943</v>
          </cell>
          <cell r="BY316">
            <v>1201588</v>
          </cell>
          <cell r="BZ316">
            <v>16550196</v>
          </cell>
          <cell r="CA316">
            <v>985973</v>
          </cell>
          <cell r="CB316">
            <v>788776</v>
          </cell>
          <cell r="CC316">
            <v>177474</v>
          </cell>
          <cell r="CD316">
            <v>19720</v>
          </cell>
          <cell r="CE316">
            <v>600794</v>
          </cell>
          <cell r="CF316">
            <v>480635</v>
          </cell>
          <cell r="CG316">
            <v>108143</v>
          </cell>
          <cell r="CH316">
            <v>12016</v>
          </cell>
        </row>
        <row r="317">
          <cell r="A317">
            <v>310</v>
          </cell>
          <cell r="B317" t="str">
            <v>Westminster</v>
          </cell>
          <cell r="C317" t="str">
            <v>E5022</v>
          </cell>
          <cell r="D317">
            <v>3306395</v>
          </cell>
          <cell r="H317">
            <v>111000928</v>
          </cell>
          <cell r="I317">
            <v>0</v>
          </cell>
          <cell r="J317">
            <v>3306395</v>
          </cell>
          <cell r="K317">
            <v>0</v>
          </cell>
          <cell r="L317">
            <v>0</v>
          </cell>
          <cell r="M317">
            <v>0</v>
          </cell>
          <cell r="N317">
            <v>0</v>
          </cell>
          <cell r="O317">
            <v>0</v>
          </cell>
          <cell r="P317">
            <v>0</v>
          </cell>
          <cell r="Q317">
            <v>0</v>
          </cell>
          <cell r="R317">
            <v>510853</v>
          </cell>
          <cell r="S317">
            <v>630051</v>
          </cell>
          <cell r="T317">
            <v>0</v>
          </cell>
          <cell r="U317">
            <v>0</v>
          </cell>
          <cell r="V317">
            <v>0</v>
          </cell>
          <cell r="W317">
            <v>0</v>
          </cell>
          <cell r="X317">
            <v>71544</v>
          </cell>
          <cell r="Y317">
            <v>88237</v>
          </cell>
          <cell r="Z317">
            <v>0</v>
          </cell>
          <cell r="AA317">
            <v>8946</v>
          </cell>
          <cell r="AB317">
            <v>11034</v>
          </cell>
          <cell r="AC317">
            <v>0</v>
          </cell>
          <cell r="AD317">
            <v>0</v>
          </cell>
          <cell r="AE317">
            <v>0</v>
          </cell>
          <cell r="AF317">
            <v>0</v>
          </cell>
          <cell r="AG317">
            <v>0</v>
          </cell>
          <cell r="AH317">
            <v>0</v>
          </cell>
          <cell r="AI317">
            <v>0</v>
          </cell>
          <cell r="AM317">
            <v>0</v>
          </cell>
          <cell r="AN317">
            <v>0</v>
          </cell>
          <cell r="AO317">
            <v>0</v>
          </cell>
          <cell r="AP317">
            <v>9251374</v>
          </cell>
          <cell r="AQ317">
            <v>11410028</v>
          </cell>
          <cell r="AR317">
            <v>0</v>
          </cell>
          <cell r="AS317">
            <v>-13349822</v>
          </cell>
          <cell r="AT317">
            <v>-8009894</v>
          </cell>
          <cell r="AU317">
            <v>-5339929</v>
          </cell>
          <cell r="AV317">
            <v>0</v>
          </cell>
          <cell r="AW317">
            <v>-26699645</v>
          </cell>
          <cell r="AX317">
            <v>-124000000</v>
          </cell>
          <cell r="AY317">
            <v>-74400000</v>
          </cell>
          <cell r="AZ317">
            <v>-49600000</v>
          </cell>
          <cell r="BA317">
            <v>0</v>
          </cell>
          <cell r="BB317">
            <v>-248000000</v>
          </cell>
          <cell r="BC317">
            <v>1894884934</v>
          </cell>
          <cell r="BD317">
            <v>-2316872</v>
          </cell>
          <cell r="BE317">
            <v>51689854</v>
          </cell>
          <cell r="BF317">
            <v>0</v>
          </cell>
          <cell r="BG317">
            <v>-65650541</v>
          </cell>
          <cell r="BH317">
            <v>-23458</v>
          </cell>
          <cell r="BI317">
            <v>0</v>
          </cell>
          <cell r="BJ317">
            <v>-7700459</v>
          </cell>
          <cell r="BK317">
            <v>-126409237</v>
          </cell>
          <cell r="BL317">
            <v>-264706</v>
          </cell>
          <cell r="BM317">
            <v>-12563</v>
          </cell>
          <cell r="BN317">
            <v>-1466</v>
          </cell>
          <cell r="BO317">
            <v>0</v>
          </cell>
          <cell r="BP317">
            <v>0</v>
          </cell>
          <cell r="BQ317">
            <v>0</v>
          </cell>
          <cell r="BR317">
            <v>0</v>
          </cell>
          <cell r="BS317">
            <v>0</v>
          </cell>
          <cell r="BT317">
            <v>1778967485</v>
          </cell>
          <cell r="BU317">
            <v>0</v>
          </cell>
          <cell r="BV317">
            <v>47419610</v>
          </cell>
          <cell r="BW317">
            <v>-129672279</v>
          </cell>
          <cell r="BX317">
            <v>17693110</v>
          </cell>
          <cell r="BY317">
            <v>-151020543</v>
          </cell>
          <cell r="BZ317">
            <v>2052923929</v>
          </cell>
          <cell r="CA317">
            <v>8846556</v>
          </cell>
          <cell r="CB317">
            <v>5307932</v>
          </cell>
          <cell r="CC317">
            <v>3538622</v>
          </cell>
          <cell r="CD317">
            <v>0</v>
          </cell>
          <cell r="CE317">
            <v>-75510271</v>
          </cell>
          <cell r="CF317">
            <v>-45306163</v>
          </cell>
          <cell r="CG317">
            <v>-30204109</v>
          </cell>
          <cell r="CH317">
            <v>0</v>
          </cell>
        </row>
        <row r="318">
          <cell r="A318">
            <v>311</v>
          </cell>
          <cell r="B318" t="str">
            <v>Weymouth and Portland</v>
          </cell>
          <cell r="C318" t="str">
            <v>E1238</v>
          </cell>
          <cell r="D318">
            <v>106013</v>
          </cell>
          <cell r="H318">
            <v>-475114</v>
          </cell>
          <cell r="I318">
            <v>0</v>
          </cell>
          <cell r="J318">
            <v>106013</v>
          </cell>
          <cell r="K318">
            <v>0</v>
          </cell>
          <cell r="L318">
            <v>0</v>
          </cell>
          <cell r="M318">
            <v>0</v>
          </cell>
          <cell r="N318">
            <v>0</v>
          </cell>
          <cell r="O318">
            <v>0</v>
          </cell>
          <cell r="P318">
            <v>0</v>
          </cell>
          <cell r="Q318">
            <v>0</v>
          </cell>
          <cell r="R318">
            <v>420316</v>
          </cell>
          <cell r="S318">
            <v>94571</v>
          </cell>
          <cell r="T318">
            <v>10508</v>
          </cell>
          <cell r="U318">
            <v>1098</v>
          </cell>
          <cell r="V318">
            <v>247</v>
          </cell>
          <cell r="W318">
            <v>27</v>
          </cell>
          <cell r="X318">
            <v>0</v>
          </cell>
          <cell r="Y318">
            <v>0</v>
          </cell>
          <cell r="Z318">
            <v>0</v>
          </cell>
          <cell r="AA318">
            <v>0</v>
          </cell>
          <cell r="AB318">
            <v>0</v>
          </cell>
          <cell r="AC318">
            <v>0</v>
          </cell>
          <cell r="AD318">
            <v>0</v>
          </cell>
          <cell r="AE318">
            <v>0</v>
          </cell>
          <cell r="AF318">
            <v>0</v>
          </cell>
          <cell r="AG318">
            <v>0</v>
          </cell>
          <cell r="AH318">
            <v>0</v>
          </cell>
          <cell r="AI318">
            <v>0</v>
          </cell>
          <cell r="AM318">
            <v>0</v>
          </cell>
          <cell r="AN318">
            <v>0</v>
          </cell>
          <cell r="AO318">
            <v>0</v>
          </cell>
          <cell r="AP318">
            <v>88104</v>
          </cell>
          <cell r="AQ318">
            <v>19824</v>
          </cell>
          <cell r="AR318">
            <v>2203</v>
          </cell>
          <cell r="AS318">
            <v>-492500</v>
          </cell>
          <cell r="AT318">
            <v>-394000</v>
          </cell>
          <cell r="AU318">
            <v>-88650</v>
          </cell>
          <cell r="AV318">
            <v>-9850</v>
          </cell>
          <cell r="AW318">
            <v>-985000</v>
          </cell>
          <cell r="AX318">
            <v>-2590413</v>
          </cell>
          <cell r="AY318">
            <v>-2072330</v>
          </cell>
          <cell r="AZ318">
            <v>-466275</v>
          </cell>
          <cell r="BA318">
            <v>-51808</v>
          </cell>
          <cell r="BB318">
            <v>-5180826</v>
          </cell>
          <cell r="BC318">
            <v>15735315</v>
          </cell>
          <cell r="BD318">
            <v>-1696833</v>
          </cell>
          <cell r="BE318">
            <v>466750</v>
          </cell>
          <cell r="BF318">
            <v>0</v>
          </cell>
          <cell r="BG318">
            <v>-1246632</v>
          </cell>
          <cell r="BH318">
            <v>-38140</v>
          </cell>
          <cell r="BI318">
            <v>0</v>
          </cell>
          <cell r="BJ318">
            <v>0</v>
          </cell>
          <cell r="BK318">
            <v>-492415</v>
          </cell>
          <cell r="BL318">
            <v>-27187</v>
          </cell>
          <cell r="BM318">
            <v>-98300</v>
          </cell>
          <cell r="BN318">
            <v>0</v>
          </cell>
          <cell r="BO318">
            <v>0</v>
          </cell>
          <cell r="BP318">
            <v>0</v>
          </cell>
          <cell r="BQ318">
            <v>0</v>
          </cell>
          <cell r="BR318">
            <v>0</v>
          </cell>
          <cell r="BS318">
            <v>0</v>
          </cell>
          <cell r="BT318">
            <v>17650980</v>
          </cell>
          <cell r="BU318">
            <v>-516393</v>
          </cell>
          <cell r="BV318">
            <v>1626727</v>
          </cell>
          <cell r="BW318">
            <v>-700550</v>
          </cell>
          <cell r="BX318">
            <v>-140162</v>
          </cell>
          <cell r="BY318">
            <v>181531</v>
          </cell>
          <cell r="BZ318">
            <v>14663102</v>
          </cell>
          <cell r="CA318">
            <v>-70081</v>
          </cell>
          <cell r="CB318">
            <v>-56065</v>
          </cell>
          <cell r="CC318">
            <v>-12615</v>
          </cell>
          <cell r="CD318">
            <v>-1401</v>
          </cell>
          <cell r="CE318">
            <v>90766</v>
          </cell>
          <cell r="CF318">
            <v>72612</v>
          </cell>
          <cell r="CG318">
            <v>16338</v>
          </cell>
          <cell r="CH318">
            <v>1815</v>
          </cell>
        </row>
        <row r="319">
          <cell r="A319">
            <v>312</v>
          </cell>
          <cell r="B319" t="str">
            <v>Wigan</v>
          </cell>
          <cell r="C319" t="str">
            <v>E4210</v>
          </cell>
          <cell r="D319">
            <v>379246</v>
          </cell>
          <cell r="H319">
            <v>-3151753</v>
          </cell>
          <cell r="I319">
            <v>0</v>
          </cell>
          <cell r="J319">
            <v>379246</v>
          </cell>
          <cell r="K319">
            <v>0</v>
          </cell>
          <cell r="L319">
            <v>0</v>
          </cell>
          <cell r="M319">
            <v>0</v>
          </cell>
          <cell r="N319">
            <v>0</v>
          </cell>
          <cell r="O319">
            <v>0</v>
          </cell>
          <cell r="P319">
            <v>0</v>
          </cell>
          <cell r="Q319">
            <v>0</v>
          </cell>
          <cell r="R319">
            <v>4758992</v>
          </cell>
          <cell r="S319">
            <v>0</v>
          </cell>
          <cell r="T319">
            <v>48071</v>
          </cell>
          <cell r="U319">
            <v>9733</v>
          </cell>
          <cell r="V319">
            <v>0</v>
          </cell>
          <cell r="W319">
            <v>98</v>
          </cell>
          <cell r="X319">
            <v>237557</v>
          </cell>
          <cell r="Y319">
            <v>0</v>
          </cell>
          <cell r="Z319">
            <v>2400</v>
          </cell>
          <cell r="AA319">
            <v>14855</v>
          </cell>
          <cell r="AB319">
            <v>0</v>
          </cell>
          <cell r="AC319">
            <v>150</v>
          </cell>
          <cell r="AD319">
            <v>0</v>
          </cell>
          <cell r="AE319">
            <v>0</v>
          </cell>
          <cell r="AF319">
            <v>0</v>
          </cell>
          <cell r="AG319">
            <v>0</v>
          </cell>
          <cell r="AH319">
            <v>0</v>
          </cell>
          <cell r="AI319">
            <v>0</v>
          </cell>
          <cell r="AM319">
            <v>0</v>
          </cell>
          <cell r="AN319">
            <v>0</v>
          </cell>
          <cell r="AO319">
            <v>0</v>
          </cell>
          <cell r="AP319">
            <v>1084523</v>
          </cell>
          <cell r="AQ319">
            <v>0</v>
          </cell>
          <cell r="AR319">
            <v>10955</v>
          </cell>
          <cell r="AS319">
            <v>-4394066</v>
          </cell>
          <cell r="AT319">
            <v>-1502651</v>
          </cell>
          <cell r="AU319">
            <v>0</v>
          </cell>
          <cell r="AV319">
            <v>-59564</v>
          </cell>
          <cell r="AW319">
            <v>-5956281</v>
          </cell>
          <cell r="AX319">
            <v>-1805268</v>
          </cell>
          <cell r="AY319">
            <v>-1769163</v>
          </cell>
          <cell r="AZ319">
            <v>0</v>
          </cell>
          <cell r="BA319">
            <v>-36105</v>
          </cell>
          <cell r="BB319">
            <v>-3610536</v>
          </cell>
          <cell r="BC319">
            <v>79001553</v>
          </cell>
          <cell r="BD319">
            <v>-7360897</v>
          </cell>
          <cell r="BE319">
            <v>2225945</v>
          </cell>
          <cell r="BF319">
            <v>0</v>
          </cell>
          <cell r="BG319">
            <v>-5377420</v>
          </cell>
          <cell r="BH319">
            <v>-142281</v>
          </cell>
          <cell r="BI319">
            <v>0</v>
          </cell>
          <cell r="BJ319">
            <v>-98459</v>
          </cell>
          <cell r="BK319">
            <v>-4153675</v>
          </cell>
          <cell r="BL319">
            <v>-701298</v>
          </cell>
          <cell r="BM319">
            <v>-477640</v>
          </cell>
          <cell r="BN319">
            <v>-28538</v>
          </cell>
          <cell r="BO319">
            <v>0</v>
          </cell>
          <cell r="BP319">
            <v>0</v>
          </cell>
          <cell r="BQ319">
            <v>0</v>
          </cell>
          <cell r="BR319">
            <v>0</v>
          </cell>
          <cell r="BS319">
            <v>0</v>
          </cell>
          <cell r="BT319">
            <v>81721946</v>
          </cell>
          <cell r="BU319">
            <v>-1263510</v>
          </cell>
          <cell r="BV319">
            <v>7143762</v>
          </cell>
          <cell r="BW319">
            <v>-523472</v>
          </cell>
          <cell r="BX319">
            <v>-7275149</v>
          </cell>
          <cell r="BY319">
            <v>-6872013</v>
          </cell>
          <cell r="BZ319">
            <v>72927546</v>
          </cell>
          <cell r="CA319">
            <v>-3637576</v>
          </cell>
          <cell r="CB319">
            <v>-3564823</v>
          </cell>
          <cell r="CC319">
            <v>0</v>
          </cell>
          <cell r="CD319">
            <v>-72750</v>
          </cell>
          <cell r="CE319">
            <v>-3436007</v>
          </cell>
          <cell r="CF319">
            <v>-3367286</v>
          </cell>
          <cell r="CG319">
            <v>0</v>
          </cell>
          <cell r="CH319">
            <v>-68720</v>
          </cell>
        </row>
        <row r="320">
          <cell r="A320">
            <v>313</v>
          </cell>
          <cell r="B320" t="str">
            <v>Wiltshire UA</v>
          </cell>
          <cell r="C320" t="str">
            <v>E3902</v>
          </cell>
          <cell r="D320">
            <v>621868</v>
          </cell>
          <cell r="H320">
            <v>-2920722</v>
          </cell>
          <cell r="I320">
            <v>0</v>
          </cell>
          <cell r="J320">
            <v>621868</v>
          </cell>
          <cell r="K320">
            <v>0</v>
          </cell>
          <cell r="L320">
            <v>797648</v>
          </cell>
          <cell r="M320">
            <v>0</v>
          </cell>
          <cell r="N320">
            <v>0</v>
          </cell>
          <cell r="O320">
            <v>0</v>
          </cell>
          <cell r="P320">
            <v>0</v>
          </cell>
          <cell r="Q320">
            <v>0</v>
          </cell>
          <cell r="R320">
            <v>3368850</v>
          </cell>
          <cell r="S320">
            <v>0</v>
          </cell>
          <cell r="T320">
            <v>68752</v>
          </cell>
          <cell r="U320">
            <v>37840</v>
          </cell>
          <cell r="V320">
            <v>0</v>
          </cell>
          <cell r="W320">
            <v>772</v>
          </cell>
          <cell r="X320">
            <v>46441</v>
          </cell>
          <cell r="Y320">
            <v>0</v>
          </cell>
          <cell r="Z320">
            <v>948</v>
          </cell>
          <cell r="AA320">
            <v>10936</v>
          </cell>
          <cell r="AB320">
            <v>0</v>
          </cell>
          <cell r="AC320">
            <v>223</v>
          </cell>
          <cell r="AD320">
            <v>0</v>
          </cell>
          <cell r="AE320">
            <v>0</v>
          </cell>
          <cell r="AF320">
            <v>0</v>
          </cell>
          <cell r="AG320">
            <v>0</v>
          </cell>
          <cell r="AH320">
            <v>0</v>
          </cell>
          <cell r="AI320">
            <v>0</v>
          </cell>
          <cell r="AM320">
            <v>0</v>
          </cell>
          <cell r="AN320">
            <v>0</v>
          </cell>
          <cell r="AO320">
            <v>0</v>
          </cell>
          <cell r="AP320">
            <v>1093429</v>
          </cell>
          <cell r="AQ320">
            <v>0</v>
          </cell>
          <cell r="AR320">
            <v>22070</v>
          </cell>
          <cell r="AS320">
            <v>-324450</v>
          </cell>
          <cell r="AT320">
            <v>-317961</v>
          </cell>
          <cell r="AU320">
            <v>0</v>
          </cell>
          <cell r="AV320">
            <v>-6489</v>
          </cell>
          <cell r="AW320">
            <v>-648900</v>
          </cell>
          <cell r="AX320">
            <v>-1920051</v>
          </cell>
          <cell r="AY320">
            <v>-1881649</v>
          </cell>
          <cell r="AZ320">
            <v>0</v>
          </cell>
          <cell r="BA320">
            <v>-38400</v>
          </cell>
          <cell r="BB320">
            <v>-3840100</v>
          </cell>
          <cell r="BC320">
            <v>150240366</v>
          </cell>
          <cell r="BD320">
            <v>-10624918</v>
          </cell>
          <cell r="BE320">
            <v>4002798</v>
          </cell>
          <cell r="BF320">
            <v>0</v>
          </cell>
          <cell r="BG320">
            <v>-11061815</v>
          </cell>
          <cell r="BH320">
            <v>-112855</v>
          </cell>
          <cell r="BI320">
            <v>-251960</v>
          </cell>
          <cell r="BJ320">
            <v>-26356</v>
          </cell>
          <cell r="BK320">
            <v>-4633629</v>
          </cell>
          <cell r="BL320">
            <v>-250901</v>
          </cell>
          <cell r="BM320">
            <v>-53585</v>
          </cell>
          <cell r="BN320">
            <v>-1071</v>
          </cell>
          <cell r="BO320">
            <v>-264079</v>
          </cell>
          <cell r="BP320">
            <v>0</v>
          </cell>
          <cell r="BQ320">
            <v>0</v>
          </cell>
          <cell r="BR320">
            <v>0</v>
          </cell>
          <cell r="BS320">
            <v>0</v>
          </cell>
          <cell r="BT320">
            <v>153602395</v>
          </cell>
          <cell r="BU320">
            <v>-769476</v>
          </cell>
          <cell r="BV320">
            <v>4718389</v>
          </cell>
          <cell r="BW320">
            <v>-1860706</v>
          </cell>
          <cell r="BX320">
            <v>4834059</v>
          </cell>
          <cell r="BY320">
            <v>6260944</v>
          </cell>
          <cell r="BZ320">
            <v>146925452</v>
          </cell>
          <cell r="CA320">
            <v>2417029</v>
          </cell>
          <cell r="CB320">
            <v>2368689</v>
          </cell>
          <cell r="CC320">
            <v>0</v>
          </cell>
          <cell r="CD320">
            <v>48341</v>
          </cell>
          <cell r="CE320">
            <v>3130472</v>
          </cell>
          <cell r="CF320">
            <v>3067863</v>
          </cell>
          <cell r="CG320">
            <v>0</v>
          </cell>
          <cell r="CH320">
            <v>62609</v>
          </cell>
        </row>
        <row r="321">
          <cell r="A321">
            <v>314</v>
          </cell>
          <cell r="B321" t="str">
            <v>Winchester</v>
          </cell>
          <cell r="C321" t="str">
            <v>E1743</v>
          </cell>
          <cell r="D321">
            <v>198201</v>
          </cell>
          <cell r="H321">
            <v>1527982</v>
          </cell>
          <cell r="I321">
            <v>0</v>
          </cell>
          <cell r="J321">
            <v>198201</v>
          </cell>
          <cell r="K321">
            <v>0</v>
          </cell>
          <cell r="L321">
            <v>285000</v>
          </cell>
          <cell r="M321">
            <v>0</v>
          </cell>
          <cell r="N321">
            <v>0</v>
          </cell>
          <cell r="O321">
            <v>0</v>
          </cell>
          <cell r="P321">
            <v>0</v>
          </cell>
          <cell r="Q321">
            <v>0</v>
          </cell>
          <cell r="R321">
            <v>696171</v>
          </cell>
          <cell r="S321">
            <v>156639</v>
          </cell>
          <cell r="T321">
            <v>17404</v>
          </cell>
          <cell r="U321">
            <v>8120</v>
          </cell>
          <cell r="V321">
            <v>1827</v>
          </cell>
          <cell r="W321">
            <v>203</v>
          </cell>
          <cell r="X321">
            <v>0</v>
          </cell>
          <cell r="Y321">
            <v>0</v>
          </cell>
          <cell r="Z321">
            <v>0</v>
          </cell>
          <cell r="AA321">
            <v>0</v>
          </cell>
          <cell r="AB321">
            <v>0</v>
          </cell>
          <cell r="AC321">
            <v>0</v>
          </cell>
          <cell r="AD321">
            <v>0</v>
          </cell>
          <cell r="AE321">
            <v>0</v>
          </cell>
          <cell r="AF321">
            <v>0</v>
          </cell>
          <cell r="AG321">
            <v>0</v>
          </cell>
          <cell r="AH321">
            <v>0</v>
          </cell>
          <cell r="AI321">
            <v>0</v>
          </cell>
          <cell r="AM321">
            <v>0</v>
          </cell>
          <cell r="AN321">
            <v>0</v>
          </cell>
          <cell r="AO321">
            <v>0</v>
          </cell>
          <cell r="AP321">
            <v>354437</v>
          </cell>
          <cell r="AQ321">
            <v>78785</v>
          </cell>
          <cell r="AR321">
            <v>8754</v>
          </cell>
          <cell r="AS321">
            <v>-548595</v>
          </cell>
          <cell r="AT321">
            <v>-438880</v>
          </cell>
          <cell r="AU321">
            <v>-98748</v>
          </cell>
          <cell r="AV321">
            <v>-10973</v>
          </cell>
          <cell r="AW321">
            <v>-1097196</v>
          </cell>
          <cell r="AX321">
            <v>-1904467</v>
          </cell>
          <cell r="AY321">
            <v>-1523573</v>
          </cell>
          <cell r="AZ321">
            <v>-342806</v>
          </cell>
          <cell r="BA321">
            <v>-38089</v>
          </cell>
          <cell r="BB321">
            <v>-3808935</v>
          </cell>
          <cell r="BC321">
            <v>57183490</v>
          </cell>
          <cell r="BD321">
            <v>-2744170</v>
          </cell>
          <cell r="BE321">
            <v>1529446</v>
          </cell>
          <cell r="BF321">
            <v>0</v>
          </cell>
          <cell r="BG321">
            <v>-3623328</v>
          </cell>
          <cell r="BH321">
            <v>-44917</v>
          </cell>
          <cell r="BI321">
            <v>-11680</v>
          </cell>
          <cell r="BJ321">
            <v>0</v>
          </cell>
          <cell r="BK321">
            <v>-1393833</v>
          </cell>
          <cell r="BL321">
            <v>-66150</v>
          </cell>
          <cell r="BM321">
            <v>-188052</v>
          </cell>
          <cell r="BN321">
            <v>-4120</v>
          </cell>
          <cell r="BO321">
            <v>-6156</v>
          </cell>
          <cell r="BP321">
            <v>-6840</v>
          </cell>
          <cell r="BQ321">
            <v>0</v>
          </cell>
          <cell r="BR321">
            <v>0</v>
          </cell>
          <cell r="BS321">
            <v>0</v>
          </cell>
          <cell r="BT321">
            <v>55548343</v>
          </cell>
          <cell r="BU321">
            <v>-577231</v>
          </cell>
          <cell r="BV321">
            <v>1957722</v>
          </cell>
          <cell r="BW321">
            <v>-1054366</v>
          </cell>
          <cell r="BX321">
            <v>884838</v>
          </cell>
          <cell r="BY321">
            <v>1489006</v>
          </cell>
          <cell r="BZ321">
            <v>58276011</v>
          </cell>
          <cell r="CA321">
            <v>442419</v>
          </cell>
          <cell r="CB321">
            <v>353936</v>
          </cell>
          <cell r="CC321">
            <v>79635</v>
          </cell>
          <cell r="CD321">
            <v>8848</v>
          </cell>
          <cell r="CE321">
            <v>744503</v>
          </cell>
          <cell r="CF321">
            <v>595602</v>
          </cell>
          <cell r="CG321">
            <v>134011</v>
          </cell>
          <cell r="CH321">
            <v>14890</v>
          </cell>
        </row>
        <row r="322">
          <cell r="A322">
            <v>315</v>
          </cell>
          <cell r="B322" t="str">
            <v>Windsor and Maidenhead</v>
          </cell>
          <cell r="C322" t="str">
            <v>E0305</v>
          </cell>
          <cell r="D322">
            <v>249199</v>
          </cell>
          <cell r="H322">
            <v>4761580</v>
          </cell>
          <cell r="I322">
            <v>0</v>
          </cell>
          <cell r="J322">
            <v>249199</v>
          </cell>
          <cell r="K322">
            <v>0</v>
          </cell>
          <cell r="L322">
            <v>9261</v>
          </cell>
          <cell r="M322">
            <v>0</v>
          </cell>
          <cell r="N322">
            <v>0</v>
          </cell>
          <cell r="O322">
            <v>0</v>
          </cell>
          <cell r="P322">
            <v>0</v>
          </cell>
          <cell r="Q322">
            <v>0</v>
          </cell>
          <cell r="R322">
            <v>684248</v>
          </cell>
          <cell r="S322">
            <v>0</v>
          </cell>
          <cell r="T322">
            <v>13964</v>
          </cell>
          <cell r="U322">
            <v>0</v>
          </cell>
          <cell r="V322">
            <v>0</v>
          </cell>
          <cell r="W322">
            <v>0</v>
          </cell>
          <cell r="X322">
            <v>0</v>
          </cell>
          <cell r="Y322">
            <v>0</v>
          </cell>
          <cell r="Z322">
            <v>0</v>
          </cell>
          <cell r="AA322">
            <v>9017</v>
          </cell>
          <cell r="AB322">
            <v>0</v>
          </cell>
          <cell r="AC322">
            <v>184</v>
          </cell>
          <cell r="AD322">
            <v>0</v>
          </cell>
          <cell r="AE322">
            <v>0</v>
          </cell>
          <cell r="AF322">
            <v>0</v>
          </cell>
          <cell r="AG322">
            <v>0</v>
          </cell>
          <cell r="AH322">
            <v>0</v>
          </cell>
          <cell r="AI322">
            <v>0</v>
          </cell>
          <cell r="AM322">
            <v>0</v>
          </cell>
          <cell r="AN322">
            <v>0</v>
          </cell>
          <cell r="AO322">
            <v>0</v>
          </cell>
          <cell r="AP322">
            <v>680999</v>
          </cell>
          <cell r="AQ322">
            <v>0</v>
          </cell>
          <cell r="AR322">
            <v>13895</v>
          </cell>
          <cell r="AS322">
            <v>-514254.1</v>
          </cell>
          <cell r="AT322">
            <v>-503969</v>
          </cell>
          <cell r="AU322">
            <v>0</v>
          </cell>
          <cell r="AV322">
            <v>-10286</v>
          </cell>
          <cell r="AW322">
            <v>-1028509.1000000001</v>
          </cell>
          <cell r="AX322">
            <v>-1956108</v>
          </cell>
          <cell r="AY322">
            <v>-1916986</v>
          </cell>
          <cell r="AZ322">
            <v>0</v>
          </cell>
          <cell r="BA322">
            <v>-39121</v>
          </cell>
          <cell r="BB322">
            <v>-3912215</v>
          </cell>
          <cell r="BC322">
            <v>80609864</v>
          </cell>
          <cell r="BD322">
            <v>-1967722</v>
          </cell>
          <cell r="BE322">
            <v>2252145</v>
          </cell>
          <cell r="BF322">
            <v>0</v>
          </cell>
          <cell r="BG322">
            <v>-6402224</v>
          </cell>
          <cell r="BH322">
            <v>0</v>
          </cell>
          <cell r="BI322">
            <v>-6188</v>
          </cell>
          <cell r="BJ322">
            <v>-64274</v>
          </cell>
          <cell r="BK322">
            <v>-4136756</v>
          </cell>
          <cell r="BL322">
            <v>-386003</v>
          </cell>
          <cell r="BM322">
            <v>-132055</v>
          </cell>
          <cell r="BN322">
            <v>0</v>
          </cell>
          <cell r="BO322">
            <v>0</v>
          </cell>
          <cell r="BP322">
            <v>-32126</v>
          </cell>
          <cell r="BQ322">
            <v>-93164</v>
          </cell>
          <cell r="BR322">
            <v>0</v>
          </cell>
          <cell r="BS322">
            <v>0</v>
          </cell>
          <cell r="BT322">
            <v>81393858</v>
          </cell>
          <cell r="BU322">
            <v>0</v>
          </cell>
          <cell r="BV322">
            <v>3356295</v>
          </cell>
          <cell r="BW322">
            <v>-1292358</v>
          </cell>
          <cell r="BX322">
            <v>-5091185</v>
          </cell>
          <cell r="BY322">
            <v>-2043554</v>
          </cell>
          <cell r="BZ322">
            <v>92501622</v>
          </cell>
          <cell r="CA322">
            <v>-2545593</v>
          </cell>
          <cell r="CB322">
            <v>-2494680</v>
          </cell>
          <cell r="CC322">
            <v>0</v>
          </cell>
          <cell r="CD322">
            <v>-50912</v>
          </cell>
          <cell r="CE322">
            <v>-1021777</v>
          </cell>
          <cell r="CF322">
            <v>-1001341</v>
          </cell>
          <cell r="CG322">
            <v>0</v>
          </cell>
          <cell r="CH322">
            <v>-20436</v>
          </cell>
        </row>
        <row r="323">
          <cell r="A323">
            <v>316</v>
          </cell>
          <cell r="B323" t="str">
            <v>Wirral</v>
          </cell>
          <cell r="C323" t="str">
            <v>E4305</v>
          </cell>
          <cell r="D323">
            <v>334347</v>
          </cell>
          <cell r="H323">
            <v>-1413821</v>
          </cell>
          <cell r="I323">
            <v>-29571</v>
          </cell>
          <cell r="J323">
            <v>334347</v>
          </cell>
          <cell r="K323">
            <v>228652</v>
          </cell>
          <cell r="L323">
            <v>0</v>
          </cell>
          <cell r="M323">
            <v>0</v>
          </cell>
          <cell r="N323">
            <v>0</v>
          </cell>
          <cell r="O323">
            <v>0</v>
          </cell>
          <cell r="P323">
            <v>0</v>
          </cell>
          <cell r="Q323">
            <v>0</v>
          </cell>
          <cell r="R323">
            <v>4598117</v>
          </cell>
          <cell r="S323">
            <v>0</v>
          </cell>
          <cell r="T323">
            <v>46324</v>
          </cell>
          <cell r="U323">
            <v>17978</v>
          </cell>
          <cell r="V323">
            <v>0</v>
          </cell>
          <cell r="W323">
            <v>182</v>
          </cell>
          <cell r="X323">
            <v>0</v>
          </cell>
          <cell r="Y323">
            <v>0</v>
          </cell>
          <cell r="Z323">
            <v>0</v>
          </cell>
          <cell r="AA323">
            <v>9224</v>
          </cell>
          <cell r="AB323">
            <v>0</v>
          </cell>
          <cell r="AC323">
            <v>93</v>
          </cell>
          <cell r="AD323">
            <v>0</v>
          </cell>
          <cell r="AE323">
            <v>0</v>
          </cell>
          <cell r="AF323">
            <v>0</v>
          </cell>
          <cell r="AG323">
            <v>0</v>
          </cell>
          <cell r="AH323">
            <v>0</v>
          </cell>
          <cell r="AI323">
            <v>0</v>
          </cell>
          <cell r="AM323">
            <v>0</v>
          </cell>
          <cell r="AN323">
            <v>0</v>
          </cell>
          <cell r="AO323">
            <v>0</v>
          </cell>
          <cell r="AP323">
            <v>1023267</v>
          </cell>
          <cell r="AQ323">
            <v>0</v>
          </cell>
          <cell r="AR323">
            <v>10301</v>
          </cell>
          <cell r="AS323">
            <v>-1616270</v>
          </cell>
          <cell r="AT323">
            <v>-1583946</v>
          </cell>
          <cell r="AU323">
            <v>0</v>
          </cell>
          <cell r="AV323">
            <v>-32324</v>
          </cell>
          <cell r="AW323">
            <v>-3232540</v>
          </cell>
          <cell r="AX323">
            <v>-6251873</v>
          </cell>
          <cell r="AY323">
            <v>-6126835</v>
          </cell>
          <cell r="AZ323">
            <v>0</v>
          </cell>
          <cell r="BA323">
            <v>-125037</v>
          </cell>
          <cell r="BB323">
            <v>-12503745</v>
          </cell>
          <cell r="BC323">
            <v>71720223</v>
          </cell>
          <cell r="BD323">
            <v>-6655074</v>
          </cell>
          <cell r="BE323">
            <v>1995376</v>
          </cell>
          <cell r="BF323">
            <v>0</v>
          </cell>
          <cell r="BG323">
            <v>-5055610</v>
          </cell>
          <cell r="BH323">
            <v>-29721</v>
          </cell>
          <cell r="BI323">
            <v>0</v>
          </cell>
          <cell r="BJ323">
            <v>-81434</v>
          </cell>
          <cell r="BK323">
            <v>-3710356</v>
          </cell>
          <cell r="BL323">
            <v>-578666</v>
          </cell>
          <cell r="BM323">
            <v>-99647</v>
          </cell>
          <cell r="BN323">
            <v>-7430</v>
          </cell>
          <cell r="BO323">
            <v>0</v>
          </cell>
          <cell r="BP323">
            <v>0</v>
          </cell>
          <cell r="BQ323">
            <v>-78015</v>
          </cell>
          <cell r="BR323">
            <v>-134162</v>
          </cell>
          <cell r="BS323">
            <v>0</v>
          </cell>
          <cell r="BT323">
            <v>80535314</v>
          </cell>
          <cell r="BU323">
            <v>-1774166</v>
          </cell>
          <cell r="BV323">
            <v>4925494</v>
          </cell>
          <cell r="BW323">
            <v>-1441230</v>
          </cell>
          <cell r="BX323">
            <v>1452539</v>
          </cell>
          <cell r="BY323">
            <v>1473864</v>
          </cell>
          <cell r="BZ323">
            <v>68577464</v>
          </cell>
          <cell r="CA323">
            <v>726270</v>
          </cell>
          <cell r="CB323">
            <v>711744</v>
          </cell>
          <cell r="CC323">
            <v>0</v>
          </cell>
          <cell r="CD323">
            <v>14525</v>
          </cell>
          <cell r="CE323">
            <v>736932</v>
          </cell>
          <cell r="CF323">
            <v>722193</v>
          </cell>
          <cell r="CG323">
            <v>0</v>
          </cell>
          <cell r="CH323">
            <v>14739</v>
          </cell>
        </row>
        <row r="324">
          <cell r="A324">
            <v>317</v>
          </cell>
          <cell r="B324" t="str">
            <v>Woking</v>
          </cell>
          <cell r="C324" t="str">
            <v>E3641</v>
          </cell>
          <cell r="D324">
            <v>134878</v>
          </cell>
          <cell r="H324">
            <v>-700535</v>
          </cell>
          <cell r="I324">
            <v>0</v>
          </cell>
          <cell r="J324">
            <v>134878</v>
          </cell>
          <cell r="K324">
            <v>0</v>
          </cell>
          <cell r="L324">
            <v>0</v>
          </cell>
          <cell r="M324">
            <v>0</v>
          </cell>
          <cell r="N324">
            <v>0</v>
          </cell>
          <cell r="O324">
            <v>0</v>
          </cell>
          <cell r="P324">
            <v>0</v>
          </cell>
          <cell r="Q324">
            <v>0</v>
          </cell>
          <cell r="R324">
            <v>339755</v>
          </cell>
          <cell r="S324">
            <v>84939</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M324">
            <v>0</v>
          </cell>
          <cell r="AN324">
            <v>0</v>
          </cell>
          <cell r="AO324">
            <v>0</v>
          </cell>
          <cell r="AP324">
            <v>282548</v>
          </cell>
          <cell r="AQ324">
            <v>70637</v>
          </cell>
          <cell r="AR324">
            <v>0</v>
          </cell>
          <cell r="AS324">
            <v>-502000</v>
          </cell>
          <cell r="AT324">
            <v>-401600</v>
          </cell>
          <cell r="AU324">
            <v>-100400</v>
          </cell>
          <cell r="AV324">
            <v>0</v>
          </cell>
          <cell r="AW324">
            <v>-1004000</v>
          </cell>
          <cell r="AX324">
            <v>-1779660</v>
          </cell>
          <cell r="AY324">
            <v>-1423729</v>
          </cell>
          <cell r="AZ324">
            <v>-355933</v>
          </cell>
          <cell r="BA324">
            <v>0</v>
          </cell>
          <cell r="BB324">
            <v>-3559322</v>
          </cell>
          <cell r="BC324">
            <v>49872479</v>
          </cell>
          <cell r="BD324">
            <v>-1138160</v>
          </cell>
          <cell r="BE324">
            <v>1323383</v>
          </cell>
          <cell r="BF324">
            <v>0</v>
          </cell>
          <cell r="BG324">
            <v>-2774188</v>
          </cell>
          <cell r="BH324">
            <v>0</v>
          </cell>
          <cell r="BI324">
            <v>-721</v>
          </cell>
          <cell r="BJ324">
            <v>-9521</v>
          </cell>
          <cell r="BK324">
            <v>-1926396</v>
          </cell>
          <cell r="BL324">
            <v>-322244</v>
          </cell>
          <cell r="BM324">
            <v>-86322</v>
          </cell>
          <cell r="BN324">
            <v>0</v>
          </cell>
          <cell r="BO324">
            <v>0</v>
          </cell>
          <cell r="BP324">
            <v>0</v>
          </cell>
          <cell r="BQ324">
            <v>-61613</v>
          </cell>
          <cell r="BR324">
            <v>0</v>
          </cell>
          <cell r="BS324">
            <v>0</v>
          </cell>
          <cell r="BT324">
            <v>47656028</v>
          </cell>
          <cell r="BU324">
            <v>0</v>
          </cell>
          <cell r="BV324">
            <v>2408223</v>
          </cell>
          <cell r="BW324">
            <v>-993815</v>
          </cell>
          <cell r="BX324">
            <v>4865914</v>
          </cell>
          <cell r="BY324">
            <v>4590780</v>
          </cell>
          <cell r="BZ324">
            <v>47024067</v>
          </cell>
          <cell r="CA324">
            <v>2432956</v>
          </cell>
          <cell r="CB324">
            <v>1946366</v>
          </cell>
          <cell r="CC324">
            <v>486592</v>
          </cell>
          <cell r="CD324">
            <v>0</v>
          </cell>
          <cell r="CE324">
            <v>2295390</v>
          </cell>
          <cell r="CF324">
            <v>1836312</v>
          </cell>
          <cell r="CG324">
            <v>459078</v>
          </cell>
          <cell r="CH324">
            <v>0</v>
          </cell>
        </row>
        <row r="325">
          <cell r="A325">
            <v>318</v>
          </cell>
          <cell r="B325" t="str">
            <v>Wokingham</v>
          </cell>
          <cell r="C325" t="str">
            <v>E0306</v>
          </cell>
          <cell r="D325">
            <v>190537</v>
          </cell>
          <cell r="H325">
            <v>5244154</v>
          </cell>
          <cell r="I325">
            <v>0</v>
          </cell>
          <cell r="J325">
            <v>190537</v>
          </cell>
          <cell r="K325">
            <v>0</v>
          </cell>
          <cell r="L325">
            <v>17772</v>
          </cell>
          <cell r="M325">
            <v>0</v>
          </cell>
          <cell r="N325">
            <v>0</v>
          </cell>
          <cell r="O325">
            <v>0</v>
          </cell>
          <cell r="P325">
            <v>0</v>
          </cell>
          <cell r="Q325">
            <v>0</v>
          </cell>
          <cell r="R325">
            <v>642841</v>
          </cell>
          <cell r="S325">
            <v>0</v>
          </cell>
          <cell r="T325">
            <v>13119</v>
          </cell>
          <cell r="U325">
            <v>249</v>
          </cell>
          <cell r="V325">
            <v>0</v>
          </cell>
          <cell r="W325">
            <v>5</v>
          </cell>
          <cell r="X325">
            <v>56199</v>
          </cell>
          <cell r="Y325">
            <v>0</v>
          </cell>
          <cell r="Z325">
            <v>1147</v>
          </cell>
          <cell r="AA325">
            <v>1785</v>
          </cell>
          <cell r="AB325">
            <v>0</v>
          </cell>
          <cell r="AC325">
            <v>36</v>
          </cell>
          <cell r="AD325">
            <v>0</v>
          </cell>
          <cell r="AE325">
            <v>0</v>
          </cell>
          <cell r="AF325">
            <v>0</v>
          </cell>
          <cell r="AG325">
            <v>0</v>
          </cell>
          <cell r="AH325">
            <v>0</v>
          </cell>
          <cell r="AI325">
            <v>0</v>
          </cell>
          <cell r="AM325">
            <v>0</v>
          </cell>
          <cell r="AN325">
            <v>0</v>
          </cell>
          <cell r="AO325">
            <v>0</v>
          </cell>
          <cell r="AP325">
            <v>451495</v>
          </cell>
          <cell r="AQ325">
            <v>0</v>
          </cell>
          <cell r="AR325">
            <v>9209</v>
          </cell>
          <cell r="AS325">
            <v>-448029</v>
          </cell>
          <cell r="AT325">
            <v>-439070</v>
          </cell>
          <cell r="AU325">
            <v>0</v>
          </cell>
          <cell r="AV325">
            <v>-8961</v>
          </cell>
          <cell r="AW325">
            <v>-896060</v>
          </cell>
          <cell r="AX325">
            <v>-2428686</v>
          </cell>
          <cell r="AY325">
            <v>-2380112</v>
          </cell>
          <cell r="AZ325">
            <v>0</v>
          </cell>
          <cell r="BA325">
            <v>-48574</v>
          </cell>
          <cell r="BB325">
            <v>-4857372</v>
          </cell>
          <cell r="BC325">
            <v>55073329</v>
          </cell>
          <cell r="BD325">
            <v>-2007000</v>
          </cell>
          <cell r="BE325">
            <v>1654848</v>
          </cell>
          <cell r="BF325">
            <v>0</v>
          </cell>
          <cell r="BG325">
            <v>-5141371</v>
          </cell>
          <cell r="BH325">
            <v>-65365</v>
          </cell>
          <cell r="BI325">
            <v>-4964</v>
          </cell>
          <cell r="BJ325">
            <v>-204395</v>
          </cell>
          <cell r="BK325">
            <v>-3143055</v>
          </cell>
          <cell r="BL325">
            <v>-7044</v>
          </cell>
          <cell r="BM325">
            <v>-46226</v>
          </cell>
          <cell r="BN325">
            <v>-452</v>
          </cell>
          <cell r="BO325">
            <v>-845</v>
          </cell>
          <cell r="BP325">
            <v>0</v>
          </cell>
          <cell r="BQ325">
            <v>-6036</v>
          </cell>
          <cell r="BR325">
            <v>0</v>
          </cell>
          <cell r="BS325">
            <v>0</v>
          </cell>
          <cell r="BT325">
            <v>59165666</v>
          </cell>
          <cell r="BU325">
            <v>-200307</v>
          </cell>
          <cell r="BV325">
            <v>2348491</v>
          </cell>
          <cell r="BW325">
            <v>-2133143</v>
          </cell>
          <cell r="BX325">
            <v>3812940</v>
          </cell>
          <cell r="BY325">
            <v>1125542</v>
          </cell>
          <cell r="BZ325">
            <v>61303866</v>
          </cell>
          <cell r="CA325">
            <v>1906470</v>
          </cell>
          <cell r="CB325">
            <v>1868341</v>
          </cell>
          <cell r="CC325">
            <v>0</v>
          </cell>
          <cell r="CD325">
            <v>38129</v>
          </cell>
          <cell r="CE325">
            <v>562771</v>
          </cell>
          <cell r="CF325">
            <v>551516</v>
          </cell>
          <cell r="CG325">
            <v>0</v>
          </cell>
          <cell r="CH325">
            <v>11255</v>
          </cell>
        </row>
        <row r="326">
          <cell r="A326">
            <v>319</v>
          </cell>
          <cell r="B326" t="str">
            <v>Wolverhampton</v>
          </cell>
          <cell r="C326" t="str">
            <v>E4607</v>
          </cell>
          <cell r="D326">
            <v>337306</v>
          </cell>
          <cell r="H326">
            <v>-1176463</v>
          </cell>
          <cell r="I326">
            <v>0</v>
          </cell>
          <cell r="J326">
            <v>337306</v>
          </cell>
          <cell r="K326">
            <v>59532</v>
          </cell>
          <cell r="L326">
            <v>0</v>
          </cell>
          <cell r="M326">
            <v>0</v>
          </cell>
          <cell r="N326">
            <v>0</v>
          </cell>
          <cell r="O326">
            <v>0</v>
          </cell>
          <cell r="P326">
            <v>0</v>
          </cell>
          <cell r="Q326">
            <v>0</v>
          </cell>
          <cell r="R326">
            <v>3694422</v>
          </cell>
          <cell r="S326">
            <v>0</v>
          </cell>
          <cell r="T326">
            <v>37317</v>
          </cell>
          <cell r="U326">
            <v>13683</v>
          </cell>
          <cell r="V326">
            <v>0</v>
          </cell>
          <cell r="W326">
            <v>138</v>
          </cell>
          <cell r="X326">
            <v>0</v>
          </cell>
          <cell r="Y326">
            <v>0</v>
          </cell>
          <cell r="Z326">
            <v>0</v>
          </cell>
          <cell r="AA326">
            <v>42424</v>
          </cell>
          <cell r="AB326">
            <v>0</v>
          </cell>
          <cell r="AC326">
            <v>429</v>
          </cell>
          <cell r="AD326">
            <v>0</v>
          </cell>
          <cell r="AE326">
            <v>0</v>
          </cell>
          <cell r="AF326">
            <v>0</v>
          </cell>
          <cell r="AG326">
            <v>0</v>
          </cell>
          <cell r="AH326">
            <v>0</v>
          </cell>
          <cell r="AI326">
            <v>0</v>
          </cell>
          <cell r="AM326">
            <v>0</v>
          </cell>
          <cell r="AN326">
            <v>0</v>
          </cell>
          <cell r="AO326">
            <v>0</v>
          </cell>
          <cell r="AP326">
            <v>1059299</v>
          </cell>
          <cell r="AQ326">
            <v>0</v>
          </cell>
          <cell r="AR326">
            <v>10691</v>
          </cell>
          <cell r="AS326">
            <v>-2844728</v>
          </cell>
          <cell r="AT326">
            <v>-2787833</v>
          </cell>
          <cell r="AU326">
            <v>0</v>
          </cell>
          <cell r="AV326">
            <v>-56894</v>
          </cell>
          <cell r="AW326">
            <v>-5689455</v>
          </cell>
          <cell r="AX326">
            <v>-6308691</v>
          </cell>
          <cell r="AY326">
            <v>-6182517</v>
          </cell>
          <cell r="AZ326">
            <v>0</v>
          </cell>
          <cell r="BA326">
            <v>-126174</v>
          </cell>
          <cell r="BB326">
            <v>-12617382</v>
          </cell>
          <cell r="BC326">
            <v>69518410</v>
          </cell>
          <cell r="BD326">
            <v>-5861815</v>
          </cell>
          <cell r="BE326">
            <v>2057360</v>
          </cell>
          <cell r="BF326">
            <v>0</v>
          </cell>
          <cell r="BG326">
            <v>-5465987</v>
          </cell>
          <cell r="BH326">
            <v>-12017</v>
          </cell>
          <cell r="BI326">
            <v>0</v>
          </cell>
          <cell r="BJ326">
            <v>0</v>
          </cell>
          <cell r="BK326">
            <v>-3335121</v>
          </cell>
          <cell r="BL326">
            <v>-259065</v>
          </cell>
          <cell r="BM326">
            <v>-375034</v>
          </cell>
          <cell r="BN326">
            <v>-1600</v>
          </cell>
          <cell r="BO326">
            <v>0</v>
          </cell>
          <cell r="BP326">
            <v>0</v>
          </cell>
          <cell r="BQ326">
            <v>0</v>
          </cell>
          <cell r="BR326">
            <v>0</v>
          </cell>
          <cell r="BS326">
            <v>0</v>
          </cell>
          <cell r="BT326">
            <v>75259780</v>
          </cell>
          <cell r="BU326">
            <v>-1808399</v>
          </cell>
          <cell r="BV326">
            <v>7482855.7000000002</v>
          </cell>
          <cell r="BW326">
            <v>-1384240.55</v>
          </cell>
          <cell r="BX326">
            <v>-11963455.699999999</v>
          </cell>
          <cell r="BY326">
            <v>-8643897</v>
          </cell>
          <cell r="BZ326">
            <v>71171210</v>
          </cell>
          <cell r="CA326">
            <v>-5981728.6999999993</v>
          </cell>
          <cell r="CB326">
            <v>-5862093</v>
          </cell>
          <cell r="CC326">
            <v>0</v>
          </cell>
          <cell r="CD326">
            <v>-119634</v>
          </cell>
          <cell r="CE326">
            <v>-4321948</v>
          </cell>
          <cell r="CF326">
            <v>-4235510</v>
          </cell>
          <cell r="CG326">
            <v>0</v>
          </cell>
          <cell r="CH326">
            <v>-86439</v>
          </cell>
        </row>
        <row r="327">
          <cell r="A327">
            <v>320</v>
          </cell>
          <cell r="B327" t="str">
            <v>Worcester</v>
          </cell>
          <cell r="C327" t="str">
            <v>E1837</v>
          </cell>
          <cell r="D327">
            <v>133156</v>
          </cell>
          <cell r="H327">
            <v>-1606560</v>
          </cell>
          <cell r="I327">
            <v>0</v>
          </cell>
          <cell r="J327">
            <v>133156</v>
          </cell>
          <cell r="K327">
            <v>0</v>
          </cell>
          <cell r="L327">
            <v>0</v>
          </cell>
          <cell r="M327">
            <v>0</v>
          </cell>
          <cell r="N327">
            <v>0</v>
          </cell>
          <cell r="O327">
            <v>0</v>
          </cell>
          <cell r="P327">
            <v>0</v>
          </cell>
          <cell r="Q327">
            <v>0</v>
          </cell>
          <cell r="R327">
            <v>511407</v>
          </cell>
          <cell r="S327">
            <v>115066</v>
          </cell>
          <cell r="T327">
            <v>12785</v>
          </cell>
          <cell r="U327">
            <v>2480</v>
          </cell>
          <cell r="V327">
            <v>558</v>
          </cell>
          <cell r="W327">
            <v>62</v>
          </cell>
          <cell r="X327">
            <v>0</v>
          </cell>
          <cell r="Y327">
            <v>0</v>
          </cell>
          <cell r="Z327">
            <v>0</v>
          </cell>
          <cell r="AA327">
            <v>4779</v>
          </cell>
          <cell r="AB327">
            <v>1075</v>
          </cell>
          <cell r="AC327">
            <v>119</v>
          </cell>
          <cell r="AD327">
            <v>0</v>
          </cell>
          <cell r="AE327">
            <v>0</v>
          </cell>
          <cell r="AF327">
            <v>0</v>
          </cell>
          <cell r="AG327">
            <v>0</v>
          </cell>
          <cell r="AH327">
            <v>0</v>
          </cell>
          <cell r="AI327">
            <v>0</v>
          </cell>
          <cell r="AM327">
            <v>0</v>
          </cell>
          <cell r="AN327">
            <v>0</v>
          </cell>
          <cell r="AO327">
            <v>0</v>
          </cell>
          <cell r="AP327">
            <v>230043</v>
          </cell>
          <cell r="AQ327">
            <v>51760</v>
          </cell>
          <cell r="AR327">
            <v>5751</v>
          </cell>
          <cell r="AS327">
            <v>-147384</v>
          </cell>
          <cell r="AT327">
            <v>-117907</v>
          </cell>
          <cell r="AU327">
            <v>-26529</v>
          </cell>
          <cell r="AV327">
            <v>-2948</v>
          </cell>
          <cell r="AW327">
            <v>-294768</v>
          </cell>
          <cell r="AX327">
            <v>-1861330</v>
          </cell>
          <cell r="AY327">
            <v>-1489063</v>
          </cell>
          <cell r="AZ327">
            <v>-335039</v>
          </cell>
          <cell r="BA327">
            <v>-37226</v>
          </cell>
          <cell r="BB327">
            <v>-3722658</v>
          </cell>
          <cell r="BC327">
            <v>41599098</v>
          </cell>
          <cell r="BD327">
            <v>-1927867</v>
          </cell>
          <cell r="BE327">
            <v>1165952</v>
          </cell>
          <cell r="BF327">
            <v>0</v>
          </cell>
          <cell r="BG327">
            <v>-3887787</v>
          </cell>
          <cell r="BH327">
            <v>-18190</v>
          </cell>
          <cell r="BI327">
            <v>0</v>
          </cell>
          <cell r="BJ327">
            <v>-2662</v>
          </cell>
          <cell r="BK327">
            <v>-1783605</v>
          </cell>
          <cell r="BL327">
            <v>-191929</v>
          </cell>
          <cell r="BM327">
            <v>-20060</v>
          </cell>
          <cell r="BN327">
            <v>-4548</v>
          </cell>
          <cell r="BO327">
            <v>0</v>
          </cell>
          <cell r="BP327">
            <v>0</v>
          </cell>
          <cell r="BQ327">
            <v>0</v>
          </cell>
          <cell r="BR327">
            <v>0</v>
          </cell>
          <cell r="BS327">
            <v>0</v>
          </cell>
          <cell r="BT327">
            <v>42367813</v>
          </cell>
          <cell r="BU327">
            <v>-188892</v>
          </cell>
          <cell r="BV327">
            <v>463934</v>
          </cell>
          <cell r="BW327">
            <v>-501363</v>
          </cell>
          <cell r="BX327">
            <v>223492</v>
          </cell>
          <cell r="BY327">
            <v>839734</v>
          </cell>
          <cell r="BZ327">
            <v>38285729</v>
          </cell>
          <cell r="CA327">
            <v>111746</v>
          </cell>
          <cell r="CB327">
            <v>89397</v>
          </cell>
          <cell r="CC327">
            <v>20114</v>
          </cell>
          <cell r="CD327">
            <v>2235</v>
          </cell>
          <cell r="CE327">
            <v>419867</v>
          </cell>
          <cell r="CF327">
            <v>335894</v>
          </cell>
          <cell r="CG327">
            <v>75576</v>
          </cell>
          <cell r="CH327">
            <v>8397</v>
          </cell>
        </row>
        <row r="328">
          <cell r="A328">
            <v>321</v>
          </cell>
          <cell r="B328" t="str">
            <v>Worthing</v>
          </cell>
          <cell r="C328" t="str">
            <v>E3837</v>
          </cell>
          <cell r="D328">
            <v>128590</v>
          </cell>
          <cell r="H328">
            <v>-439244</v>
          </cell>
          <cell r="I328">
            <v>0</v>
          </cell>
          <cell r="J328">
            <v>128590</v>
          </cell>
          <cell r="K328">
            <v>0</v>
          </cell>
          <cell r="L328">
            <v>0</v>
          </cell>
          <cell r="M328">
            <v>0</v>
          </cell>
          <cell r="N328">
            <v>0</v>
          </cell>
          <cell r="O328">
            <v>0</v>
          </cell>
          <cell r="P328">
            <v>0</v>
          </cell>
          <cell r="Q328">
            <v>0</v>
          </cell>
          <cell r="R328">
            <v>592840</v>
          </cell>
          <cell r="S328">
            <v>148210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M328">
            <v>0</v>
          </cell>
          <cell r="AN328">
            <v>0</v>
          </cell>
          <cell r="AO328">
            <v>0</v>
          </cell>
          <cell r="AP328">
            <v>187488</v>
          </cell>
          <cell r="AQ328">
            <v>46872</v>
          </cell>
          <cell r="AR328">
            <v>0</v>
          </cell>
          <cell r="AS328">
            <v>-647127</v>
          </cell>
          <cell r="AT328">
            <v>-517702</v>
          </cell>
          <cell r="AU328">
            <v>-129425</v>
          </cell>
          <cell r="AV328">
            <v>0</v>
          </cell>
          <cell r="AW328">
            <v>-1294254</v>
          </cell>
          <cell r="AX328">
            <v>-1132818</v>
          </cell>
          <cell r="AY328">
            <v>-906254</v>
          </cell>
          <cell r="AZ328">
            <v>-226563</v>
          </cell>
          <cell r="BA328">
            <v>0</v>
          </cell>
          <cell r="BB328">
            <v>-2265635</v>
          </cell>
          <cell r="BC328">
            <v>32497960</v>
          </cell>
          <cell r="BD328">
            <v>-2209407</v>
          </cell>
          <cell r="BE328">
            <v>865618</v>
          </cell>
          <cell r="BF328">
            <v>0</v>
          </cell>
          <cell r="BG328">
            <v>-2550296</v>
          </cell>
          <cell r="BH328">
            <v>-40118</v>
          </cell>
          <cell r="BI328">
            <v>0</v>
          </cell>
          <cell r="BJ328">
            <v>0</v>
          </cell>
          <cell r="BK328">
            <v>-885086</v>
          </cell>
          <cell r="BL328">
            <v>-186704</v>
          </cell>
          <cell r="BM328">
            <v>-4234</v>
          </cell>
          <cell r="BN328">
            <v>0</v>
          </cell>
          <cell r="BO328">
            <v>0</v>
          </cell>
          <cell r="BP328">
            <v>0</v>
          </cell>
          <cell r="BQ328">
            <v>0</v>
          </cell>
          <cell r="BR328">
            <v>0</v>
          </cell>
          <cell r="BS328">
            <v>0</v>
          </cell>
          <cell r="BT328">
            <v>32648044</v>
          </cell>
          <cell r="BU328">
            <v>-165751</v>
          </cell>
          <cell r="BV328">
            <v>654495</v>
          </cell>
          <cell r="BW328">
            <v>-618284</v>
          </cell>
          <cell r="BX328">
            <v>-37400</v>
          </cell>
          <cell r="BY328">
            <v>65026</v>
          </cell>
          <cell r="BZ328">
            <v>31203375</v>
          </cell>
          <cell r="CA328">
            <v>-18699</v>
          </cell>
          <cell r="CB328">
            <v>-14960</v>
          </cell>
          <cell r="CC328">
            <v>-3741</v>
          </cell>
          <cell r="CD328">
            <v>0</v>
          </cell>
          <cell r="CE328">
            <v>32513</v>
          </cell>
          <cell r="CF328">
            <v>26010</v>
          </cell>
          <cell r="CG328">
            <v>6503</v>
          </cell>
          <cell r="CH328">
            <v>0</v>
          </cell>
        </row>
        <row r="329">
          <cell r="A329">
            <v>322</v>
          </cell>
          <cell r="B329" t="str">
            <v>Wychavon</v>
          </cell>
          <cell r="C329" t="str">
            <v>E1838</v>
          </cell>
          <cell r="D329">
            <v>185069</v>
          </cell>
          <cell r="H329">
            <v>-378048</v>
          </cell>
          <cell r="I329">
            <v>0</v>
          </cell>
          <cell r="J329">
            <v>185069</v>
          </cell>
          <cell r="K329">
            <v>0</v>
          </cell>
          <cell r="L329">
            <v>204803</v>
          </cell>
          <cell r="M329">
            <v>0</v>
          </cell>
          <cell r="N329">
            <v>0</v>
          </cell>
          <cell r="O329">
            <v>0</v>
          </cell>
          <cell r="P329">
            <v>0</v>
          </cell>
          <cell r="Q329">
            <v>0</v>
          </cell>
          <cell r="R329">
            <v>839569</v>
          </cell>
          <cell r="S329">
            <v>188903</v>
          </cell>
          <cell r="T329">
            <v>20989</v>
          </cell>
          <cell r="U329">
            <v>0</v>
          </cell>
          <cell r="V329">
            <v>0</v>
          </cell>
          <cell r="W329">
            <v>0</v>
          </cell>
          <cell r="X329">
            <v>0</v>
          </cell>
          <cell r="Y329">
            <v>0</v>
          </cell>
          <cell r="Z329">
            <v>0</v>
          </cell>
          <cell r="AA329">
            <v>4303</v>
          </cell>
          <cell r="AB329">
            <v>968</v>
          </cell>
          <cell r="AC329">
            <v>108</v>
          </cell>
          <cell r="AD329">
            <v>0</v>
          </cell>
          <cell r="AE329">
            <v>0</v>
          </cell>
          <cell r="AF329">
            <v>0</v>
          </cell>
          <cell r="AG329">
            <v>0</v>
          </cell>
          <cell r="AH329">
            <v>0</v>
          </cell>
          <cell r="AI329">
            <v>0</v>
          </cell>
          <cell r="AM329">
            <v>0</v>
          </cell>
          <cell r="AN329">
            <v>0</v>
          </cell>
          <cell r="AO329">
            <v>0</v>
          </cell>
          <cell r="AP329">
            <v>235570</v>
          </cell>
          <cell r="AQ329">
            <v>52311</v>
          </cell>
          <cell r="AR329">
            <v>5812</v>
          </cell>
          <cell r="AS329">
            <v>-97500</v>
          </cell>
          <cell r="AT329">
            <v>-78000</v>
          </cell>
          <cell r="AU329">
            <v>-17550</v>
          </cell>
          <cell r="AV329">
            <v>-1950</v>
          </cell>
          <cell r="AW329">
            <v>-195000</v>
          </cell>
          <cell r="AX329">
            <v>-1412733</v>
          </cell>
          <cell r="AY329">
            <v>-1130185</v>
          </cell>
          <cell r="AZ329">
            <v>-254290</v>
          </cell>
          <cell r="BA329">
            <v>-28254</v>
          </cell>
          <cell r="BB329">
            <v>-2825462</v>
          </cell>
          <cell r="BC329">
            <v>40905376</v>
          </cell>
          <cell r="BD329">
            <v>-3355503</v>
          </cell>
          <cell r="BE329">
            <v>1078847</v>
          </cell>
          <cell r="BF329">
            <v>0</v>
          </cell>
          <cell r="BG329">
            <v>-2032789</v>
          </cell>
          <cell r="BH329">
            <v>-57318</v>
          </cell>
          <cell r="BI329">
            <v>-61661</v>
          </cell>
          <cell r="BJ329">
            <v>-94677</v>
          </cell>
          <cell r="BK329">
            <v>-1383393</v>
          </cell>
          <cell r="BL329">
            <v>-202433</v>
          </cell>
          <cell r="BM329">
            <v>-64865</v>
          </cell>
          <cell r="BN329">
            <v>-11465</v>
          </cell>
          <cell r="BO329">
            <v>-49822</v>
          </cell>
          <cell r="BP329">
            <v>-29751</v>
          </cell>
          <cell r="BQ329">
            <v>0</v>
          </cell>
          <cell r="BR329">
            <v>0</v>
          </cell>
          <cell r="BS329">
            <v>0</v>
          </cell>
          <cell r="BT329">
            <v>41668329</v>
          </cell>
          <cell r="BU329">
            <v>-162930</v>
          </cell>
          <cell r="BV329">
            <v>518958</v>
          </cell>
          <cell r="BW329">
            <v>-320751</v>
          </cell>
          <cell r="BX329">
            <v>525637</v>
          </cell>
          <cell r="BY329">
            <v>750157</v>
          </cell>
          <cell r="BZ329">
            <v>38693653</v>
          </cell>
          <cell r="CA329">
            <v>262818</v>
          </cell>
          <cell r="CB329">
            <v>210254</v>
          </cell>
          <cell r="CC329">
            <v>47308</v>
          </cell>
          <cell r="CD329">
            <v>5257</v>
          </cell>
          <cell r="CE329">
            <v>375078</v>
          </cell>
          <cell r="CF329">
            <v>300063</v>
          </cell>
          <cell r="CG329">
            <v>67514</v>
          </cell>
          <cell r="CH329">
            <v>7502</v>
          </cell>
        </row>
        <row r="330">
          <cell r="A330">
            <v>323</v>
          </cell>
          <cell r="B330" t="str">
            <v>Wycombe</v>
          </cell>
          <cell r="C330" t="str">
            <v>E0435</v>
          </cell>
          <cell r="D330">
            <v>234376</v>
          </cell>
          <cell r="H330">
            <v>580119</v>
          </cell>
          <cell r="I330">
            <v>0</v>
          </cell>
          <cell r="J330">
            <v>234376</v>
          </cell>
          <cell r="K330">
            <v>0</v>
          </cell>
          <cell r="L330">
            <v>0</v>
          </cell>
          <cell r="M330">
            <v>0</v>
          </cell>
          <cell r="N330">
            <v>0</v>
          </cell>
          <cell r="O330">
            <v>0</v>
          </cell>
          <cell r="P330">
            <v>0</v>
          </cell>
          <cell r="Q330">
            <v>0</v>
          </cell>
          <cell r="R330">
            <v>698336</v>
          </cell>
          <cell r="S330">
            <v>157125</v>
          </cell>
          <cell r="T330">
            <v>17458</v>
          </cell>
          <cell r="U330">
            <v>5148</v>
          </cell>
          <cell r="V330">
            <v>1158</v>
          </cell>
          <cell r="W330">
            <v>129</v>
          </cell>
          <cell r="X330">
            <v>0</v>
          </cell>
          <cell r="Y330">
            <v>0</v>
          </cell>
          <cell r="Z330">
            <v>0</v>
          </cell>
          <cell r="AA330">
            <v>14969</v>
          </cell>
          <cell r="AB330">
            <v>3368</v>
          </cell>
          <cell r="AC330">
            <v>374</v>
          </cell>
          <cell r="AD330">
            <v>0</v>
          </cell>
          <cell r="AE330">
            <v>0</v>
          </cell>
          <cell r="AF330">
            <v>0</v>
          </cell>
          <cell r="AG330">
            <v>0</v>
          </cell>
          <cell r="AH330">
            <v>0</v>
          </cell>
          <cell r="AI330">
            <v>0</v>
          </cell>
          <cell r="AM330">
            <v>0</v>
          </cell>
          <cell r="AN330">
            <v>0</v>
          </cell>
          <cell r="AO330">
            <v>0</v>
          </cell>
          <cell r="AP330">
            <v>416852</v>
          </cell>
          <cell r="AQ330">
            <v>93792</v>
          </cell>
          <cell r="AR330">
            <v>10421</v>
          </cell>
          <cell r="AS330">
            <v>-1156999</v>
          </cell>
          <cell r="AT330">
            <v>-925600</v>
          </cell>
          <cell r="AU330">
            <v>-208260</v>
          </cell>
          <cell r="AV330">
            <v>-23141</v>
          </cell>
          <cell r="AW330">
            <v>-2314000</v>
          </cell>
          <cell r="AX330">
            <v>-3123398</v>
          </cell>
          <cell r="AY330">
            <v>-2498719</v>
          </cell>
          <cell r="AZ330">
            <v>-562213</v>
          </cell>
          <cell r="BA330">
            <v>-62468</v>
          </cell>
          <cell r="BB330">
            <v>-6246798</v>
          </cell>
          <cell r="BC330">
            <v>72163216</v>
          </cell>
          <cell r="BD330">
            <v>-2576757</v>
          </cell>
          <cell r="BE330">
            <v>1970699</v>
          </cell>
          <cell r="BF330">
            <v>0</v>
          </cell>
          <cell r="BG330">
            <v>-4665469</v>
          </cell>
          <cell r="BH330">
            <v>-60612</v>
          </cell>
          <cell r="BI330">
            <v>-14774</v>
          </cell>
          <cell r="BJ330">
            <v>-7658</v>
          </cell>
          <cell r="BK330">
            <v>-2842230</v>
          </cell>
          <cell r="BL330">
            <v>-190888</v>
          </cell>
          <cell r="BM330">
            <v>-57031</v>
          </cell>
          <cell r="BN330">
            <v>-8068</v>
          </cell>
          <cell r="BO330">
            <v>-11232</v>
          </cell>
          <cell r="BP330">
            <v>-24399</v>
          </cell>
          <cell r="BQ330">
            <v>0</v>
          </cell>
          <cell r="BR330">
            <v>0</v>
          </cell>
          <cell r="BS330">
            <v>0</v>
          </cell>
          <cell r="BT330">
            <v>71897592</v>
          </cell>
          <cell r="BU330">
            <v>-316338</v>
          </cell>
          <cell r="BV330">
            <v>2689875</v>
          </cell>
          <cell r="BW330">
            <v>-3557087</v>
          </cell>
          <cell r="BX330">
            <v>-4549102</v>
          </cell>
          <cell r="BY330">
            <v>-3816087</v>
          </cell>
          <cell r="BZ330">
            <v>69376131</v>
          </cell>
          <cell r="CA330">
            <v>-2274551</v>
          </cell>
          <cell r="CB330">
            <v>-1819641</v>
          </cell>
          <cell r="CC330">
            <v>-409419</v>
          </cell>
          <cell r="CD330">
            <v>-45491</v>
          </cell>
          <cell r="CE330">
            <v>-1908043</v>
          </cell>
          <cell r="CF330">
            <v>-1526435</v>
          </cell>
          <cell r="CG330">
            <v>-343448</v>
          </cell>
          <cell r="CH330">
            <v>-38161</v>
          </cell>
        </row>
        <row r="331">
          <cell r="A331">
            <v>324</v>
          </cell>
          <cell r="B331" t="str">
            <v>Wyre</v>
          </cell>
          <cell r="C331" t="str">
            <v>E2344</v>
          </cell>
          <cell r="D331">
            <v>149805</v>
          </cell>
          <cell r="H331">
            <v>-1300157</v>
          </cell>
          <cell r="I331">
            <v>-174327</v>
          </cell>
          <cell r="J331">
            <v>149805</v>
          </cell>
          <cell r="K331">
            <v>0</v>
          </cell>
          <cell r="L331">
            <v>0</v>
          </cell>
          <cell r="M331">
            <v>0</v>
          </cell>
          <cell r="N331">
            <v>0</v>
          </cell>
          <cell r="O331">
            <v>0</v>
          </cell>
          <cell r="P331">
            <v>0</v>
          </cell>
          <cell r="Q331">
            <v>0</v>
          </cell>
          <cell r="R331">
            <v>802425</v>
          </cell>
          <cell r="S331">
            <v>177468</v>
          </cell>
          <cell r="T331">
            <v>19719</v>
          </cell>
          <cell r="U331">
            <v>13888</v>
          </cell>
          <cell r="V331">
            <v>2092</v>
          </cell>
          <cell r="W331">
            <v>232</v>
          </cell>
          <cell r="X331">
            <v>0</v>
          </cell>
          <cell r="Y331">
            <v>0</v>
          </cell>
          <cell r="Z331">
            <v>0</v>
          </cell>
          <cell r="AA331">
            <v>0</v>
          </cell>
          <cell r="AB331">
            <v>0</v>
          </cell>
          <cell r="AC331">
            <v>0</v>
          </cell>
          <cell r="AD331">
            <v>0</v>
          </cell>
          <cell r="AE331">
            <v>0</v>
          </cell>
          <cell r="AF331">
            <v>0</v>
          </cell>
          <cell r="AG331">
            <v>0</v>
          </cell>
          <cell r="AH331">
            <v>0</v>
          </cell>
          <cell r="AI331">
            <v>0</v>
          </cell>
          <cell r="AM331">
            <v>0</v>
          </cell>
          <cell r="AN331">
            <v>0</v>
          </cell>
          <cell r="AO331">
            <v>0</v>
          </cell>
          <cell r="AP331">
            <v>146729</v>
          </cell>
          <cell r="AQ331">
            <v>33014</v>
          </cell>
          <cell r="AR331">
            <v>3668</v>
          </cell>
          <cell r="AS331">
            <v>-306089.84999999998</v>
          </cell>
          <cell r="AT331">
            <v>-244871</v>
          </cell>
          <cell r="AU331">
            <v>-55095</v>
          </cell>
          <cell r="AV331">
            <v>-6122</v>
          </cell>
          <cell r="AW331">
            <v>-612177.85</v>
          </cell>
          <cell r="AX331">
            <v>-1737962.6800000002</v>
          </cell>
          <cell r="AY331">
            <v>-1390371</v>
          </cell>
          <cell r="AZ331">
            <v>-312834</v>
          </cell>
          <cell r="BA331">
            <v>-34759</v>
          </cell>
          <cell r="BB331">
            <v>-3475926.6</v>
          </cell>
          <cell r="BC331">
            <v>26237030</v>
          </cell>
          <cell r="BD331">
            <v>-3064865</v>
          </cell>
          <cell r="BE331">
            <v>689591</v>
          </cell>
          <cell r="BF331">
            <v>0</v>
          </cell>
          <cell r="BG331">
            <v>-1831296</v>
          </cell>
          <cell r="BH331">
            <v>-28832</v>
          </cell>
          <cell r="BI331">
            <v>-2101</v>
          </cell>
          <cell r="BJ331">
            <v>0</v>
          </cell>
          <cell r="BK331">
            <v>-625207</v>
          </cell>
          <cell r="BL331">
            <v>-3298</v>
          </cell>
          <cell r="BM331">
            <v>-65138</v>
          </cell>
          <cell r="BN331">
            <v>0</v>
          </cell>
          <cell r="BO331">
            <v>0</v>
          </cell>
          <cell r="BP331">
            <v>-40</v>
          </cell>
          <cell r="BQ331">
            <v>0</v>
          </cell>
          <cell r="BR331">
            <v>0</v>
          </cell>
          <cell r="BS331">
            <v>0</v>
          </cell>
          <cell r="BT331">
            <v>27077593</v>
          </cell>
          <cell r="BU331">
            <v>-231908</v>
          </cell>
          <cell r="BV331">
            <v>1111214</v>
          </cell>
          <cell r="BW331">
            <v>-1305080</v>
          </cell>
          <cell r="BX331">
            <v>-3570963</v>
          </cell>
          <cell r="BY331">
            <v>-3700524</v>
          </cell>
          <cell r="BZ331">
            <v>24419864</v>
          </cell>
          <cell r="CA331">
            <v>-1785483</v>
          </cell>
          <cell r="CB331">
            <v>-1428385</v>
          </cell>
          <cell r="CC331">
            <v>-321386</v>
          </cell>
          <cell r="CD331">
            <v>-35709</v>
          </cell>
          <cell r="CE331">
            <v>-1850262</v>
          </cell>
          <cell r="CF331">
            <v>-1480210</v>
          </cell>
          <cell r="CG331">
            <v>-333047</v>
          </cell>
          <cell r="CH331">
            <v>-37005</v>
          </cell>
        </row>
        <row r="332">
          <cell r="A332">
            <v>325</v>
          </cell>
          <cell r="B332" t="str">
            <v>Wyre Forest</v>
          </cell>
          <cell r="C332" t="str">
            <v>E1839</v>
          </cell>
          <cell r="D332">
            <v>130713</v>
          </cell>
          <cell r="H332">
            <v>-1111031</v>
          </cell>
          <cell r="I332">
            <v>0</v>
          </cell>
          <cell r="J332">
            <v>130713</v>
          </cell>
          <cell r="K332">
            <v>0</v>
          </cell>
          <cell r="L332">
            <v>0</v>
          </cell>
          <cell r="M332">
            <v>0</v>
          </cell>
          <cell r="N332">
            <v>0</v>
          </cell>
          <cell r="O332">
            <v>0</v>
          </cell>
          <cell r="P332">
            <v>0</v>
          </cell>
          <cell r="Q332">
            <v>0</v>
          </cell>
          <cell r="R332">
            <v>591860</v>
          </cell>
          <cell r="S332">
            <v>133168</v>
          </cell>
          <cell r="T332">
            <v>14796</v>
          </cell>
          <cell r="U332">
            <v>0</v>
          </cell>
          <cell r="V332">
            <v>0</v>
          </cell>
          <cell r="W332">
            <v>0</v>
          </cell>
          <cell r="X332">
            <v>0</v>
          </cell>
          <cell r="Y332">
            <v>0</v>
          </cell>
          <cell r="Z332">
            <v>0</v>
          </cell>
          <cell r="AA332">
            <v>3856</v>
          </cell>
          <cell r="AB332">
            <v>867</v>
          </cell>
          <cell r="AC332">
            <v>96</v>
          </cell>
          <cell r="AD332">
            <v>0</v>
          </cell>
          <cell r="AE332">
            <v>0</v>
          </cell>
          <cell r="AF332">
            <v>0</v>
          </cell>
          <cell r="AG332">
            <v>0</v>
          </cell>
          <cell r="AH332">
            <v>0</v>
          </cell>
          <cell r="AI332">
            <v>0</v>
          </cell>
          <cell r="AM332">
            <v>0</v>
          </cell>
          <cell r="AN332">
            <v>0</v>
          </cell>
          <cell r="AO332">
            <v>0</v>
          </cell>
          <cell r="AP332">
            <v>157918</v>
          </cell>
          <cell r="AQ332">
            <v>35532</v>
          </cell>
          <cell r="AR332">
            <v>3948</v>
          </cell>
          <cell r="AS332">
            <v>-515547</v>
          </cell>
          <cell r="AT332">
            <v>-412438</v>
          </cell>
          <cell r="AU332">
            <v>-92798</v>
          </cell>
          <cell r="AV332">
            <v>-10311</v>
          </cell>
          <cell r="AW332">
            <v>-1031094</v>
          </cell>
          <cell r="AX332">
            <v>-1630259</v>
          </cell>
          <cell r="AY332">
            <v>-1304205</v>
          </cell>
          <cell r="AZ332">
            <v>-293445</v>
          </cell>
          <cell r="BA332">
            <v>-32605</v>
          </cell>
          <cell r="BB332">
            <v>-3260514</v>
          </cell>
          <cell r="BC332">
            <v>29216492</v>
          </cell>
          <cell r="BD332">
            <v>-2337453</v>
          </cell>
          <cell r="BE332">
            <v>802197</v>
          </cell>
          <cell r="BF332">
            <v>0</v>
          </cell>
          <cell r="BG332">
            <v>-1979054</v>
          </cell>
          <cell r="BH332">
            <v>-49551</v>
          </cell>
          <cell r="BI332">
            <v>-9656</v>
          </cell>
          <cell r="BJ332">
            <v>-51172</v>
          </cell>
          <cell r="BK332">
            <v>-1357703</v>
          </cell>
          <cell r="BL332">
            <v>-81077</v>
          </cell>
          <cell r="BM332">
            <v>-111711</v>
          </cell>
          <cell r="BN332">
            <v>0</v>
          </cell>
          <cell r="BO332">
            <v>-2840</v>
          </cell>
          <cell r="BP332">
            <v>0</v>
          </cell>
          <cell r="BQ332">
            <v>0</v>
          </cell>
          <cell r="BR332">
            <v>0</v>
          </cell>
          <cell r="BS332">
            <v>0</v>
          </cell>
          <cell r="BT332">
            <v>30526026</v>
          </cell>
          <cell r="BU332">
            <v>-957565</v>
          </cell>
          <cell r="BV332">
            <v>2199552</v>
          </cell>
          <cell r="BW332">
            <v>-166059</v>
          </cell>
          <cell r="BX332">
            <v>985803</v>
          </cell>
          <cell r="BY332">
            <v>1863493</v>
          </cell>
          <cell r="BZ332">
            <v>26282066</v>
          </cell>
          <cell r="CA332">
            <v>492902</v>
          </cell>
          <cell r="CB332">
            <v>394321</v>
          </cell>
          <cell r="CC332">
            <v>88722</v>
          </cell>
          <cell r="CD332">
            <v>9858</v>
          </cell>
          <cell r="CE332">
            <v>931747</v>
          </cell>
          <cell r="CF332">
            <v>745397</v>
          </cell>
          <cell r="CG332">
            <v>167714</v>
          </cell>
          <cell r="CH332">
            <v>18635</v>
          </cell>
        </row>
        <row r="333">
          <cell r="A333">
            <v>326</v>
          </cell>
          <cell r="B333" t="str">
            <v>York</v>
          </cell>
          <cell r="C333" t="str">
            <v>E2701</v>
          </cell>
          <cell r="D333">
            <v>291989</v>
          </cell>
          <cell r="H333">
            <v>-2698161</v>
          </cell>
          <cell r="I333">
            <v>432696</v>
          </cell>
          <cell r="J333">
            <v>291989</v>
          </cell>
          <cell r="K333">
            <v>515803</v>
          </cell>
          <cell r="L333">
            <v>0</v>
          </cell>
          <cell r="M333">
            <v>0</v>
          </cell>
          <cell r="N333">
            <v>0</v>
          </cell>
          <cell r="O333">
            <v>0</v>
          </cell>
          <cell r="P333">
            <v>0</v>
          </cell>
          <cell r="Q333">
            <v>0</v>
          </cell>
          <cell r="R333">
            <v>1140857</v>
          </cell>
          <cell r="S333">
            <v>0</v>
          </cell>
          <cell r="T333">
            <v>23230</v>
          </cell>
          <cell r="U333">
            <v>0</v>
          </cell>
          <cell r="V333">
            <v>0</v>
          </cell>
          <cell r="W333">
            <v>0</v>
          </cell>
          <cell r="X333">
            <v>24868</v>
          </cell>
          <cell r="Y333">
            <v>0</v>
          </cell>
          <cell r="Z333">
            <v>508</v>
          </cell>
          <cell r="AA333">
            <v>52223</v>
          </cell>
          <cell r="AB333">
            <v>0</v>
          </cell>
          <cell r="AC333">
            <v>1066</v>
          </cell>
          <cell r="AD333">
            <v>0</v>
          </cell>
          <cell r="AE333">
            <v>0</v>
          </cell>
          <cell r="AF333">
            <v>0</v>
          </cell>
          <cell r="AG333">
            <v>0</v>
          </cell>
          <cell r="AH333">
            <v>0</v>
          </cell>
          <cell r="AI333">
            <v>0</v>
          </cell>
          <cell r="AM333">
            <v>0</v>
          </cell>
          <cell r="AN333">
            <v>0</v>
          </cell>
          <cell r="AO333">
            <v>0</v>
          </cell>
          <cell r="AP333">
            <v>746427</v>
          </cell>
          <cell r="AQ333">
            <v>0</v>
          </cell>
          <cell r="AR333">
            <v>15075</v>
          </cell>
          <cell r="AS333">
            <v>-898291</v>
          </cell>
          <cell r="AT333">
            <v>-880324</v>
          </cell>
          <cell r="AU333">
            <v>0</v>
          </cell>
          <cell r="AV333">
            <v>-17965</v>
          </cell>
          <cell r="AW333">
            <v>-1796580</v>
          </cell>
          <cell r="AX333">
            <v>-3650000</v>
          </cell>
          <cell r="AY333">
            <v>-3577000</v>
          </cell>
          <cell r="AZ333">
            <v>0</v>
          </cell>
          <cell r="BA333">
            <v>-73000</v>
          </cell>
          <cell r="BB333">
            <v>-7300000</v>
          </cell>
          <cell r="BC333">
            <v>104647670</v>
          </cell>
          <cell r="BD333">
            <v>-3593670</v>
          </cell>
          <cell r="BE333">
            <v>2886547</v>
          </cell>
          <cell r="BF333">
            <v>0</v>
          </cell>
          <cell r="BG333">
            <v>-9085775</v>
          </cell>
          <cell r="BH333">
            <v>-94554</v>
          </cell>
          <cell r="BI333">
            <v>-8089</v>
          </cell>
          <cell r="BJ333">
            <v>-52468</v>
          </cell>
          <cell r="BK333">
            <v>-3205404</v>
          </cell>
          <cell r="BL333">
            <v>-74333</v>
          </cell>
          <cell r="BM333">
            <v>-9713</v>
          </cell>
          <cell r="BN333">
            <v>-13212</v>
          </cell>
          <cell r="BO333">
            <v>-2808</v>
          </cell>
          <cell r="BP333">
            <v>-32633</v>
          </cell>
          <cell r="BQ333">
            <v>-22343</v>
          </cell>
          <cell r="BR333">
            <v>0</v>
          </cell>
          <cell r="BS333">
            <v>0</v>
          </cell>
          <cell r="BT333">
            <v>101252249</v>
          </cell>
          <cell r="BU333">
            <v>-81676</v>
          </cell>
          <cell r="BV333">
            <v>2830121</v>
          </cell>
          <cell r="BW333">
            <v>-2804234</v>
          </cell>
          <cell r="BX333">
            <v>-2331393</v>
          </cell>
          <cell r="BY333">
            <v>-2946969</v>
          </cell>
          <cell r="BZ333">
            <v>100356963</v>
          </cell>
          <cell r="CA333">
            <v>-1165696</v>
          </cell>
          <cell r="CB333">
            <v>-1142383</v>
          </cell>
          <cell r="CC333">
            <v>0</v>
          </cell>
          <cell r="CD333">
            <v>-23314</v>
          </cell>
          <cell r="CE333">
            <v>-1473484</v>
          </cell>
          <cell r="CF333">
            <v>-1444015</v>
          </cell>
          <cell r="CG333">
            <v>0</v>
          </cell>
          <cell r="CH333">
            <v>-29470</v>
          </cell>
        </row>
        <row r="334">
          <cell r="A334">
            <v>327</v>
          </cell>
          <cell r="B334" t="str">
            <v>ZZZZ</v>
          </cell>
          <cell r="C334" t="str">
            <v>EZZZZ</v>
          </cell>
          <cell r="AD334" t="e">
            <v>#N/A</v>
          </cell>
          <cell r="AE334" t="e">
            <v>#N/A</v>
          </cell>
          <cell r="AF334" t="e">
            <v>#N/A</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 val="Billing_Table"/>
      <sheetName val="Local_Flump"/>
      <sheetName val="The_Local_Story"/>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 sheetId="5">
        <row r="10">
          <cell r="A10" t="str">
            <v>E5010</v>
          </cell>
        </row>
      </sheetData>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national-non-domestic-rates-collected-by-council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Q41"/>
  <sheetViews>
    <sheetView showGridLines="0" workbookViewId="0"/>
  </sheetViews>
  <sheetFormatPr defaultRowHeight="12.75" x14ac:dyDescent="0.2"/>
  <cols>
    <col min="1" max="1" width="2.28515625" style="238" customWidth="1"/>
    <col min="2" max="2" width="2.7109375" style="238" customWidth="1"/>
    <col min="3" max="3" width="18" style="238" customWidth="1"/>
    <col min="4" max="16" width="9.140625" style="238"/>
    <col min="17" max="17" width="3.5703125" style="238" customWidth="1"/>
    <col min="18" max="16384" width="9.140625" style="238"/>
  </cols>
  <sheetData>
    <row r="1" spans="2:17" x14ac:dyDescent="0.2">
      <c r="B1" s="773"/>
      <c r="C1" s="774"/>
      <c r="D1" s="774"/>
      <c r="E1" s="774"/>
      <c r="F1" s="774"/>
      <c r="G1" s="774"/>
      <c r="H1" s="774"/>
      <c r="I1" s="774"/>
      <c r="J1" s="774"/>
      <c r="K1" s="774"/>
      <c r="L1" s="774"/>
      <c r="M1" s="774"/>
      <c r="N1" s="774"/>
      <c r="O1" s="774"/>
      <c r="P1" s="774"/>
      <c r="Q1" s="775"/>
    </row>
    <row r="2" spans="2:17" x14ac:dyDescent="0.2">
      <c r="B2" s="776"/>
      <c r="Q2" s="777"/>
    </row>
    <row r="3" spans="2:17" x14ac:dyDescent="0.2">
      <c r="B3" s="776"/>
      <c r="Q3" s="777"/>
    </row>
    <row r="4" spans="2:17" x14ac:dyDescent="0.2">
      <c r="B4" s="776"/>
      <c r="Q4" s="777"/>
    </row>
    <row r="5" spans="2:17" x14ac:dyDescent="0.2">
      <c r="B5" s="776"/>
      <c r="Q5" s="777"/>
    </row>
    <row r="6" spans="2:17" x14ac:dyDescent="0.2">
      <c r="B6" s="776"/>
      <c r="Q6" s="777"/>
    </row>
    <row r="7" spans="2:17" x14ac:dyDescent="0.2">
      <c r="B7" s="776"/>
      <c r="Q7" s="777"/>
    </row>
    <row r="8" spans="2:17" x14ac:dyDescent="0.2">
      <c r="B8" s="776"/>
      <c r="Q8" s="777"/>
    </row>
    <row r="9" spans="2:17" x14ac:dyDescent="0.2">
      <c r="B9" s="776"/>
      <c r="Q9" s="777"/>
    </row>
    <row r="10" spans="2:17" x14ac:dyDescent="0.2">
      <c r="B10" s="776"/>
      <c r="C10" s="456" t="s">
        <v>1171</v>
      </c>
      <c r="Q10" s="777"/>
    </row>
    <row r="11" spans="2:17" ht="56.25" customHeight="1" x14ac:dyDescent="0.2">
      <c r="B11" s="776"/>
      <c r="C11" s="798" t="s">
        <v>1186</v>
      </c>
      <c r="D11" s="798"/>
      <c r="E11" s="798"/>
      <c r="F11" s="798"/>
      <c r="G11" s="798"/>
      <c r="H11" s="798"/>
      <c r="I11" s="798"/>
      <c r="J11" s="798"/>
      <c r="K11" s="798"/>
      <c r="L11" s="798"/>
      <c r="M11" s="798"/>
      <c r="N11" s="798"/>
      <c r="O11" s="798"/>
      <c r="P11" s="798"/>
      <c r="Q11" s="778"/>
    </row>
    <row r="12" spans="2:17" ht="34.5" customHeight="1" x14ac:dyDescent="0.2">
      <c r="B12" s="776"/>
      <c r="C12" s="798" t="s">
        <v>1912</v>
      </c>
      <c r="D12" s="798"/>
      <c r="E12" s="798"/>
      <c r="F12" s="798"/>
      <c r="G12" s="798"/>
      <c r="H12" s="798"/>
      <c r="I12" s="798"/>
      <c r="J12" s="798"/>
      <c r="K12" s="798"/>
      <c r="L12" s="798"/>
      <c r="M12" s="798"/>
      <c r="N12" s="798"/>
      <c r="O12" s="798"/>
      <c r="P12" s="761"/>
      <c r="Q12" s="779"/>
    </row>
    <row r="13" spans="2:17" x14ac:dyDescent="0.2">
      <c r="B13" s="776"/>
      <c r="C13" s="800" t="s">
        <v>1172</v>
      </c>
      <c r="D13" s="800"/>
      <c r="E13" s="800"/>
      <c r="F13" s="800"/>
      <c r="G13" s="800"/>
      <c r="H13" s="800"/>
      <c r="I13" s="800"/>
      <c r="J13" s="800"/>
      <c r="K13" s="800"/>
      <c r="L13" s="800"/>
      <c r="M13" s="800"/>
      <c r="N13" s="800"/>
      <c r="O13" s="800"/>
      <c r="P13" s="762"/>
      <c r="Q13" s="779"/>
    </row>
    <row r="14" spans="2:17" x14ac:dyDescent="0.2">
      <c r="B14" s="776"/>
      <c r="C14" s="762"/>
      <c r="D14" s="762"/>
      <c r="E14" s="762"/>
      <c r="F14" s="762"/>
      <c r="G14" s="762"/>
      <c r="H14" s="762"/>
      <c r="I14" s="762"/>
      <c r="J14" s="762"/>
      <c r="K14" s="762"/>
      <c r="L14" s="762"/>
      <c r="M14" s="762"/>
      <c r="N14" s="762"/>
      <c r="O14" s="762"/>
      <c r="P14" s="762"/>
      <c r="Q14" s="779"/>
    </row>
    <row r="15" spans="2:17" x14ac:dyDescent="0.2">
      <c r="B15" s="776"/>
      <c r="C15" s="798" t="s">
        <v>1173</v>
      </c>
      <c r="D15" s="798"/>
      <c r="E15" s="798"/>
      <c r="F15" s="798"/>
      <c r="G15" s="798"/>
      <c r="H15" s="798"/>
      <c r="I15" s="798"/>
      <c r="J15" s="798"/>
      <c r="K15" s="798"/>
      <c r="L15" s="798"/>
      <c r="M15" s="798"/>
      <c r="N15" s="798"/>
      <c r="O15" s="798"/>
      <c r="P15" s="761"/>
      <c r="Q15" s="779"/>
    </row>
    <row r="16" spans="2:17" ht="21.75" customHeight="1" x14ac:dyDescent="0.2">
      <c r="B16" s="776"/>
      <c r="C16" s="649" t="s">
        <v>1174</v>
      </c>
      <c r="D16" s="798" t="s">
        <v>1175</v>
      </c>
      <c r="E16" s="798"/>
      <c r="F16" s="798"/>
      <c r="G16" s="798"/>
      <c r="H16" s="798"/>
      <c r="I16" s="798"/>
      <c r="J16" s="798"/>
      <c r="K16" s="798"/>
      <c r="L16" s="798"/>
      <c r="M16" s="798"/>
      <c r="N16" s="798"/>
      <c r="O16" s="798"/>
      <c r="P16" s="761"/>
      <c r="Q16" s="779"/>
    </row>
    <row r="17" spans="2:17" ht="18.75" customHeight="1" x14ac:dyDescent="0.2">
      <c r="B17" s="776"/>
      <c r="C17" s="648"/>
      <c r="D17" s="648"/>
      <c r="E17" s="648"/>
      <c r="F17" s="648"/>
      <c r="G17" s="648"/>
      <c r="H17" s="648"/>
      <c r="I17" s="648"/>
      <c r="J17" s="648"/>
      <c r="K17" s="648"/>
      <c r="L17" s="648"/>
      <c r="M17" s="648"/>
      <c r="N17" s="648"/>
      <c r="O17" s="648"/>
      <c r="P17" s="648"/>
      <c r="Q17" s="779"/>
    </row>
    <row r="18" spans="2:17" x14ac:dyDescent="0.2">
      <c r="B18" s="776"/>
      <c r="C18" s="649" t="s">
        <v>1176</v>
      </c>
      <c r="D18" s="798" t="s">
        <v>1177</v>
      </c>
      <c r="E18" s="798"/>
      <c r="F18" s="798"/>
      <c r="G18" s="798"/>
      <c r="H18" s="798"/>
      <c r="I18" s="798"/>
      <c r="J18" s="798"/>
      <c r="K18" s="798"/>
      <c r="L18" s="798"/>
      <c r="M18" s="798"/>
      <c r="N18" s="798"/>
      <c r="O18" s="798"/>
      <c r="P18" s="761"/>
      <c r="Q18" s="779"/>
    </row>
    <row r="19" spans="2:17" ht="30" customHeight="1" x14ac:dyDescent="0.2">
      <c r="B19" s="776"/>
      <c r="C19" s="648"/>
      <c r="D19" s="648"/>
      <c r="E19" s="648"/>
      <c r="F19" s="648"/>
      <c r="G19" s="648"/>
      <c r="H19" s="648"/>
      <c r="I19" s="648"/>
      <c r="J19" s="648"/>
      <c r="K19" s="648"/>
      <c r="L19" s="648"/>
      <c r="M19" s="648"/>
      <c r="N19" s="648"/>
      <c r="O19" s="648"/>
      <c r="P19" s="648"/>
      <c r="Q19" s="779"/>
    </row>
    <row r="20" spans="2:17" x14ac:dyDescent="0.2">
      <c r="B20" s="776"/>
      <c r="C20" s="649" t="s">
        <v>1178</v>
      </c>
      <c r="D20" s="798" t="s">
        <v>1179</v>
      </c>
      <c r="E20" s="798"/>
      <c r="F20" s="798"/>
      <c r="G20" s="798"/>
      <c r="H20" s="798"/>
      <c r="I20" s="798"/>
      <c r="J20" s="798"/>
      <c r="K20" s="798"/>
      <c r="L20" s="798"/>
      <c r="M20" s="798"/>
      <c r="N20" s="798"/>
      <c r="O20" s="798"/>
      <c r="P20" s="761"/>
      <c r="Q20" s="779"/>
    </row>
    <row r="21" spans="2:17" ht="30" customHeight="1" x14ac:dyDescent="0.2">
      <c r="B21" s="776"/>
      <c r="C21" s="648"/>
      <c r="D21" s="648"/>
      <c r="E21" s="648"/>
      <c r="F21" s="648"/>
      <c r="G21" s="648"/>
      <c r="H21" s="648"/>
      <c r="I21" s="648"/>
      <c r="J21" s="648"/>
      <c r="K21" s="648"/>
      <c r="L21" s="648"/>
      <c r="M21" s="648"/>
      <c r="N21" s="648"/>
      <c r="O21" s="648"/>
      <c r="P21" s="648"/>
      <c r="Q21" s="779"/>
    </row>
    <row r="22" spans="2:17" x14ac:dyDescent="0.2">
      <c r="B22" s="776"/>
      <c r="C22" s="649" t="s">
        <v>1180</v>
      </c>
      <c r="D22" s="798" t="s">
        <v>1187</v>
      </c>
      <c r="E22" s="798"/>
      <c r="F22" s="798"/>
      <c r="G22" s="798"/>
      <c r="H22" s="798"/>
      <c r="I22" s="798"/>
      <c r="J22" s="798"/>
      <c r="K22" s="798"/>
      <c r="L22" s="798"/>
      <c r="M22" s="798"/>
      <c r="N22" s="798"/>
      <c r="O22" s="798"/>
      <c r="P22" s="761"/>
      <c r="Q22" s="779"/>
    </row>
    <row r="23" spans="2:17" x14ac:dyDescent="0.2">
      <c r="B23" s="776"/>
      <c r="C23" s="649"/>
      <c r="D23" s="761"/>
      <c r="E23" s="761"/>
      <c r="F23" s="761"/>
      <c r="G23" s="761"/>
      <c r="H23" s="761"/>
      <c r="I23" s="761"/>
      <c r="J23" s="761"/>
      <c r="K23" s="761"/>
      <c r="L23" s="761"/>
      <c r="M23" s="761"/>
      <c r="N23" s="761"/>
      <c r="O23" s="761"/>
      <c r="P23" s="761"/>
      <c r="Q23" s="779"/>
    </row>
    <row r="24" spans="2:17" x14ac:dyDescent="0.2">
      <c r="B24" s="776"/>
      <c r="C24" s="649" t="s">
        <v>1188</v>
      </c>
      <c r="D24" s="798" t="s">
        <v>1189</v>
      </c>
      <c r="E24" s="798"/>
      <c r="F24" s="798"/>
      <c r="G24" s="798"/>
      <c r="H24" s="798"/>
      <c r="I24" s="798"/>
      <c r="J24" s="798"/>
      <c r="K24" s="798"/>
      <c r="L24" s="798"/>
      <c r="M24" s="798"/>
      <c r="N24" s="798"/>
      <c r="O24" s="761"/>
      <c r="P24" s="761"/>
      <c r="Q24" s="779"/>
    </row>
    <row r="25" spans="2:17" x14ac:dyDescent="0.2">
      <c r="B25" s="776"/>
      <c r="C25" s="648"/>
      <c r="D25" s="648"/>
      <c r="E25" s="648"/>
      <c r="F25" s="648"/>
      <c r="G25" s="648"/>
      <c r="H25" s="648"/>
      <c r="I25" s="648"/>
      <c r="J25" s="648"/>
      <c r="K25" s="648"/>
      <c r="L25" s="648"/>
      <c r="M25" s="648"/>
      <c r="N25" s="648"/>
      <c r="O25" s="648"/>
      <c r="P25" s="648"/>
      <c r="Q25" s="779"/>
    </row>
    <row r="26" spans="2:17" x14ac:dyDescent="0.2">
      <c r="B26" s="776"/>
      <c r="C26" s="648"/>
      <c r="D26" s="648"/>
      <c r="E26" s="648"/>
      <c r="F26" s="648"/>
      <c r="G26" s="648"/>
      <c r="H26" s="648"/>
      <c r="I26" s="648"/>
      <c r="J26" s="648"/>
      <c r="K26" s="648"/>
      <c r="L26" s="648"/>
      <c r="M26" s="648"/>
      <c r="N26" s="648"/>
      <c r="O26" s="648"/>
      <c r="P26" s="648"/>
      <c r="Q26" s="779"/>
    </row>
    <row r="27" spans="2:17" x14ac:dyDescent="0.2">
      <c r="B27" s="776"/>
      <c r="C27" s="650" t="s">
        <v>1181</v>
      </c>
      <c r="D27" s="534"/>
      <c r="E27" s="534"/>
      <c r="F27" s="534"/>
      <c r="G27" s="534"/>
      <c r="H27" s="534"/>
      <c r="I27" s="534"/>
      <c r="J27" s="534"/>
      <c r="K27" s="534"/>
      <c r="L27" s="534"/>
      <c r="M27" s="534"/>
      <c r="N27" s="534"/>
      <c r="O27" s="534"/>
      <c r="P27" s="534"/>
      <c r="Q27" s="778"/>
    </row>
    <row r="28" spans="2:17" ht="12.75" customHeight="1" x14ac:dyDescent="0.2">
      <c r="B28" s="776"/>
      <c r="C28" s="798" t="s">
        <v>1190</v>
      </c>
      <c r="D28" s="798"/>
      <c r="E28" s="798"/>
      <c r="F28" s="798"/>
      <c r="G28" s="798"/>
      <c r="H28" s="798"/>
      <c r="I28" s="798"/>
      <c r="J28" s="798"/>
      <c r="K28" s="798"/>
      <c r="L28" s="798"/>
      <c r="M28" s="798"/>
      <c r="N28" s="798"/>
      <c r="O28" s="798"/>
      <c r="P28" s="761"/>
      <c r="Q28" s="778"/>
    </row>
    <row r="29" spans="2:17" ht="12.75" customHeight="1" x14ac:dyDescent="0.2">
      <c r="B29" s="776"/>
      <c r="C29" s="651"/>
      <c r="D29" s="651"/>
      <c r="E29" s="651"/>
      <c r="F29" s="651"/>
      <c r="G29" s="651"/>
      <c r="H29" s="651"/>
      <c r="I29" s="651"/>
      <c r="J29" s="651"/>
      <c r="K29" s="651"/>
      <c r="L29" s="651"/>
      <c r="M29" s="651"/>
      <c r="N29" s="651"/>
      <c r="O29" s="534"/>
      <c r="P29" s="534"/>
      <c r="Q29" s="778"/>
    </row>
    <row r="30" spans="2:17" ht="21" customHeight="1" x14ac:dyDescent="0.2">
      <c r="B30" s="776"/>
      <c r="C30" s="650" t="s">
        <v>1182</v>
      </c>
      <c r="D30" s="534"/>
      <c r="E30" s="534"/>
      <c r="F30" s="534"/>
      <c r="G30" s="534"/>
      <c r="H30" s="534"/>
      <c r="I30" s="534"/>
      <c r="J30" s="534"/>
      <c r="K30" s="534"/>
      <c r="L30" s="534"/>
      <c r="M30" s="534"/>
      <c r="N30" s="534"/>
      <c r="O30" s="534"/>
      <c r="P30" s="534"/>
      <c r="Q30" s="778"/>
    </row>
    <row r="31" spans="2:17" ht="27.75" customHeight="1" x14ac:dyDescent="0.2">
      <c r="B31" s="776"/>
      <c r="C31" s="798" t="s">
        <v>1861</v>
      </c>
      <c r="D31" s="798"/>
      <c r="E31" s="798"/>
      <c r="F31" s="798"/>
      <c r="G31" s="798"/>
      <c r="H31" s="798"/>
      <c r="I31" s="798"/>
      <c r="J31" s="798"/>
      <c r="K31" s="798"/>
      <c r="L31" s="798"/>
      <c r="M31" s="798"/>
      <c r="N31" s="798"/>
      <c r="O31" s="798"/>
      <c r="P31" s="798"/>
      <c r="Q31" s="780"/>
    </row>
    <row r="32" spans="2:17" x14ac:dyDescent="0.2">
      <c r="B32" s="776"/>
      <c r="C32" s="798" t="s">
        <v>1862</v>
      </c>
      <c r="D32" s="798"/>
      <c r="E32" s="798"/>
      <c r="F32" s="798"/>
      <c r="G32" s="798"/>
      <c r="H32" s="798"/>
      <c r="I32" s="798"/>
      <c r="J32" s="798"/>
      <c r="K32" s="798"/>
      <c r="L32" s="798"/>
      <c r="M32" s="798"/>
      <c r="N32" s="798"/>
      <c r="O32" s="798"/>
      <c r="P32" s="798"/>
      <c r="Q32" s="778"/>
    </row>
    <row r="33" spans="2:17" x14ac:dyDescent="0.2">
      <c r="B33" s="776"/>
      <c r="C33" s="534"/>
      <c r="D33" s="534"/>
      <c r="E33" s="534"/>
      <c r="F33" s="534"/>
      <c r="G33" s="534"/>
      <c r="H33" s="534"/>
      <c r="I33" s="534"/>
      <c r="J33" s="534"/>
      <c r="K33" s="534"/>
      <c r="L33" s="534"/>
      <c r="M33" s="534"/>
      <c r="N33" s="534"/>
      <c r="O33" s="534"/>
      <c r="P33" s="534"/>
      <c r="Q33" s="778"/>
    </row>
    <row r="34" spans="2:17" x14ac:dyDescent="0.2">
      <c r="B34" s="776"/>
      <c r="C34" s="650" t="s">
        <v>1183</v>
      </c>
      <c r="D34" s="534"/>
      <c r="E34" s="534"/>
      <c r="F34" s="534"/>
      <c r="G34" s="534"/>
      <c r="H34" s="534"/>
      <c r="I34" s="534"/>
      <c r="J34" s="534"/>
      <c r="K34" s="534"/>
      <c r="L34" s="534"/>
      <c r="M34" s="534"/>
      <c r="N34" s="534"/>
      <c r="O34" s="534"/>
      <c r="P34" s="534"/>
      <c r="Q34" s="778"/>
    </row>
    <row r="35" spans="2:17" x14ac:dyDescent="0.2">
      <c r="B35" s="776"/>
      <c r="C35" s="325" t="s">
        <v>1184</v>
      </c>
      <c r="D35" s="534"/>
      <c r="E35" s="534"/>
      <c r="F35" s="534"/>
      <c r="G35" s="534"/>
      <c r="H35" s="534"/>
      <c r="I35" s="534"/>
      <c r="J35" s="534"/>
      <c r="K35" s="534"/>
      <c r="L35" s="534"/>
      <c r="M35" s="534"/>
      <c r="N35" s="534"/>
      <c r="O35" s="534"/>
      <c r="P35" s="534"/>
      <c r="Q35" s="778"/>
    </row>
    <row r="36" spans="2:17" x14ac:dyDescent="0.2">
      <c r="B36" s="776"/>
      <c r="C36" s="534"/>
      <c r="D36" s="534"/>
      <c r="E36" s="534"/>
      <c r="F36" s="534"/>
      <c r="G36" s="534"/>
      <c r="H36" s="534"/>
      <c r="I36" s="534"/>
      <c r="J36" s="534"/>
      <c r="K36" s="534"/>
      <c r="L36" s="534"/>
      <c r="M36" s="534"/>
      <c r="N36" s="534"/>
      <c r="O36" s="534"/>
      <c r="P36" s="534"/>
      <c r="Q36" s="778"/>
    </row>
    <row r="37" spans="2:17" x14ac:dyDescent="0.2">
      <c r="B37" s="776"/>
      <c r="C37" s="650" t="s">
        <v>1185</v>
      </c>
      <c r="D37" s="534"/>
      <c r="E37" s="534"/>
      <c r="F37" s="534"/>
      <c r="G37" s="534"/>
      <c r="H37" s="534"/>
      <c r="I37" s="534"/>
      <c r="J37" s="534"/>
      <c r="K37" s="534"/>
      <c r="L37" s="534"/>
      <c r="M37" s="534"/>
      <c r="N37" s="534"/>
      <c r="O37" s="534"/>
      <c r="P37" s="534"/>
      <c r="Q37" s="778"/>
    </row>
    <row r="38" spans="2:17" ht="15.75" customHeight="1" x14ac:dyDescent="0.2">
      <c r="B38" s="776"/>
      <c r="C38" s="801" t="s">
        <v>1925</v>
      </c>
      <c r="D38" s="801"/>
      <c r="E38" s="801"/>
      <c r="F38" s="801"/>
      <c r="G38" s="801"/>
      <c r="H38" s="801"/>
      <c r="I38" s="801"/>
      <c r="J38" s="801"/>
      <c r="K38" s="801"/>
      <c r="L38" s="801"/>
      <c r="M38" s="801"/>
      <c r="N38" s="801"/>
      <c r="O38" s="801"/>
      <c r="P38" s="801"/>
      <c r="Q38" s="778"/>
    </row>
    <row r="39" spans="2:17" ht="24.75" customHeight="1" x14ac:dyDescent="0.2">
      <c r="B39" s="776"/>
      <c r="C39" s="801"/>
      <c r="D39" s="801"/>
      <c r="E39" s="801"/>
      <c r="F39" s="801"/>
      <c r="G39" s="801"/>
      <c r="H39" s="801"/>
      <c r="I39" s="801"/>
      <c r="J39" s="801"/>
      <c r="K39" s="801"/>
      <c r="L39" s="801"/>
      <c r="M39" s="801"/>
      <c r="N39" s="801"/>
      <c r="O39" s="801"/>
      <c r="P39" s="801"/>
      <c r="Q39" s="779"/>
    </row>
    <row r="40" spans="2:17" x14ac:dyDescent="0.2">
      <c r="B40" s="776"/>
      <c r="C40" s="798" t="s">
        <v>1191</v>
      </c>
      <c r="D40" s="799"/>
      <c r="E40" s="799"/>
      <c r="F40" s="799"/>
      <c r="G40" s="799"/>
      <c r="H40" s="799"/>
      <c r="I40" s="799"/>
      <c r="J40" s="799"/>
      <c r="K40" s="799"/>
      <c r="L40" s="799"/>
      <c r="M40" s="799"/>
      <c r="N40" s="799"/>
      <c r="O40" s="799"/>
      <c r="P40" s="799"/>
      <c r="Q40" s="779"/>
    </row>
    <row r="41" spans="2:17" ht="13.5" thickBot="1" x14ac:dyDescent="0.25">
      <c r="B41" s="781"/>
      <c r="C41" s="782"/>
      <c r="D41" s="782"/>
      <c r="E41" s="782"/>
      <c r="F41" s="782"/>
      <c r="G41" s="782"/>
      <c r="H41" s="782"/>
      <c r="I41" s="782"/>
      <c r="J41" s="782"/>
      <c r="K41" s="782"/>
      <c r="L41" s="782"/>
      <c r="M41" s="782"/>
      <c r="N41" s="782"/>
      <c r="O41" s="782"/>
      <c r="P41" s="782"/>
      <c r="Q41" s="783"/>
    </row>
  </sheetData>
  <mergeCells count="14">
    <mergeCell ref="C40:P40"/>
    <mergeCell ref="C11:P11"/>
    <mergeCell ref="C13:O13"/>
    <mergeCell ref="C12:O12"/>
    <mergeCell ref="C15:O15"/>
    <mergeCell ref="D16:O16"/>
    <mergeCell ref="D18:O18"/>
    <mergeCell ref="D20:O20"/>
    <mergeCell ref="D22:O22"/>
    <mergeCell ref="D24:N24"/>
    <mergeCell ref="C28:O28"/>
    <mergeCell ref="C31:P31"/>
    <mergeCell ref="C32:P32"/>
    <mergeCell ref="C38:P39"/>
  </mergeCells>
  <hyperlinks>
    <hyperlink ref="C13" r:id="rId1" xr:uid="{02FDC8CA-CB76-4F6E-87F4-40F8B9806CFD}"/>
    <hyperlink ref="C22" location="'Part 4'!A1" display="Part 4 –" xr:uid="{DB2ACB07-A3CF-4A6E-9F54-C5E3DA5CA2AA}"/>
    <hyperlink ref="C20" location="'Part 3'!A1" display="Part 3 –" xr:uid="{A4F55153-0D5C-4481-B85C-046FFBAB9DE1}"/>
    <hyperlink ref="C18" location="'Part 2'!A1" display="Part 2 –" xr:uid="{C0A4AB7C-8235-4C35-8185-70AB6F52D8BD}"/>
    <hyperlink ref="C16" location="'Part 1'!A1" display="Part 1 – " xr:uid="{8153ADC1-6044-4B6D-BB00-D992D08EB6CF}"/>
  </hyperlinks>
  <printOptions horizontalCentered="1" verticalCentered="1"/>
  <pageMargins left="0.74803149606299213" right="0.74803149606299213" top="0.78740157480314965" bottom="0.78740157480314965" header="0.51181102362204722" footer="0.51181102362204722"/>
  <pageSetup paperSize="9" scale="51"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3BDC6-9A44-4CDB-B8A5-EF1EEDE109AC}">
  <sheetPr codeName="Sheet9"/>
  <dimension ref="A1:AP319"/>
  <sheetViews>
    <sheetView workbookViewId="0">
      <pane xSplit="5" ySplit="7" topLeftCell="F8" activePane="bottomRight" state="frozen"/>
      <selection pane="topRight" activeCell="F1" sqref="F1"/>
      <selection pane="bottomLeft" activeCell="A8" sqref="A8"/>
      <selection pane="bottomRight"/>
    </sheetView>
  </sheetViews>
  <sheetFormatPr defaultRowHeight="15" x14ac:dyDescent="0.2"/>
  <cols>
    <col min="1" max="1" width="7.85546875" style="647" customWidth="1"/>
    <col min="2" max="2" width="8.42578125" style="9" customWidth="1"/>
    <col min="3" max="3" width="6.7109375" style="9" customWidth="1"/>
    <col min="4" max="4" width="8.140625" style="9" customWidth="1"/>
    <col min="5" max="5" width="30.7109375" style="9" customWidth="1"/>
    <col min="6" max="6" width="13.85546875" style="528" bestFit="1" customWidth="1"/>
    <col min="7" max="7" width="11.140625" style="528" bestFit="1" customWidth="1"/>
    <col min="8" max="8" width="13.85546875" style="528" bestFit="1" customWidth="1"/>
    <col min="9" max="9" width="11.7109375" style="528" bestFit="1" customWidth="1"/>
    <col min="10" max="10" width="9.85546875" style="528" bestFit="1" customWidth="1"/>
    <col min="11" max="11" width="11.7109375" style="528" bestFit="1" customWidth="1"/>
    <col min="12" max="12" width="13.42578125" style="528" bestFit="1" customWidth="1"/>
    <col min="13" max="13" width="9.85546875" style="528" bestFit="1" customWidth="1"/>
    <col min="14" max="14" width="13.42578125" style="528" bestFit="1" customWidth="1"/>
    <col min="15" max="15" width="13.85546875" style="528" bestFit="1" customWidth="1"/>
    <col min="16" max="16" width="11.140625" style="528" bestFit="1" customWidth="1"/>
    <col min="17" max="17" width="13.85546875" style="528" bestFit="1" customWidth="1"/>
    <col min="18" max="18" width="10.140625" style="528" bestFit="1" customWidth="1"/>
    <col min="19" max="19" width="9.5703125" style="528" bestFit="1" customWidth="1"/>
    <col min="20" max="20" width="10.140625" style="528" bestFit="1" customWidth="1"/>
    <col min="21" max="23" width="9.5703125" style="528" bestFit="1" customWidth="1"/>
    <col min="24" max="24" width="9.7109375" style="528" bestFit="1" customWidth="1"/>
    <col min="25" max="27" width="11.140625" style="528" bestFit="1" customWidth="1"/>
    <col min="28" max="32" width="9.5703125" style="528" bestFit="1" customWidth="1"/>
    <col min="33" max="33" width="10.140625" style="528" bestFit="1" customWidth="1"/>
    <col min="34" max="37" width="9.5703125" style="528" bestFit="1" customWidth="1"/>
    <col min="38" max="38" width="10.140625" style="528" bestFit="1" customWidth="1"/>
    <col min="39" max="39" width="31.42578125" style="529" bestFit="1" customWidth="1"/>
    <col min="40" max="40" width="23.28515625" style="529" bestFit="1" customWidth="1"/>
    <col min="41" max="41" width="33" style="529" bestFit="1" customWidth="1"/>
    <col min="42" max="42" width="10.28515625" style="529" bestFit="1" customWidth="1"/>
    <col min="43" max="16384" width="9.140625" style="528"/>
  </cols>
  <sheetData>
    <row r="1" spans="1:42" s="688" customFormat="1" ht="13.5" thickBot="1" x14ac:dyDescent="0.25">
      <c r="A1" s="721"/>
      <c r="B1" s="722"/>
      <c r="C1" s="723"/>
      <c r="D1" s="724"/>
      <c r="E1" s="737"/>
      <c r="F1" s="1036"/>
      <c r="G1" s="1036"/>
      <c r="H1" s="1036"/>
      <c r="I1" s="1035"/>
      <c r="J1" s="1035"/>
      <c r="K1" s="1035"/>
      <c r="L1" s="1035"/>
      <c r="M1" s="1035"/>
      <c r="N1" s="1035"/>
      <c r="O1" s="1035"/>
      <c r="P1" s="1035"/>
      <c r="Q1" s="1035"/>
      <c r="R1" s="1035"/>
      <c r="S1" s="1035"/>
      <c r="T1" s="1035"/>
      <c r="U1" s="726"/>
      <c r="V1" s="726"/>
      <c r="W1" s="726"/>
      <c r="X1" s="726"/>
      <c r="Y1" s="726"/>
      <c r="Z1" s="1035"/>
      <c r="AA1" s="1035"/>
      <c r="AB1" s="1035"/>
      <c r="AC1" s="1035"/>
      <c r="AD1" s="1035"/>
      <c r="AE1" s="1035"/>
      <c r="AF1" s="1035"/>
      <c r="AG1" s="1035"/>
      <c r="AH1" s="1035"/>
      <c r="AI1" s="1035"/>
      <c r="AJ1" s="1035"/>
      <c r="AK1" s="1035"/>
      <c r="AL1" s="1035"/>
    </row>
    <row r="2" spans="1:42" s="688" customFormat="1" ht="51.75" customHeight="1" thickBot="1" x14ac:dyDescent="0.25">
      <c r="A2" s="691"/>
      <c r="B2" s="692"/>
      <c r="C2" s="693"/>
      <c r="D2" s="694"/>
      <c r="E2" s="694"/>
      <c r="F2" s="1033" t="s">
        <v>1585</v>
      </c>
      <c r="G2" s="1029"/>
      <c r="H2" s="1029"/>
      <c r="I2" s="1029" t="s">
        <v>1586</v>
      </c>
      <c r="J2" s="1029"/>
      <c r="K2" s="1029"/>
      <c r="L2" s="1029" t="s">
        <v>1587</v>
      </c>
      <c r="M2" s="1029"/>
      <c r="N2" s="1029"/>
      <c r="O2" s="1029" t="s">
        <v>1588</v>
      </c>
      <c r="P2" s="1029"/>
      <c r="Q2" s="1029"/>
      <c r="R2" s="1029" t="s">
        <v>1589</v>
      </c>
      <c r="S2" s="1029"/>
      <c r="T2" s="1029"/>
      <c r="U2" s="1029" t="s">
        <v>1590</v>
      </c>
      <c r="V2" s="1029"/>
      <c r="W2" s="1029"/>
      <c r="X2" s="689" t="s">
        <v>1855</v>
      </c>
      <c r="Y2" s="689" t="s">
        <v>1856</v>
      </c>
      <c r="Z2" s="1029" t="s">
        <v>1857</v>
      </c>
      <c r="AA2" s="1029"/>
      <c r="AB2" s="1029" t="s">
        <v>1858</v>
      </c>
      <c r="AC2" s="1029"/>
      <c r="AD2" s="1029"/>
      <c r="AE2" s="1029" t="s">
        <v>1859</v>
      </c>
      <c r="AF2" s="1029"/>
      <c r="AG2" s="1029"/>
      <c r="AH2" s="1029" t="s">
        <v>1591</v>
      </c>
      <c r="AI2" s="1029"/>
      <c r="AJ2" s="1029" t="s">
        <v>1592</v>
      </c>
      <c r="AK2" s="1029"/>
      <c r="AL2" s="1034"/>
      <c r="AM2" s="689"/>
      <c r="AN2" s="689"/>
      <c r="AO2" s="696" t="s">
        <v>1197</v>
      </c>
      <c r="AP2" s="697" t="s">
        <v>1198</v>
      </c>
    </row>
    <row r="3" spans="1:42" s="688" customFormat="1" ht="12.75" x14ac:dyDescent="0.2">
      <c r="A3" s="698">
        <v>1</v>
      </c>
      <c r="B3" s="699">
        <v>2</v>
      </c>
      <c r="C3" s="699">
        <v>3</v>
      </c>
      <c r="D3" s="700">
        <v>4</v>
      </c>
      <c r="E3" s="699">
        <v>5</v>
      </c>
      <c r="F3" s="701">
        <v>6</v>
      </c>
      <c r="G3" s="699">
        <v>7</v>
      </c>
      <c r="H3" s="699">
        <v>8</v>
      </c>
      <c r="I3" s="699">
        <v>9</v>
      </c>
      <c r="J3" s="699">
        <v>10</v>
      </c>
      <c r="K3" s="699">
        <v>11</v>
      </c>
      <c r="L3" s="699">
        <v>12</v>
      </c>
      <c r="M3" s="699">
        <v>13</v>
      </c>
      <c r="N3" s="699">
        <v>14</v>
      </c>
      <c r="O3" s="699">
        <v>15</v>
      </c>
      <c r="P3" s="699">
        <v>16</v>
      </c>
      <c r="Q3" s="699">
        <v>17</v>
      </c>
      <c r="R3" s="699">
        <v>18</v>
      </c>
      <c r="S3" s="699">
        <v>19</v>
      </c>
      <c r="T3" s="699">
        <v>20</v>
      </c>
      <c r="U3" s="699">
        <v>21</v>
      </c>
      <c r="V3" s="699">
        <v>22</v>
      </c>
      <c r="W3" s="699">
        <v>23</v>
      </c>
      <c r="X3" s="699">
        <v>24</v>
      </c>
      <c r="Y3" s="699">
        <v>25</v>
      </c>
      <c r="Z3" s="699">
        <v>26</v>
      </c>
      <c r="AA3" s="699">
        <v>27</v>
      </c>
      <c r="AB3" s="699">
        <v>28</v>
      </c>
      <c r="AC3" s="699">
        <v>29</v>
      </c>
      <c r="AD3" s="699">
        <v>30</v>
      </c>
      <c r="AE3" s="699">
        <v>31</v>
      </c>
      <c r="AF3" s="699">
        <v>32</v>
      </c>
      <c r="AG3" s="699">
        <v>33</v>
      </c>
      <c r="AH3" s="699">
        <v>34</v>
      </c>
      <c r="AI3" s="699">
        <v>35</v>
      </c>
      <c r="AJ3" s="699">
        <v>36</v>
      </c>
      <c r="AK3" s="699">
        <v>37</v>
      </c>
      <c r="AL3" s="699">
        <v>38</v>
      </c>
      <c r="AM3" s="699">
        <v>39</v>
      </c>
      <c r="AN3" s="699">
        <v>40</v>
      </c>
      <c r="AO3" s="699">
        <v>41</v>
      </c>
    </row>
    <row r="4" spans="1:42" s="688" customFormat="1" ht="12.75" x14ac:dyDescent="0.2">
      <c r="A4" s="698"/>
      <c r="B4" s="704"/>
      <c r="C4" s="705"/>
      <c r="D4" s="706"/>
      <c r="E4" s="707"/>
      <c r="F4" s="708"/>
      <c r="G4" s="705"/>
      <c r="H4" s="705"/>
      <c r="I4" s="705"/>
      <c r="J4" s="705"/>
      <c r="K4" s="705"/>
      <c r="L4" s="705"/>
      <c r="M4" s="705"/>
      <c r="N4" s="705"/>
      <c r="O4" s="705"/>
      <c r="P4" s="705"/>
      <c r="Q4" s="705"/>
      <c r="R4" s="705"/>
      <c r="S4" s="705"/>
      <c r="T4" s="705"/>
      <c r="U4" s="705"/>
      <c r="V4" s="705"/>
      <c r="W4" s="705"/>
      <c r="X4" s="705"/>
      <c r="Y4" s="705"/>
      <c r="Z4" s="705"/>
      <c r="AA4" s="705"/>
      <c r="AB4" s="705"/>
      <c r="AC4" s="705"/>
      <c r="AD4" s="705"/>
      <c r="AE4" s="705"/>
      <c r="AF4" s="705"/>
      <c r="AG4" s="705"/>
      <c r="AH4" s="705"/>
      <c r="AI4" s="705"/>
      <c r="AJ4" s="705"/>
      <c r="AK4" s="705"/>
      <c r="AL4" s="709"/>
      <c r="AO4" s="710"/>
    </row>
    <row r="5" spans="1:42" s="688" customFormat="1" ht="12.75" x14ac:dyDescent="0.2">
      <c r="A5" s="698"/>
      <c r="B5" s="711" t="s">
        <v>626</v>
      </c>
      <c r="C5" s="711" t="s">
        <v>1199</v>
      </c>
      <c r="D5" s="712" t="s">
        <v>1200</v>
      </c>
      <c r="E5" s="711" t="s">
        <v>625</v>
      </c>
      <c r="F5" s="708"/>
      <c r="G5" s="705"/>
      <c r="H5" s="705"/>
      <c r="I5" s="705"/>
      <c r="J5" s="705"/>
      <c r="K5" s="705"/>
      <c r="L5" s="705"/>
      <c r="M5" s="705"/>
      <c r="N5" s="705"/>
      <c r="O5" s="705"/>
      <c r="P5" s="705"/>
      <c r="Q5" s="705"/>
      <c r="R5" s="705"/>
      <c r="S5" s="705"/>
      <c r="T5" s="705"/>
      <c r="U5" s="705"/>
      <c r="V5" s="705"/>
      <c r="W5" s="705"/>
      <c r="X5" s="705"/>
      <c r="Y5" s="705"/>
      <c r="Z5" s="705"/>
      <c r="AA5" s="705"/>
      <c r="AB5" s="705"/>
      <c r="AC5" s="705"/>
      <c r="AD5" s="705"/>
      <c r="AE5" s="705"/>
      <c r="AF5" s="705"/>
      <c r="AG5" s="705"/>
      <c r="AH5" s="705"/>
      <c r="AI5" s="705"/>
      <c r="AJ5" s="705"/>
      <c r="AK5" s="705"/>
      <c r="AL5" s="709"/>
      <c r="AM5" s="713"/>
      <c r="AN5" s="713"/>
      <c r="AO5" s="714"/>
    </row>
    <row r="6" spans="1:42" s="688" customFormat="1" ht="13.5" thickBot="1" x14ac:dyDescent="0.25">
      <c r="A6" s="715"/>
      <c r="B6" s="716"/>
      <c r="C6" s="717"/>
      <c r="D6" s="718"/>
      <c r="E6" s="717"/>
      <c r="F6" s="738"/>
      <c r="G6" s="720"/>
      <c r="H6" s="720"/>
      <c r="I6" s="705"/>
      <c r="J6" s="705"/>
      <c r="K6" s="705"/>
      <c r="L6" s="705"/>
      <c r="M6" s="705"/>
      <c r="N6" s="705"/>
      <c r="O6" s="705"/>
      <c r="P6" s="705"/>
      <c r="Q6" s="705"/>
      <c r="R6" s="705"/>
      <c r="S6" s="705"/>
      <c r="T6" s="705"/>
      <c r="U6" s="705"/>
      <c r="V6" s="705"/>
      <c r="W6" s="705"/>
      <c r="X6" s="705"/>
      <c r="Y6" s="705"/>
      <c r="Z6" s="705"/>
      <c r="AA6" s="705"/>
      <c r="AB6" s="705"/>
      <c r="AC6" s="705"/>
      <c r="AD6" s="705"/>
      <c r="AE6" s="705"/>
      <c r="AF6" s="705"/>
      <c r="AG6" s="705"/>
      <c r="AH6" s="705"/>
      <c r="AI6" s="705"/>
      <c r="AJ6" s="705"/>
      <c r="AK6" s="705"/>
      <c r="AL6" s="709"/>
      <c r="AM6" s="713"/>
      <c r="AN6" s="713"/>
      <c r="AO6" s="714"/>
    </row>
    <row r="7" spans="1:42" s="688" customFormat="1" ht="13.5" thickBot="1" x14ac:dyDescent="0.25">
      <c r="A7" s="730"/>
      <c r="B7" s="731"/>
      <c r="C7" s="732"/>
      <c r="D7" s="733"/>
      <c r="E7" s="734"/>
      <c r="F7" s="735"/>
      <c r="G7" s="732"/>
      <c r="H7" s="732"/>
      <c r="I7" s="732"/>
      <c r="J7" s="732"/>
      <c r="K7" s="732"/>
      <c r="L7" s="732"/>
      <c r="M7" s="732"/>
      <c r="N7" s="732"/>
      <c r="O7" s="732"/>
      <c r="P7" s="732"/>
      <c r="Q7" s="732"/>
      <c r="R7" s="732"/>
      <c r="S7" s="732"/>
      <c r="T7" s="732"/>
      <c r="U7" s="732"/>
      <c r="V7" s="732"/>
      <c r="W7" s="732"/>
      <c r="X7" s="732"/>
      <c r="Y7" s="732"/>
      <c r="Z7" s="732"/>
      <c r="AA7" s="732"/>
      <c r="AB7" s="732"/>
      <c r="AC7" s="732"/>
      <c r="AD7" s="732"/>
      <c r="AE7" s="732"/>
      <c r="AF7" s="732"/>
      <c r="AG7" s="732"/>
      <c r="AH7" s="732"/>
      <c r="AI7" s="732"/>
      <c r="AJ7" s="732"/>
      <c r="AK7" s="732"/>
      <c r="AL7" s="736"/>
      <c r="AM7" s="654"/>
      <c r="AN7" s="654"/>
      <c r="AO7" s="654"/>
      <c r="AP7" s="654"/>
    </row>
    <row r="8" spans="1:42" ht="12.75" x14ac:dyDescent="0.2">
      <c r="A8" s="657">
        <v>1</v>
      </c>
      <c r="B8" s="658" t="s">
        <v>628</v>
      </c>
      <c r="C8" s="659" t="s">
        <v>1201</v>
      </c>
      <c r="D8" s="660" t="s">
        <v>1202</v>
      </c>
      <c r="E8" s="661" t="s">
        <v>627</v>
      </c>
      <c r="F8" s="129">
        <v>20003167</v>
      </c>
      <c r="G8" s="129">
        <v>0</v>
      </c>
      <c r="H8" s="129">
        <v>20003167</v>
      </c>
      <c r="I8" s="129">
        <v>-100000</v>
      </c>
      <c r="J8" s="129">
        <v>0</v>
      </c>
      <c r="K8" s="129">
        <v>-100000</v>
      </c>
      <c r="L8" s="129">
        <v>-500000</v>
      </c>
      <c r="M8" s="129">
        <v>0</v>
      </c>
      <c r="N8" s="129">
        <v>-500000</v>
      </c>
      <c r="O8" s="129">
        <v>19403167</v>
      </c>
      <c r="P8" s="129">
        <v>0</v>
      </c>
      <c r="Q8" s="129">
        <v>19403167</v>
      </c>
      <c r="R8" s="129">
        <v>0</v>
      </c>
      <c r="S8" s="129">
        <v>0</v>
      </c>
      <c r="T8" s="129">
        <v>0</v>
      </c>
      <c r="U8" s="129">
        <v>0</v>
      </c>
      <c r="V8" s="129">
        <v>0</v>
      </c>
      <c r="W8" s="129">
        <v>0</v>
      </c>
      <c r="X8" s="129">
        <v>0</v>
      </c>
      <c r="Y8" s="129">
        <v>0</v>
      </c>
      <c r="Z8" s="129">
        <v>0</v>
      </c>
      <c r="AA8" s="129">
        <v>0</v>
      </c>
      <c r="AB8" s="129">
        <v>0</v>
      </c>
      <c r="AC8" s="129">
        <v>0</v>
      </c>
      <c r="AD8" s="129">
        <v>0</v>
      </c>
      <c r="AE8" s="129">
        <v>0</v>
      </c>
      <c r="AF8" s="129">
        <v>0</v>
      </c>
      <c r="AG8" s="129">
        <v>0</v>
      </c>
      <c r="AH8" s="129">
        <v>0</v>
      </c>
      <c r="AI8" s="129">
        <v>0</v>
      </c>
      <c r="AJ8" s="129">
        <v>0</v>
      </c>
      <c r="AK8" s="129">
        <v>0</v>
      </c>
      <c r="AL8" s="129">
        <v>0</v>
      </c>
      <c r="AM8" s="662" t="s">
        <v>627</v>
      </c>
      <c r="AN8" s="324" t="s">
        <v>568</v>
      </c>
      <c r="AO8" s="663" t="s">
        <v>512</v>
      </c>
      <c r="AP8" s="529" t="s">
        <v>1203</v>
      </c>
    </row>
    <row r="9" spans="1:42" ht="12.75" x14ac:dyDescent="0.2">
      <c r="A9" s="664">
        <v>2</v>
      </c>
      <c r="B9" s="665" t="s">
        <v>630</v>
      </c>
      <c r="C9" s="666" t="s">
        <v>1201</v>
      </c>
      <c r="D9" s="667" t="s">
        <v>1204</v>
      </c>
      <c r="E9" s="668" t="s">
        <v>629</v>
      </c>
      <c r="F9" s="129">
        <v>30533328</v>
      </c>
      <c r="G9" s="129">
        <v>0</v>
      </c>
      <c r="H9" s="129">
        <v>30533328</v>
      </c>
      <c r="I9" s="129">
        <v>-229744</v>
      </c>
      <c r="J9" s="129">
        <v>0</v>
      </c>
      <c r="K9" s="129">
        <v>-229744</v>
      </c>
      <c r="L9" s="129">
        <v>-447234</v>
      </c>
      <c r="M9" s="129">
        <v>0</v>
      </c>
      <c r="N9" s="129">
        <v>-447234</v>
      </c>
      <c r="O9" s="129">
        <v>29856350</v>
      </c>
      <c r="P9" s="129">
        <v>0</v>
      </c>
      <c r="Q9" s="129">
        <v>29856350</v>
      </c>
      <c r="R9" s="129">
        <v>532817</v>
      </c>
      <c r="S9" s="129">
        <v>0</v>
      </c>
      <c r="T9" s="129">
        <v>532817</v>
      </c>
      <c r="U9" s="129">
        <v>0</v>
      </c>
      <c r="V9" s="129">
        <v>0</v>
      </c>
      <c r="W9" s="129">
        <v>0</v>
      </c>
      <c r="X9" s="129">
        <v>0</v>
      </c>
      <c r="Y9" s="129">
        <v>0</v>
      </c>
      <c r="Z9" s="129">
        <v>0</v>
      </c>
      <c r="AA9" s="129">
        <v>0</v>
      </c>
      <c r="AB9" s="129">
        <v>0</v>
      </c>
      <c r="AC9" s="129">
        <v>0</v>
      </c>
      <c r="AD9" s="129">
        <v>0</v>
      </c>
      <c r="AE9" s="129">
        <v>0</v>
      </c>
      <c r="AF9" s="129">
        <v>0</v>
      </c>
      <c r="AG9" s="129">
        <v>0</v>
      </c>
      <c r="AH9" s="129">
        <v>0</v>
      </c>
      <c r="AI9" s="129">
        <v>0</v>
      </c>
      <c r="AJ9" s="129">
        <v>0</v>
      </c>
      <c r="AK9" s="129">
        <v>0</v>
      </c>
      <c r="AL9" s="129">
        <v>0</v>
      </c>
      <c r="AM9" s="662" t="s">
        <v>629</v>
      </c>
      <c r="AN9" s="324" t="s">
        <v>513</v>
      </c>
      <c r="AO9" s="663" t="s">
        <v>512</v>
      </c>
      <c r="AP9" s="529" t="s">
        <v>1205</v>
      </c>
    </row>
    <row r="10" spans="1:42" ht="12.75" x14ac:dyDescent="0.2">
      <c r="A10" s="664">
        <v>3</v>
      </c>
      <c r="B10" s="665" t="s">
        <v>632</v>
      </c>
      <c r="C10" s="666" t="s">
        <v>1201</v>
      </c>
      <c r="D10" s="667" t="s">
        <v>1206</v>
      </c>
      <c r="E10" s="668" t="s">
        <v>631</v>
      </c>
      <c r="F10" s="129">
        <v>34070975</v>
      </c>
      <c r="G10" s="129">
        <v>0</v>
      </c>
      <c r="H10" s="129">
        <v>34070975</v>
      </c>
      <c r="I10" s="129">
        <v>-753400</v>
      </c>
      <c r="J10" s="129">
        <v>0</v>
      </c>
      <c r="K10" s="129">
        <v>-753400</v>
      </c>
      <c r="L10" s="129">
        <v>-2237700</v>
      </c>
      <c r="M10" s="129">
        <v>0</v>
      </c>
      <c r="N10" s="129">
        <v>-2237700</v>
      </c>
      <c r="O10" s="129">
        <v>31079875</v>
      </c>
      <c r="P10" s="129">
        <v>0</v>
      </c>
      <c r="Q10" s="129">
        <v>31079875</v>
      </c>
      <c r="R10" s="129">
        <v>10859</v>
      </c>
      <c r="S10" s="129">
        <v>0</v>
      </c>
      <c r="T10" s="129">
        <v>10859</v>
      </c>
      <c r="U10" s="129">
        <v>0</v>
      </c>
      <c r="V10" s="129">
        <v>0</v>
      </c>
      <c r="W10" s="129">
        <v>0</v>
      </c>
      <c r="X10" s="129">
        <v>0</v>
      </c>
      <c r="Y10" s="129">
        <v>0</v>
      </c>
      <c r="Z10" s="129">
        <v>0</v>
      </c>
      <c r="AA10" s="129">
        <v>0</v>
      </c>
      <c r="AB10" s="129">
        <v>0</v>
      </c>
      <c r="AC10" s="129">
        <v>0</v>
      </c>
      <c r="AD10" s="129">
        <v>0</v>
      </c>
      <c r="AE10" s="129">
        <v>0</v>
      </c>
      <c r="AF10" s="129">
        <v>0</v>
      </c>
      <c r="AG10" s="129">
        <v>0</v>
      </c>
      <c r="AH10" s="129">
        <v>0</v>
      </c>
      <c r="AI10" s="129">
        <v>0</v>
      </c>
      <c r="AJ10" s="129">
        <v>0</v>
      </c>
      <c r="AK10" s="129">
        <v>0</v>
      </c>
      <c r="AL10" s="129">
        <v>0</v>
      </c>
      <c r="AM10" s="662" t="s">
        <v>631</v>
      </c>
      <c r="AN10" s="324" t="s">
        <v>516</v>
      </c>
      <c r="AO10" s="663" t="s">
        <v>515</v>
      </c>
      <c r="AP10" s="529" t="s">
        <v>1207</v>
      </c>
    </row>
    <row r="11" spans="1:42" ht="12.75" x14ac:dyDescent="0.2">
      <c r="A11" s="664">
        <v>4</v>
      </c>
      <c r="B11" s="665" t="s">
        <v>634</v>
      </c>
      <c r="C11" s="666" t="s">
        <v>1201</v>
      </c>
      <c r="D11" s="667" t="s">
        <v>1202</v>
      </c>
      <c r="E11" s="668" t="s">
        <v>633</v>
      </c>
      <c r="F11" s="129">
        <v>39277247</v>
      </c>
      <c r="G11" s="129">
        <v>0</v>
      </c>
      <c r="H11" s="129">
        <v>39277247</v>
      </c>
      <c r="I11" s="129">
        <v>-129100</v>
      </c>
      <c r="J11" s="129">
        <v>0</v>
      </c>
      <c r="K11" s="129">
        <v>-129100</v>
      </c>
      <c r="L11" s="129">
        <v>-1303000</v>
      </c>
      <c r="M11" s="129">
        <v>0</v>
      </c>
      <c r="N11" s="129">
        <v>-1303000</v>
      </c>
      <c r="O11" s="129">
        <v>37845147</v>
      </c>
      <c r="P11" s="129">
        <v>0</v>
      </c>
      <c r="Q11" s="129">
        <v>37845147</v>
      </c>
      <c r="R11" s="129">
        <v>0</v>
      </c>
      <c r="S11" s="129">
        <v>0</v>
      </c>
      <c r="T11" s="129">
        <v>0</v>
      </c>
      <c r="U11" s="129">
        <v>0</v>
      </c>
      <c r="V11" s="129">
        <v>0</v>
      </c>
      <c r="W11" s="129">
        <v>0</v>
      </c>
      <c r="X11" s="129">
        <v>0</v>
      </c>
      <c r="Y11" s="129">
        <v>0</v>
      </c>
      <c r="Z11" s="129">
        <v>0</v>
      </c>
      <c r="AA11" s="129">
        <v>0</v>
      </c>
      <c r="AB11" s="129">
        <v>0</v>
      </c>
      <c r="AC11" s="129">
        <v>0</v>
      </c>
      <c r="AD11" s="129">
        <v>0</v>
      </c>
      <c r="AE11" s="129">
        <v>0</v>
      </c>
      <c r="AF11" s="129">
        <v>0</v>
      </c>
      <c r="AG11" s="129">
        <v>0</v>
      </c>
      <c r="AH11" s="129">
        <v>0</v>
      </c>
      <c r="AI11" s="129">
        <v>0</v>
      </c>
      <c r="AJ11" s="129">
        <v>0</v>
      </c>
      <c r="AK11" s="129">
        <v>0</v>
      </c>
      <c r="AL11" s="129">
        <v>0</v>
      </c>
      <c r="AM11" s="662" t="s">
        <v>633</v>
      </c>
      <c r="AN11" s="324" t="s">
        <v>568</v>
      </c>
      <c r="AO11" s="663" t="s">
        <v>512</v>
      </c>
      <c r="AP11" s="529" t="s">
        <v>1208</v>
      </c>
    </row>
    <row r="12" spans="1:42" ht="14.25" x14ac:dyDescent="0.2">
      <c r="A12" s="664">
        <v>5</v>
      </c>
      <c r="B12" s="665" t="s">
        <v>636</v>
      </c>
      <c r="C12" s="666" t="s">
        <v>1201</v>
      </c>
      <c r="D12" s="667" t="s">
        <v>1206</v>
      </c>
      <c r="E12" s="668" t="s">
        <v>1871</v>
      </c>
      <c r="F12" s="129">
        <v>39798387</v>
      </c>
      <c r="G12" s="129">
        <v>0</v>
      </c>
      <c r="H12" s="129">
        <v>39798387</v>
      </c>
      <c r="I12" s="129">
        <v>-300000</v>
      </c>
      <c r="J12" s="129">
        <v>0</v>
      </c>
      <c r="K12" s="129">
        <v>-300000</v>
      </c>
      <c r="L12" s="129">
        <v>-1390000</v>
      </c>
      <c r="M12" s="129">
        <v>0</v>
      </c>
      <c r="N12" s="129">
        <v>-1390000</v>
      </c>
      <c r="O12" s="129">
        <v>38108387</v>
      </c>
      <c r="P12" s="129">
        <v>0</v>
      </c>
      <c r="Q12" s="129">
        <v>38108387</v>
      </c>
      <c r="R12" s="129">
        <v>24215</v>
      </c>
      <c r="S12" s="129">
        <v>0</v>
      </c>
      <c r="T12" s="129">
        <v>24215</v>
      </c>
      <c r="U12" s="129">
        <v>0</v>
      </c>
      <c r="V12" s="129">
        <v>0</v>
      </c>
      <c r="W12" s="129">
        <v>0</v>
      </c>
      <c r="X12" s="129">
        <v>0</v>
      </c>
      <c r="Y12" s="129">
        <v>0</v>
      </c>
      <c r="Z12" s="129">
        <v>0</v>
      </c>
      <c r="AA12" s="129">
        <v>0</v>
      </c>
      <c r="AB12" s="129">
        <v>0</v>
      </c>
      <c r="AC12" s="129">
        <v>0</v>
      </c>
      <c r="AD12" s="129">
        <v>0</v>
      </c>
      <c r="AE12" s="129">
        <v>0</v>
      </c>
      <c r="AF12" s="129">
        <v>0</v>
      </c>
      <c r="AG12" s="129">
        <v>0</v>
      </c>
      <c r="AH12" s="129">
        <v>0</v>
      </c>
      <c r="AI12" s="129">
        <v>0</v>
      </c>
      <c r="AJ12" s="129">
        <v>0</v>
      </c>
      <c r="AK12" s="129">
        <v>0</v>
      </c>
      <c r="AL12" s="129">
        <v>0</v>
      </c>
      <c r="AM12" s="662" t="s">
        <v>635</v>
      </c>
      <c r="AN12" s="324" t="s">
        <v>559</v>
      </c>
      <c r="AO12" s="663" t="s">
        <v>558</v>
      </c>
      <c r="AP12" s="529" t="s">
        <v>1209</v>
      </c>
    </row>
    <row r="13" spans="1:42" ht="12.75" x14ac:dyDescent="0.2">
      <c r="A13" s="664">
        <v>6</v>
      </c>
      <c r="B13" s="665" t="s">
        <v>638</v>
      </c>
      <c r="C13" s="666" t="s">
        <v>1201</v>
      </c>
      <c r="D13" s="667" t="s">
        <v>1202</v>
      </c>
      <c r="E13" s="668" t="s">
        <v>637</v>
      </c>
      <c r="F13" s="129">
        <v>54974314</v>
      </c>
      <c r="G13" s="129">
        <v>0</v>
      </c>
      <c r="H13" s="129">
        <v>54974314</v>
      </c>
      <c r="I13" s="129">
        <v>-800000</v>
      </c>
      <c r="J13" s="129">
        <v>0</v>
      </c>
      <c r="K13" s="129">
        <v>-800000</v>
      </c>
      <c r="L13" s="129">
        <v>-1484000</v>
      </c>
      <c r="M13" s="129">
        <v>0</v>
      </c>
      <c r="N13" s="129">
        <v>-1484000</v>
      </c>
      <c r="O13" s="129">
        <v>52690314</v>
      </c>
      <c r="P13" s="129">
        <v>0</v>
      </c>
      <c r="Q13" s="129">
        <v>52690314</v>
      </c>
      <c r="R13" s="129">
        <v>99000</v>
      </c>
      <c r="S13" s="129">
        <v>0</v>
      </c>
      <c r="T13" s="129">
        <v>99000</v>
      </c>
      <c r="U13" s="129">
        <v>0</v>
      </c>
      <c r="V13" s="129">
        <v>0</v>
      </c>
      <c r="W13" s="129">
        <v>0</v>
      </c>
      <c r="X13" s="129">
        <v>0</v>
      </c>
      <c r="Y13" s="129">
        <v>0</v>
      </c>
      <c r="Z13" s="129">
        <v>0</v>
      </c>
      <c r="AA13" s="129">
        <v>0</v>
      </c>
      <c r="AB13" s="129">
        <v>0</v>
      </c>
      <c r="AC13" s="129">
        <v>0</v>
      </c>
      <c r="AD13" s="129">
        <v>0</v>
      </c>
      <c r="AE13" s="129">
        <v>0</v>
      </c>
      <c r="AF13" s="129">
        <v>0</v>
      </c>
      <c r="AG13" s="129">
        <v>0</v>
      </c>
      <c r="AH13" s="129">
        <v>0</v>
      </c>
      <c r="AI13" s="129">
        <v>0</v>
      </c>
      <c r="AJ13" s="129">
        <v>0</v>
      </c>
      <c r="AK13" s="129">
        <v>0</v>
      </c>
      <c r="AL13" s="129">
        <v>0</v>
      </c>
      <c r="AM13" s="662" t="s">
        <v>637</v>
      </c>
      <c r="AN13" s="324" t="s">
        <v>543</v>
      </c>
      <c r="AO13" s="663" t="s">
        <v>542</v>
      </c>
      <c r="AP13" s="529" t="s">
        <v>1210</v>
      </c>
    </row>
    <row r="14" spans="1:42" ht="12.75" x14ac:dyDescent="0.2">
      <c r="A14" s="664">
        <v>7</v>
      </c>
      <c r="B14" s="665" t="s">
        <v>640</v>
      </c>
      <c r="C14" s="666" t="s">
        <v>1201</v>
      </c>
      <c r="D14" s="667" t="s">
        <v>1211</v>
      </c>
      <c r="E14" s="668" t="s">
        <v>639</v>
      </c>
      <c r="F14" s="129">
        <v>24317935</v>
      </c>
      <c r="G14" s="129">
        <v>1233920</v>
      </c>
      <c r="H14" s="129">
        <v>25551855</v>
      </c>
      <c r="I14" s="129">
        <v>-141640</v>
      </c>
      <c r="J14" s="129">
        <v>0</v>
      </c>
      <c r="K14" s="129">
        <v>-141640</v>
      </c>
      <c r="L14" s="129">
        <v>-719006</v>
      </c>
      <c r="M14" s="129">
        <v>-18785</v>
      </c>
      <c r="N14" s="129">
        <v>-737791</v>
      </c>
      <c r="O14" s="129">
        <v>23457289</v>
      </c>
      <c r="P14" s="129">
        <v>1215135</v>
      </c>
      <c r="Q14" s="129">
        <v>24672424</v>
      </c>
      <c r="R14" s="129">
        <v>30253</v>
      </c>
      <c r="S14" s="129">
        <v>0</v>
      </c>
      <c r="T14" s="129">
        <v>30253</v>
      </c>
      <c r="U14" s="129">
        <v>0</v>
      </c>
      <c r="V14" s="129">
        <v>0</v>
      </c>
      <c r="W14" s="129">
        <v>0</v>
      </c>
      <c r="X14" s="129">
        <v>0</v>
      </c>
      <c r="Y14" s="129">
        <v>0</v>
      </c>
      <c r="Z14" s="129">
        <v>1215135</v>
      </c>
      <c r="AA14" s="129">
        <v>1215135</v>
      </c>
      <c r="AB14" s="129">
        <v>0</v>
      </c>
      <c r="AC14" s="129">
        <v>0</v>
      </c>
      <c r="AD14" s="129">
        <v>0</v>
      </c>
      <c r="AE14" s="129">
        <v>0</v>
      </c>
      <c r="AF14" s="129">
        <v>0</v>
      </c>
      <c r="AG14" s="129">
        <v>0</v>
      </c>
      <c r="AH14" s="129">
        <v>0</v>
      </c>
      <c r="AI14" s="129">
        <v>0</v>
      </c>
      <c r="AJ14" s="129">
        <v>0</v>
      </c>
      <c r="AK14" s="129">
        <v>0</v>
      </c>
      <c r="AL14" s="129">
        <v>0</v>
      </c>
      <c r="AM14" s="662" t="s">
        <v>639</v>
      </c>
      <c r="AN14" s="324" t="s">
        <v>565</v>
      </c>
      <c r="AO14" s="663" t="s">
        <v>512</v>
      </c>
      <c r="AP14" s="529" t="s">
        <v>1212</v>
      </c>
    </row>
    <row r="15" spans="1:42" ht="12.75" x14ac:dyDescent="0.2">
      <c r="A15" s="664">
        <v>8</v>
      </c>
      <c r="B15" s="665" t="s">
        <v>642</v>
      </c>
      <c r="C15" s="666" t="s">
        <v>1213</v>
      </c>
      <c r="D15" s="667" t="s">
        <v>1214</v>
      </c>
      <c r="E15" s="668" t="s">
        <v>641</v>
      </c>
      <c r="F15" s="129">
        <v>65295923</v>
      </c>
      <c r="G15" s="129">
        <v>0</v>
      </c>
      <c r="H15" s="129">
        <v>65295923</v>
      </c>
      <c r="I15" s="129">
        <v>-1000000</v>
      </c>
      <c r="J15" s="129">
        <v>0</v>
      </c>
      <c r="K15" s="129">
        <v>-1000000</v>
      </c>
      <c r="L15" s="129">
        <v>0</v>
      </c>
      <c r="M15" s="129">
        <v>0</v>
      </c>
      <c r="N15" s="129">
        <v>0</v>
      </c>
      <c r="O15" s="129">
        <v>64295923</v>
      </c>
      <c r="P15" s="129">
        <v>0</v>
      </c>
      <c r="Q15" s="129">
        <v>64295923</v>
      </c>
      <c r="R15" s="129">
        <v>0</v>
      </c>
      <c r="S15" s="129">
        <v>0</v>
      </c>
      <c r="T15" s="129">
        <v>0</v>
      </c>
      <c r="U15" s="129">
        <v>0</v>
      </c>
      <c r="V15" s="129">
        <v>0</v>
      </c>
      <c r="W15" s="129">
        <v>0</v>
      </c>
      <c r="X15" s="129">
        <v>0</v>
      </c>
      <c r="Y15" s="129">
        <v>0</v>
      </c>
      <c r="Z15" s="129">
        <v>0</v>
      </c>
      <c r="AA15" s="129">
        <v>0</v>
      </c>
      <c r="AB15" s="129">
        <v>0</v>
      </c>
      <c r="AC15" s="129">
        <v>0</v>
      </c>
      <c r="AD15" s="129">
        <v>0</v>
      </c>
      <c r="AE15" s="129">
        <v>0</v>
      </c>
      <c r="AF15" s="129">
        <v>0</v>
      </c>
      <c r="AG15" s="129">
        <v>0</v>
      </c>
      <c r="AH15" s="129">
        <v>0</v>
      </c>
      <c r="AI15" s="129">
        <v>0</v>
      </c>
      <c r="AJ15" s="129">
        <v>0</v>
      </c>
      <c r="AK15" s="129">
        <v>0</v>
      </c>
      <c r="AL15" s="129">
        <v>0</v>
      </c>
      <c r="AM15" s="662" t="s">
        <v>641</v>
      </c>
      <c r="AN15" s="324" t="s">
        <v>576</v>
      </c>
      <c r="AO15" s="669" t="s">
        <v>485</v>
      </c>
      <c r="AP15" s="529" t="s">
        <v>1215</v>
      </c>
    </row>
    <row r="16" spans="1:42" ht="12.75" x14ac:dyDescent="0.2">
      <c r="A16" s="664">
        <v>9</v>
      </c>
      <c r="B16" s="665" t="s">
        <v>644</v>
      </c>
      <c r="C16" s="666" t="s">
        <v>1213</v>
      </c>
      <c r="D16" s="667" t="s">
        <v>1214</v>
      </c>
      <c r="E16" s="668" t="s">
        <v>643</v>
      </c>
      <c r="F16" s="129">
        <v>103522439</v>
      </c>
      <c r="G16" s="129">
        <v>19336256</v>
      </c>
      <c r="H16" s="129">
        <v>122858695</v>
      </c>
      <c r="I16" s="129">
        <v>-1552837</v>
      </c>
      <c r="J16" s="129">
        <v>-290044</v>
      </c>
      <c r="K16" s="129">
        <v>-1842881</v>
      </c>
      <c r="L16" s="129">
        <v>-4865555</v>
      </c>
      <c r="M16" s="129">
        <v>-908804</v>
      </c>
      <c r="N16" s="129">
        <v>-5774359</v>
      </c>
      <c r="O16" s="129">
        <v>97104047</v>
      </c>
      <c r="P16" s="129">
        <v>18137408</v>
      </c>
      <c r="Q16" s="129">
        <v>115241455</v>
      </c>
      <c r="R16" s="129">
        <v>0</v>
      </c>
      <c r="S16" s="129">
        <v>0</v>
      </c>
      <c r="T16" s="129">
        <v>0</v>
      </c>
      <c r="U16" s="129">
        <v>0</v>
      </c>
      <c r="V16" s="129">
        <v>0</v>
      </c>
      <c r="W16" s="129">
        <v>0</v>
      </c>
      <c r="X16" s="129">
        <v>-956516</v>
      </c>
      <c r="Y16" s="129">
        <v>21053943</v>
      </c>
      <c r="Z16" s="129">
        <v>0</v>
      </c>
      <c r="AA16" s="129">
        <v>0</v>
      </c>
      <c r="AB16" s="129">
        <v>0</v>
      </c>
      <c r="AC16" s="129">
        <v>0</v>
      </c>
      <c r="AD16" s="129">
        <v>0</v>
      </c>
      <c r="AE16" s="129">
        <v>0</v>
      </c>
      <c r="AF16" s="129">
        <v>0</v>
      </c>
      <c r="AG16" s="129">
        <v>0</v>
      </c>
      <c r="AH16" s="129">
        <v>0</v>
      </c>
      <c r="AI16" s="129">
        <v>0</v>
      </c>
      <c r="AJ16" s="129">
        <v>0</v>
      </c>
      <c r="AK16" s="129">
        <v>0</v>
      </c>
      <c r="AL16" s="129">
        <v>0</v>
      </c>
      <c r="AM16" s="662" t="s">
        <v>643</v>
      </c>
      <c r="AN16" s="324" t="s">
        <v>576</v>
      </c>
      <c r="AO16" s="669" t="s">
        <v>485</v>
      </c>
      <c r="AP16" s="529" t="s">
        <v>1216</v>
      </c>
    </row>
    <row r="17" spans="1:42" ht="12.75" x14ac:dyDescent="0.2">
      <c r="A17" s="664">
        <v>10</v>
      </c>
      <c r="B17" s="665" t="s">
        <v>646</v>
      </c>
      <c r="C17" s="666" t="s">
        <v>1217</v>
      </c>
      <c r="D17" s="667" t="s">
        <v>1218</v>
      </c>
      <c r="E17" s="668" t="s">
        <v>645</v>
      </c>
      <c r="F17" s="129">
        <v>52281839</v>
      </c>
      <c r="G17" s="129">
        <v>765626</v>
      </c>
      <c r="H17" s="129">
        <v>53047465</v>
      </c>
      <c r="I17" s="129">
        <v>-2153727</v>
      </c>
      <c r="J17" s="129">
        <v>0</v>
      </c>
      <c r="K17" s="129">
        <v>-2153727</v>
      </c>
      <c r="L17" s="129">
        <v>-3522125</v>
      </c>
      <c r="M17" s="129">
        <v>0</v>
      </c>
      <c r="N17" s="129">
        <v>-3522125</v>
      </c>
      <c r="O17" s="129">
        <v>46605987</v>
      </c>
      <c r="P17" s="129">
        <v>765626</v>
      </c>
      <c r="Q17" s="129">
        <v>47371613</v>
      </c>
      <c r="R17" s="129">
        <v>50176</v>
      </c>
      <c r="S17" s="129">
        <v>0</v>
      </c>
      <c r="T17" s="129">
        <v>50176</v>
      </c>
      <c r="U17" s="129">
        <v>0</v>
      </c>
      <c r="V17" s="129">
        <v>0</v>
      </c>
      <c r="W17" s="129">
        <v>0</v>
      </c>
      <c r="X17" s="129">
        <v>0</v>
      </c>
      <c r="Y17" s="129">
        <v>94500</v>
      </c>
      <c r="Z17" s="129">
        <v>671126</v>
      </c>
      <c r="AA17" s="129">
        <v>671126</v>
      </c>
      <c r="AB17" s="129">
        <v>0</v>
      </c>
      <c r="AC17" s="129">
        <v>0</v>
      </c>
      <c r="AD17" s="129">
        <v>0</v>
      </c>
      <c r="AE17" s="129">
        <v>0</v>
      </c>
      <c r="AF17" s="129">
        <v>129306</v>
      </c>
      <c r="AG17" s="129">
        <v>129306</v>
      </c>
      <c r="AH17" s="129">
        <v>0</v>
      </c>
      <c r="AI17" s="129">
        <v>0</v>
      </c>
      <c r="AJ17" s="129">
        <v>0</v>
      </c>
      <c r="AK17" s="129">
        <v>129306</v>
      </c>
      <c r="AL17" s="129">
        <v>129306</v>
      </c>
      <c r="AM17" s="662" t="s">
        <v>645</v>
      </c>
      <c r="AN17" s="324" t="s">
        <v>570</v>
      </c>
      <c r="AO17" s="663" t="s">
        <v>572</v>
      </c>
      <c r="AP17" s="529" t="s">
        <v>1219</v>
      </c>
    </row>
    <row r="18" spans="1:42" ht="12.75" x14ac:dyDescent="0.2">
      <c r="A18" s="664">
        <v>11</v>
      </c>
      <c r="B18" s="665" t="s">
        <v>648</v>
      </c>
      <c r="C18" s="666" t="s">
        <v>1201</v>
      </c>
      <c r="D18" s="667" t="s">
        <v>1204</v>
      </c>
      <c r="E18" s="668" t="s">
        <v>647</v>
      </c>
      <c r="F18" s="129">
        <v>22987969</v>
      </c>
      <c r="G18" s="129">
        <v>0</v>
      </c>
      <c r="H18" s="129">
        <v>22987969</v>
      </c>
      <c r="I18" s="129">
        <v>-114940</v>
      </c>
      <c r="J18" s="129">
        <v>0</v>
      </c>
      <c r="K18" s="129">
        <v>-114940</v>
      </c>
      <c r="L18" s="129">
        <v>-380406</v>
      </c>
      <c r="M18" s="129">
        <v>0</v>
      </c>
      <c r="N18" s="129">
        <v>-380406</v>
      </c>
      <c r="O18" s="129">
        <v>22492623</v>
      </c>
      <c r="P18" s="129">
        <v>0</v>
      </c>
      <c r="Q18" s="129">
        <v>22492623</v>
      </c>
      <c r="R18" s="129">
        <v>163082</v>
      </c>
      <c r="S18" s="129">
        <v>0</v>
      </c>
      <c r="T18" s="129">
        <v>163082</v>
      </c>
      <c r="U18" s="129">
        <v>0</v>
      </c>
      <c r="V18" s="129">
        <v>0</v>
      </c>
      <c r="W18" s="129">
        <v>0</v>
      </c>
      <c r="X18" s="129">
        <v>0</v>
      </c>
      <c r="Y18" s="129">
        <v>0</v>
      </c>
      <c r="Z18" s="129">
        <v>0</v>
      </c>
      <c r="AA18" s="129">
        <v>0</v>
      </c>
      <c r="AB18" s="129">
        <v>0</v>
      </c>
      <c r="AC18" s="129">
        <v>0</v>
      </c>
      <c r="AD18" s="129">
        <v>0</v>
      </c>
      <c r="AE18" s="129">
        <v>0</v>
      </c>
      <c r="AF18" s="129">
        <v>0</v>
      </c>
      <c r="AG18" s="129">
        <v>0</v>
      </c>
      <c r="AH18" s="129">
        <v>0</v>
      </c>
      <c r="AI18" s="129">
        <v>0</v>
      </c>
      <c r="AJ18" s="129">
        <v>0</v>
      </c>
      <c r="AK18" s="129">
        <v>0</v>
      </c>
      <c r="AL18" s="129">
        <v>0</v>
      </c>
      <c r="AM18" s="662" t="s">
        <v>647</v>
      </c>
      <c r="AN18" s="324" t="s">
        <v>513</v>
      </c>
      <c r="AO18" s="663" t="s">
        <v>512</v>
      </c>
      <c r="AP18" s="529" t="s">
        <v>1220</v>
      </c>
    </row>
    <row r="19" spans="1:42" ht="12.75" x14ac:dyDescent="0.2">
      <c r="A19" s="664">
        <v>12</v>
      </c>
      <c r="B19" s="665" t="s">
        <v>650</v>
      </c>
      <c r="C19" s="666" t="s">
        <v>1201</v>
      </c>
      <c r="D19" s="667" t="s">
        <v>1211</v>
      </c>
      <c r="E19" s="668" t="s">
        <v>649</v>
      </c>
      <c r="F19" s="129">
        <v>84494769</v>
      </c>
      <c r="G19" s="129">
        <v>0</v>
      </c>
      <c r="H19" s="129">
        <v>84494769</v>
      </c>
      <c r="I19" s="129">
        <v>-3050000</v>
      </c>
      <c r="J19" s="129">
        <v>0</v>
      </c>
      <c r="K19" s="129">
        <v>-3050000</v>
      </c>
      <c r="L19" s="129">
        <v>-4035000</v>
      </c>
      <c r="M19" s="129">
        <v>0</v>
      </c>
      <c r="N19" s="129">
        <v>-4035000</v>
      </c>
      <c r="O19" s="129">
        <v>77409769</v>
      </c>
      <c r="P19" s="129">
        <v>0</v>
      </c>
      <c r="Q19" s="129">
        <v>77409769</v>
      </c>
      <c r="R19" s="129">
        <v>23736</v>
      </c>
      <c r="S19" s="129">
        <v>0</v>
      </c>
      <c r="T19" s="129">
        <v>23736</v>
      </c>
      <c r="U19" s="129">
        <v>0</v>
      </c>
      <c r="V19" s="129">
        <v>0</v>
      </c>
      <c r="W19" s="129">
        <v>0</v>
      </c>
      <c r="X19" s="129">
        <v>0</v>
      </c>
      <c r="Y19" s="129">
        <v>0</v>
      </c>
      <c r="Z19" s="129">
        <v>0</v>
      </c>
      <c r="AA19" s="129">
        <v>0</v>
      </c>
      <c r="AB19" s="129">
        <v>0</v>
      </c>
      <c r="AC19" s="129">
        <v>0</v>
      </c>
      <c r="AD19" s="129">
        <v>0</v>
      </c>
      <c r="AE19" s="129">
        <v>0</v>
      </c>
      <c r="AF19" s="129">
        <v>0</v>
      </c>
      <c r="AG19" s="129">
        <v>0</v>
      </c>
      <c r="AH19" s="129">
        <v>0</v>
      </c>
      <c r="AI19" s="129">
        <v>0</v>
      </c>
      <c r="AJ19" s="129">
        <v>0</v>
      </c>
      <c r="AK19" s="129">
        <v>0</v>
      </c>
      <c r="AL19" s="129">
        <v>0</v>
      </c>
      <c r="AM19" s="662" t="s">
        <v>649</v>
      </c>
      <c r="AN19" s="324" t="s">
        <v>528</v>
      </c>
      <c r="AO19" s="663" t="s">
        <v>1913</v>
      </c>
      <c r="AP19" s="529" t="s">
        <v>1221</v>
      </c>
    </row>
    <row r="20" spans="1:42" ht="12.75" x14ac:dyDescent="0.2">
      <c r="A20" s="664">
        <v>13</v>
      </c>
      <c r="B20" s="665" t="s">
        <v>652</v>
      </c>
      <c r="C20" s="666" t="s">
        <v>1201</v>
      </c>
      <c r="D20" s="667" t="s">
        <v>1202</v>
      </c>
      <c r="E20" s="668" t="s">
        <v>825</v>
      </c>
      <c r="F20" s="129">
        <v>78872530</v>
      </c>
      <c r="G20" s="129">
        <v>1330830</v>
      </c>
      <c r="H20" s="129">
        <v>80203360</v>
      </c>
      <c r="I20" s="129">
        <v>-1200000</v>
      </c>
      <c r="J20" s="129">
        <v>-50000</v>
      </c>
      <c r="K20" s="129">
        <v>-1250000</v>
      </c>
      <c r="L20" s="129">
        <v>-3700000</v>
      </c>
      <c r="M20" s="129">
        <v>-50000</v>
      </c>
      <c r="N20" s="129">
        <v>-3750000</v>
      </c>
      <c r="O20" s="129">
        <v>73972530</v>
      </c>
      <c r="P20" s="129">
        <v>1230830</v>
      </c>
      <c r="Q20" s="129">
        <v>75203360</v>
      </c>
      <c r="R20" s="129">
        <v>492906</v>
      </c>
      <c r="S20" s="129">
        <v>0</v>
      </c>
      <c r="T20" s="129">
        <v>492906</v>
      </c>
      <c r="U20" s="129">
        <v>0</v>
      </c>
      <c r="V20" s="129">
        <v>0</v>
      </c>
      <c r="W20" s="129">
        <v>0</v>
      </c>
      <c r="X20" s="129">
        <v>1096</v>
      </c>
      <c r="Y20" s="129">
        <v>2282546</v>
      </c>
      <c r="Z20" s="129">
        <v>0</v>
      </c>
      <c r="AA20" s="129">
        <v>0</v>
      </c>
      <c r="AB20" s="129">
        <v>0</v>
      </c>
      <c r="AC20" s="129">
        <v>0</v>
      </c>
      <c r="AD20" s="129">
        <v>0</v>
      </c>
      <c r="AE20" s="129">
        <v>0</v>
      </c>
      <c r="AF20" s="129">
        <v>436769</v>
      </c>
      <c r="AG20" s="129">
        <v>436769</v>
      </c>
      <c r="AH20" s="129">
        <v>0</v>
      </c>
      <c r="AI20" s="129">
        <v>0</v>
      </c>
      <c r="AJ20" s="129">
        <v>0</v>
      </c>
      <c r="AK20" s="129">
        <v>436769</v>
      </c>
      <c r="AL20" s="129">
        <v>436769</v>
      </c>
      <c r="AM20" s="662" t="s">
        <v>825</v>
      </c>
      <c r="AN20" s="324" t="s">
        <v>532</v>
      </c>
      <c r="AO20" s="663" t="s">
        <v>1914</v>
      </c>
      <c r="AP20" s="529" t="s">
        <v>1222</v>
      </c>
    </row>
    <row r="21" spans="1:42" ht="12.75" x14ac:dyDescent="0.2">
      <c r="A21" s="664">
        <v>14</v>
      </c>
      <c r="B21" s="665" t="s">
        <v>654</v>
      </c>
      <c r="C21" s="666" t="s">
        <v>1201</v>
      </c>
      <c r="D21" s="667" t="s">
        <v>1206</v>
      </c>
      <c r="E21" s="668" t="s">
        <v>653</v>
      </c>
      <c r="F21" s="129">
        <v>48873947</v>
      </c>
      <c r="G21" s="129">
        <v>0</v>
      </c>
      <c r="H21" s="129">
        <v>48873947</v>
      </c>
      <c r="I21" s="129">
        <v>-450000</v>
      </c>
      <c r="J21" s="129">
        <v>0</v>
      </c>
      <c r="K21" s="129">
        <v>-450000</v>
      </c>
      <c r="L21" s="129">
        <v>-880000</v>
      </c>
      <c r="M21" s="129">
        <v>0</v>
      </c>
      <c r="N21" s="129">
        <v>-880000</v>
      </c>
      <c r="O21" s="129">
        <v>47543947</v>
      </c>
      <c r="P21" s="129">
        <v>0</v>
      </c>
      <c r="Q21" s="129">
        <v>47543947</v>
      </c>
      <c r="R21" s="129">
        <v>1200000</v>
      </c>
      <c r="S21" s="129">
        <v>0</v>
      </c>
      <c r="T21" s="129">
        <v>1200000</v>
      </c>
      <c r="U21" s="129">
        <v>0</v>
      </c>
      <c r="V21" s="129">
        <v>0</v>
      </c>
      <c r="W21" s="129">
        <v>0</v>
      </c>
      <c r="X21" s="129">
        <v>0</v>
      </c>
      <c r="Y21" s="129">
        <v>0</v>
      </c>
      <c r="Z21" s="129">
        <v>0</v>
      </c>
      <c r="AA21" s="129">
        <v>0</v>
      </c>
      <c r="AB21" s="129">
        <v>0</v>
      </c>
      <c r="AC21" s="129">
        <v>0</v>
      </c>
      <c r="AD21" s="129">
        <v>0</v>
      </c>
      <c r="AE21" s="129">
        <v>0</v>
      </c>
      <c r="AF21" s="129">
        <v>0</v>
      </c>
      <c r="AG21" s="129">
        <v>0</v>
      </c>
      <c r="AH21" s="129">
        <v>0</v>
      </c>
      <c r="AI21" s="129">
        <v>0</v>
      </c>
      <c r="AJ21" s="129">
        <v>0</v>
      </c>
      <c r="AK21" s="129">
        <v>0</v>
      </c>
      <c r="AL21" s="129">
        <v>0</v>
      </c>
      <c r="AM21" s="662" t="s">
        <v>653</v>
      </c>
      <c r="AN21" s="324" t="s">
        <v>559</v>
      </c>
      <c r="AO21" s="663" t="s">
        <v>558</v>
      </c>
      <c r="AP21" s="529" t="s">
        <v>1223</v>
      </c>
    </row>
    <row r="22" spans="1:42" ht="12.75" x14ac:dyDescent="0.2">
      <c r="A22" s="664">
        <v>15</v>
      </c>
      <c r="B22" s="665" t="s">
        <v>656</v>
      </c>
      <c r="C22" s="666" t="s">
        <v>486</v>
      </c>
      <c r="D22" s="667" t="s">
        <v>1224</v>
      </c>
      <c r="E22" s="668" t="s">
        <v>826</v>
      </c>
      <c r="F22" s="129">
        <v>65352126</v>
      </c>
      <c r="G22" s="129">
        <v>5921209</v>
      </c>
      <c r="H22" s="129">
        <v>71273335</v>
      </c>
      <c r="I22" s="129">
        <v>-1874716</v>
      </c>
      <c r="J22" s="129">
        <v>-123030</v>
      </c>
      <c r="K22" s="129">
        <v>-1997746</v>
      </c>
      <c r="L22" s="129">
        <v>-3082177</v>
      </c>
      <c r="M22" s="129">
        <v>-260918</v>
      </c>
      <c r="N22" s="129">
        <v>-3343095</v>
      </c>
      <c r="O22" s="129">
        <v>60395233</v>
      </c>
      <c r="P22" s="129">
        <v>5537261</v>
      </c>
      <c r="Q22" s="129">
        <v>65932494</v>
      </c>
      <c r="R22" s="129">
        <v>29921</v>
      </c>
      <c r="S22" s="129">
        <v>0</v>
      </c>
      <c r="T22" s="129">
        <v>29921</v>
      </c>
      <c r="U22" s="129">
        <v>0</v>
      </c>
      <c r="V22" s="129">
        <v>0</v>
      </c>
      <c r="W22" s="129">
        <v>0</v>
      </c>
      <c r="X22" s="129">
        <v>16230</v>
      </c>
      <c r="Y22" s="129">
        <v>5572237</v>
      </c>
      <c r="Z22" s="129">
        <v>0</v>
      </c>
      <c r="AA22" s="129">
        <v>0</v>
      </c>
      <c r="AB22" s="129">
        <v>0</v>
      </c>
      <c r="AC22" s="129">
        <v>37300</v>
      </c>
      <c r="AD22" s="129">
        <v>37300</v>
      </c>
      <c r="AE22" s="129">
        <v>0</v>
      </c>
      <c r="AF22" s="129">
        <v>0</v>
      </c>
      <c r="AG22" s="129">
        <v>0</v>
      </c>
      <c r="AH22" s="129">
        <v>0</v>
      </c>
      <c r="AI22" s="129">
        <v>0</v>
      </c>
      <c r="AJ22" s="129">
        <v>0</v>
      </c>
      <c r="AK22" s="129">
        <v>0</v>
      </c>
      <c r="AL22" s="129">
        <v>0</v>
      </c>
      <c r="AM22" s="662" t="s">
        <v>826</v>
      </c>
      <c r="AN22" s="324" t="s">
        <v>486</v>
      </c>
      <c r="AO22" s="663" t="s">
        <v>487</v>
      </c>
      <c r="AP22" s="529" t="s">
        <v>1225</v>
      </c>
    </row>
    <row r="23" spans="1:42" ht="12.75" x14ac:dyDescent="0.2">
      <c r="A23" s="664">
        <v>16</v>
      </c>
      <c r="B23" s="665" t="s">
        <v>658</v>
      </c>
      <c r="C23" s="666" t="s">
        <v>486</v>
      </c>
      <c r="D23" s="667" t="s">
        <v>1211</v>
      </c>
      <c r="E23" s="668" t="s">
        <v>657</v>
      </c>
      <c r="F23" s="129">
        <v>73555610</v>
      </c>
      <c r="G23" s="129">
        <v>0</v>
      </c>
      <c r="H23" s="129">
        <v>73555610</v>
      </c>
      <c r="I23" s="129">
        <v>-735556</v>
      </c>
      <c r="J23" s="129">
        <v>0</v>
      </c>
      <c r="K23" s="129">
        <v>-735556</v>
      </c>
      <c r="L23" s="129">
        <v>-3392891</v>
      </c>
      <c r="M23" s="129">
        <v>0</v>
      </c>
      <c r="N23" s="129">
        <v>-3392891</v>
      </c>
      <c r="O23" s="129">
        <v>69427163</v>
      </c>
      <c r="P23" s="129">
        <v>0</v>
      </c>
      <c r="Q23" s="129">
        <v>69427163</v>
      </c>
      <c r="R23" s="129">
        <v>639713</v>
      </c>
      <c r="S23" s="129">
        <v>0</v>
      </c>
      <c r="T23" s="129">
        <v>639713</v>
      </c>
      <c r="U23" s="129">
        <v>0</v>
      </c>
      <c r="V23" s="129">
        <v>0</v>
      </c>
      <c r="W23" s="129">
        <v>0</v>
      </c>
      <c r="X23" s="129">
        <v>0</v>
      </c>
      <c r="Y23" s="129">
        <v>0</v>
      </c>
      <c r="Z23" s="129">
        <v>0</v>
      </c>
      <c r="AA23" s="129">
        <v>0</v>
      </c>
      <c r="AB23" s="129">
        <v>0</v>
      </c>
      <c r="AC23" s="129">
        <v>0</v>
      </c>
      <c r="AD23" s="129">
        <v>0</v>
      </c>
      <c r="AE23" s="129">
        <v>0</v>
      </c>
      <c r="AF23" s="129">
        <v>0</v>
      </c>
      <c r="AG23" s="129">
        <v>0</v>
      </c>
      <c r="AH23" s="129">
        <v>0</v>
      </c>
      <c r="AI23" s="129">
        <v>0</v>
      </c>
      <c r="AJ23" s="129">
        <v>0</v>
      </c>
      <c r="AK23" s="129">
        <v>0</v>
      </c>
      <c r="AL23" s="129">
        <v>0</v>
      </c>
      <c r="AM23" s="662" t="s">
        <v>657</v>
      </c>
      <c r="AN23" s="324" t="s">
        <v>486</v>
      </c>
      <c r="AO23" s="663" t="s">
        <v>492</v>
      </c>
      <c r="AP23" s="529" t="s">
        <v>1226</v>
      </c>
    </row>
    <row r="24" spans="1:42" ht="12.75" x14ac:dyDescent="0.2">
      <c r="A24" s="664">
        <v>17</v>
      </c>
      <c r="B24" s="665" t="s">
        <v>660</v>
      </c>
      <c r="C24" s="666" t="s">
        <v>1213</v>
      </c>
      <c r="D24" s="667" t="s">
        <v>1214</v>
      </c>
      <c r="E24" s="668" t="s">
        <v>659</v>
      </c>
      <c r="F24" s="129">
        <v>81101973</v>
      </c>
      <c r="G24" s="129">
        <v>0</v>
      </c>
      <c r="H24" s="129">
        <v>81101973</v>
      </c>
      <c r="I24" s="129">
        <v>-2433059</v>
      </c>
      <c r="J24" s="129">
        <v>0</v>
      </c>
      <c r="K24" s="129">
        <v>-2433059</v>
      </c>
      <c r="L24" s="129">
        <v>0</v>
      </c>
      <c r="M24" s="129">
        <v>0</v>
      </c>
      <c r="N24" s="129">
        <v>0</v>
      </c>
      <c r="O24" s="129">
        <v>78668914</v>
      </c>
      <c r="P24" s="129">
        <v>0</v>
      </c>
      <c r="Q24" s="129">
        <v>78668914</v>
      </c>
      <c r="R24" s="129">
        <v>0</v>
      </c>
      <c r="S24" s="129">
        <v>0</v>
      </c>
      <c r="T24" s="129">
        <v>0</v>
      </c>
      <c r="U24" s="129">
        <v>0</v>
      </c>
      <c r="V24" s="129">
        <v>0</v>
      </c>
      <c r="W24" s="129">
        <v>0</v>
      </c>
      <c r="X24" s="129">
        <v>0</v>
      </c>
      <c r="Y24" s="129">
        <v>0</v>
      </c>
      <c r="Z24" s="129">
        <v>0</v>
      </c>
      <c r="AA24" s="129">
        <v>0</v>
      </c>
      <c r="AB24" s="129">
        <v>0</v>
      </c>
      <c r="AC24" s="129">
        <v>0</v>
      </c>
      <c r="AD24" s="129">
        <v>0</v>
      </c>
      <c r="AE24" s="129">
        <v>0</v>
      </c>
      <c r="AF24" s="129">
        <v>0</v>
      </c>
      <c r="AG24" s="129">
        <v>0</v>
      </c>
      <c r="AH24" s="129">
        <v>0</v>
      </c>
      <c r="AI24" s="129">
        <v>0</v>
      </c>
      <c r="AJ24" s="129">
        <v>0</v>
      </c>
      <c r="AK24" s="129">
        <v>0</v>
      </c>
      <c r="AL24" s="129">
        <v>0</v>
      </c>
      <c r="AM24" s="662" t="s">
        <v>659</v>
      </c>
      <c r="AN24" s="324" t="s">
        <v>576</v>
      </c>
      <c r="AO24" s="669" t="s">
        <v>485</v>
      </c>
      <c r="AP24" s="529" t="s">
        <v>1227</v>
      </c>
    </row>
    <row r="25" spans="1:42" ht="12.75" x14ac:dyDescent="0.2">
      <c r="A25" s="664">
        <v>18</v>
      </c>
      <c r="B25" s="665" t="s">
        <v>662</v>
      </c>
      <c r="C25" s="666" t="s">
        <v>1217</v>
      </c>
      <c r="D25" s="667" t="s">
        <v>1228</v>
      </c>
      <c r="E25" s="668" t="s">
        <v>661</v>
      </c>
      <c r="F25" s="129">
        <v>449260547</v>
      </c>
      <c r="G25" s="129">
        <v>20765924</v>
      </c>
      <c r="H25" s="129">
        <v>470026471</v>
      </c>
      <c r="I25" s="129">
        <v>-18410333</v>
      </c>
      <c r="J25" s="129">
        <v>-369361</v>
      </c>
      <c r="K25" s="129">
        <v>-18779694</v>
      </c>
      <c r="L25" s="129">
        <v>-17646916</v>
      </c>
      <c r="M25" s="129">
        <v>-644275</v>
      </c>
      <c r="N25" s="129">
        <v>-18291191</v>
      </c>
      <c r="O25" s="129">
        <v>413203298</v>
      </c>
      <c r="P25" s="129">
        <v>19752288</v>
      </c>
      <c r="Q25" s="129">
        <v>432955586</v>
      </c>
      <c r="R25" s="129">
        <v>0</v>
      </c>
      <c r="S25" s="129">
        <v>0</v>
      </c>
      <c r="T25" s="129">
        <v>0</v>
      </c>
      <c r="U25" s="129">
        <v>0</v>
      </c>
      <c r="V25" s="129">
        <v>0</v>
      </c>
      <c r="W25" s="129">
        <v>0</v>
      </c>
      <c r="X25" s="129">
        <v>0</v>
      </c>
      <c r="Y25" s="129">
        <v>11531912</v>
      </c>
      <c r="Z25" s="129">
        <v>8220376</v>
      </c>
      <c r="AA25" s="129">
        <v>8220376</v>
      </c>
      <c r="AB25" s="129">
        <v>0</v>
      </c>
      <c r="AC25" s="129">
        <v>872371</v>
      </c>
      <c r="AD25" s="129">
        <v>872371</v>
      </c>
      <c r="AE25" s="129">
        <v>0</v>
      </c>
      <c r="AF25" s="129">
        <v>0</v>
      </c>
      <c r="AG25" s="129">
        <v>0</v>
      </c>
      <c r="AH25" s="129">
        <v>0</v>
      </c>
      <c r="AI25" s="129">
        <v>0</v>
      </c>
      <c r="AJ25" s="129">
        <v>0</v>
      </c>
      <c r="AK25" s="129">
        <v>0</v>
      </c>
      <c r="AL25" s="129">
        <v>0</v>
      </c>
      <c r="AM25" s="662" t="s">
        <v>661</v>
      </c>
      <c r="AN25" s="324" t="s">
        <v>570</v>
      </c>
      <c r="AO25" s="663" t="s">
        <v>574</v>
      </c>
      <c r="AP25" s="529" t="s">
        <v>1229</v>
      </c>
    </row>
    <row r="26" spans="1:42" ht="12.75" x14ac:dyDescent="0.2">
      <c r="A26" s="664">
        <v>19</v>
      </c>
      <c r="B26" s="665" t="s">
        <v>664</v>
      </c>
      <c r="C26" s="666" t="s">
        <v>1201</v>
      </c>
      <c r="D26" s="667" t="s">
        <v>1206</v>
      </c>
      <c r="E26" s="668" t="s">
        <v>663</v>
      </c>
      <c r="F26" s="129">
        <v>53660565</v>
      </c>
      <c r="G26" s="129">
        <v>0</v>
      </c>
      <c r="H26" s="129">
        <v>53660565</v>
      </c>
      <c r="I26" s="129">
        <v>-537000</v>
      </c>
      <c r="J26" s="129">
        <v>0</v>
      </c>
      <c r="K26" s="129">
        <v>-537000</v>
      </c>
      <c r="L26" s="129">
        <v>-3220000</v>
      </c>
      <c r="M26" s="129">
        <v>0</v>
      </c>
      <c r="N26" s="129">
        <v>-3220000</v>
      </c>
      <c r="O26" s="129">
        <v>49903565</v>
      </c>
      <c r="P26" s="129">
        <v>0</v>
      </c>
      <c r="Q26" s="129">
        <v>49903565</v>
      </c>
      <c r="R26" s="129">
        <v>0</v>
      </c>
      <c r="S26" s="129">
        <v>0</v>
      </c>
      <c r="T26" s="129">
        <v>0</v>
      </c>
      <c r="U26" s="129">
        <v>0</v>
      </c>
      <c r="V26" s="129">
        <v>0</v>
      </c>
      <c r="W26" s="129">
        <v>0</v>
      </c>
      <c r="X26" s="129">
        <v>0</v>
      </c>
      <c r="Y26" s="129">
        <v>0</v>
      </c>
      <c r="Z26" s="129">
        <v>0</v>
      </c>
      <c r="AA26" s="129">
        <v>0</v>
      </c>
      <c r="AB26" s="129">
        <v>0</v>
      </c>
      <c r="AC26" s="129">
        <v>0</v>
      </c>
      <c r="AD26" s="129">
        <v>0</v>
      </c>
      <c r="AE26" s="129">
        <v>0</v>
      </c>
      <c r="AF26" s="129">
        <v>0</v>
      </c>
      <c r="AG26" s="129">
        <v>0</v>
      </c>
      <c r="AH26" s="129">
        <v>0</v>
      </c>
      <c r="AI26" s="129">
        <v>0</v>
      </c>
      <c r="AJ26" s="129">
        <v>0</v>
      </c>
      <c r="AK26" s="129">
        <v>0</v>
      </c>
      <c r="AL26" s="129">
        <v>0</v>
      </c>
      <c r="AM26" s="662" t="s">
        <v>663</v>
      </c>
      <c r="AN26" s="324" t="s">
        <v>551</v>
      </c>
      <c r="AO26" s="663" t="s">
        <v>549</v>
      </c>
      <c r="AP26" s="529" t="s">
        <v>1230</v>
      </c>
    </row>
    <row r="27" spans="1:42" ht="12.75" x14ac:dyDescent="0.2">
      <c r="A27" s="664">
        <v>20</v>
      </c>
      <c r="B27" s="665" t="s">
        <v>665</v>
      </c>
      <c r="C27" s="666" t="s">
        <v>486</v>
      </c>
      <c r="D27" s="667" t="s">
        <v>1204</v>
      </c>
      <c r="E27" s="668" t="s">
        <v>544</v>
      </c>
      <c r="F27" s="129">
        <v>45975226</v>
      </c>
      <c r="G27" s="129">
        <v>0</v>
      </c>
      <c r="H27" s="129">
        <v>45975226</v>
      </c>
      <c r="I27" s="129">
        <v>-1000000</v>
      </c>
      <c r="J27" s="129">
        <v>0</v>
      </c>
      <c r="K27" s="129">
        <v>-1000000</v>
      </c>
      <c r="L27" s="129">
        <v>-2000000</v>
      </c>
      <c r="M27" s="129">
        <v>0</v>
      </c>
      <c r="N27" s="129">
        <v>-2000000</v>
      </c>
      <c r="O27" s="129">
        <v>42975226</v>
      </c>
      <c r="P27" s="129">
        <v>0</v>
      </c>
      <c r="Q27" s="129">
        <v>42975226</v>
      </c>
      <c r="R27" s="129">
        <v>0</v>
      </c>
      <c r="S27" s="129">
        <v>0</v>
      </c>
      <c r="T27" s="129">
        <v>0</v>
      </c>
      <c r="U27" s="129">
        <v>0</v>
      </c>
      <c r="V27" s="129">
        <v>0</v>
      </c>
      <c r="W27" s="129">
        <v>0</v>
      </c>
      <c r="X27" s="129">
        <v>0</v>
      </c>
      <c r="Y27" s="129">
        <v>0</v>
      </c>
      <c r="Z27" s="129">
        <v>0</v>
      </c>
      <c r="AA27" s="129">
        <v>0</v>
      </c>
      <c r="AB27" s="129">
        <v>0</v>
      </c>
      <c r="AC27" s="129">
        <v>0</v>
      </c>
      <c r="AD27" s="129">
        <v>0</v>
      </c>
      <c r="AE27" s="129">
        <v>0</v>
      </c>
      <c r="AF27" s="129">
        <v>0</v>
      </c>
      <c r="AG27" s="129">
        <v>0</v>
      </c>
      <c r="AH27" s="129">
        <v>0</v>
      </c>
      <c r="AI27" s="129">
        <v>0</v>
      </c>
      <c r="AJ27" s="129">
        <v>0</v>
      </c>
      <c r="AK27" s="129">
        <v>0</v>
      </c>
      <c r="AL27" s="129">
        <v>0</v>
      </c>
      <c r="AM27" s="662" t="s">
        <v>544</v>
      </c>
      <c r="AN27" s="324" t="s">
        <v>486</v>
      </c>
      <c r="AO27" s="663" t="s">
        <v>545</v>
      </c>
      <c r="AP27" s="529" t="s">
        <v>1231</v>
      </c>
    </row>
    <row r="28" spans="1:42" ht="12.75" x14ac:dyDescent="0.2">
      <c r="A28" s="664">
        <v>21</v>
      </c>
      <c r="B28" s="665" t="s">
        <v>667</v>
      </c>
      <c r="C28" s="666" t="s">
        <v>486</v>
      </c>
      <c r="D28" s="667" t="s">
        <v>1204</v>
      </c>
      <c r="E28" s="668" t="s">
        <v>546</v>
      </c>
      <c r="F28" s="129">
        <v>43809722</v>
      </c>
      <c r="G28" s="129">
        <v>1644139</v>
      </c>
      <c r="H28" s="129">
        <v>45453861</v>
      </c>
      <c r="I28" s="129">
        <v>-1542000</v>
      </c>
      <c r="J28" s="129">
        <v>-58000</v>
      </c>
      <c r="K28" s="129">
        <v>-1600000</v>
      </c>
      <c r="L28" s="129">
        <v>-1735000</v>
      </c>
      <c r="M28" s="129">
        <v>-65000</v>
      </c>
      <c r="N28" s="129">
        <v>-1800000</v>
      </c>
      <c r="O28" s="129">
        <v>40532722</v>
      </c>
      <c r="P28" s="129">
        <v>1521139</v>
      </c>
      <c r="Q28" s="129">
        <v>42053861</v>
      </c>
      <c r="R28" s="129">
        <v>2592</v>
      </c>
      <c r="S28" s="129">
        <v>0</v>
      </c>
      <c r="T28" s="129">
        <v>2592</v>
      </c>
      <c r="U28" s="129">
        <v>0</v>
      </c>
      <c r="V28" s="129">
        <v>0</v>
      </c>
      <c r="W28" s="129">
        <v>0</v>
      </c>
      <c r="X28" s="129">
        <v>0</v>
      </c>
      <c r="Y28" s="129">
        <v>1609437</v>
      </c>
      <c r="Z28" s="129">
        <v>0</v>
      </c>
      <c r="AA28" s="129">
        <v>0</v>
      </c>
      <c r="AB28" s="129">
        <v>0</v>
      </c>
      <c r="AC28" s="129">
        <v>0</v>
      </c>
      <c r="AD28" s="129">
        <v>0</v>
      </c>
      <c r="AE28" s="129">
        <v>0</v>
      </c>
      <c r="AF28" s="129">
        <v>307132</v>
      </c>
      <c r="AG28" s="129">
        <v>307132</v>
      </c>
      <c r="AH28" s="129">
        <v>0</v>
      </c>
      <c r="AI28" s="129">
        <v>0</v>
      </c>
      <c r="AJ28" s="129">
        <v>0</v>
      </c>
      <c r="AK28" s="129">
        <v>307132</v>
      </c>
      <c r="AL28" s="129">
        <v>307132</v>
      </c>
      <c r="AM28" s="662" t="s">
        <v>546</v>
      </c>
      <c r="AN28" s="324" t="s">
        <v>486</v>
      </c>
      <c r="AO28" s="663" t="s">
        <v>545</v>
      </c>
      <c r="AP28" s="529" t="s">
        <v>1232</v>
      </c>
    </row>
    <row r="29" spans="1:42" ht="12.75" x14ac:dyDescent="0.2">
      <c r="A29" s="664">
        <v>22</v>
      </c>
      <c r="B29" s="665" t="s">
        <v>669</v>
      </c>
      <c r="C29" s="666" t="s">
        <v>1201</v>
      </c>
      <c r="D29" s="667" t="s">
        <v>1206</v>
      </c>
      <c r="E29" s="668" t="s">
        <v>668</v>
      </c>
      <c r="F29" s="129">
        <v>29285459</v>
      </c>
      <c r="G29" s="129">
        <v>0</v>
      </c>
      <c r="H29" s="129">
        <v>29285459</v>
      </c>
      <c r="I29" s="129">
        <v>-295048</v>
      </c>
      <c r="J29" s="129">
        <v>0</v>
      </c>
      <c r="K29" s="129">
        <v>-295048</v>
      </c>
      <c r="L29" s="129">
        <v>-605636</v>
      </c>
      <c r="M29" s="129">
        <v>0</v>
      </c>
      <c r="N29" s="129">
        <v>-605636</v>
      </c>
      <c r="O29" s="129">
        <v>28384775</v>
      </c>
      <c r="P29" s="129">
        <v>0</v>
      </c>
      <c r="Q29" s="129">
        <v>28384775</v>
      </c>
      <c r="R29" s="129">
        <v>60379</v>
      </c>
      <c r="S29" s="129">
        <v>0</v>
      </c>
      <c r="T29" s="129">
        <v>60379</v>
      </c>
      <c r="U29" s="129">
        <v>0</v>
      </c>
      <c r="V29" s="129">
        <v>0</v>
      </c>
      <c r="W29" s="129">
        <v>0</v>
      </c>
      <c r="X29" s="129">
        <v>0</v>
      </c>
      <c r="Y29" s="129">
        <v>0</v>
      </c>
      <c r="Z29" s="129">
        <v>0</v>
      </c>
      <c r="AA29" s="129">
        <v>0</v>
      </c>
      <c r="AB29" s="129">
        <v>0</v>
      </c>
      <c r="AC29" s="129">
        <v>0</v>
      </c>
      <c r="AD29" s="129">
        <v>0</v>
      </c>
      <c r="AE29" s="129">
        <v>0</v>
      </c>
      <c r="AF29" s="129">
        <v>0</v>
      </c>
      <c r="AG29" s="129">
        <v>0</v>
      </c>
      <c r="AH29" s="129">
        <v>0</v>
      </c>
      <c r="AI29" s="129">
        <v>0</v>
      </c>
      <c r="AJ29" s="129">
        <v>0</v>
      </c>
      <c r="AK29" s="129">
        <v>0</v>
      </c>
      <c r="AL29" s="129">
        <v>0</v>
      </c>
      <c r="AM29" s="662" t="s">
        <v>668</v>
      </c>
      <c r="AN29" s="324" t="s">
        <v>516</v>
      </c>
      <c r="AO29" s="663" t="s">
        <v>515</v>
      </c>
      <c r="AP29" s="529" t="s">
        <v>1233</v>
      </c>
    </row>
    <row r="30" spans="1:42" ht="12.75" x14ac:dyDescent="0.2">
      <c r="A30" s="664">
        <v>23</v>
      </c>
      <c r="B30" s="665" t="s">
        <v>671</v>
      </c>
      <c r="C30" s="666" t="s">
        <v>1217</v>
      </c>
      <c r="D30" s="667" t="s">
        <v>1204</v>
      </c>
      <c r="E30" s="668" t="s">
        <v>670</v>
      </c>
      <c r="F30" s="129">
        <v>94620055</v>
      </c>
      <c r="G30" s="129">
        <v>0</v>
      </c>
      <c r="H30" s="129">
        <v>94620055</v>
      </c>
      <c r="I30" s="129">
        <v>-6965800</v>
      </c>
      <c r="J30" s="129">
        <v>0</v>
      </c>
      <c r="K30" s="129">
        <v>-6965800</v>
      </c>
      <c r="L30" s="129">
        <v>-5509601</v>
      </c>
      <c r="M30" s="129">
        <v>0</v>
      </c>
      <c r="N30" s="129">
        <v>-5509601</v>
      </c>
      <c r="O30" s="129">
        <v>82144654</v>
      </c>
      <c r="P30" s="129">
        <v>0</v>
      </c>
      <c r="Q30" s="129">
        <v>82144654</v>
      </c>
      <c r="R30" s="129">
        <v>0</v>
      </c>
      <c r="S30" s="129">
        <v>0</v>
      </c>
      <c r="T30" s="129">
        <v>0</v>
      </c>
      <c r="U30" s="129">
        <v>0</v>
      </c>
      <c r="V30" s="129">
        <v>0</v>
      </c>
      <c r="W30" s="129">
        <v>0</v>
      </c>
      <c r="X30" s="129">
        <v>0</v>
      </c>
      <c r="Y30" s="129">
        <v>0</v>
      </c>
      <c r="Z30" s="129">
        <v>0</v>
      </c>
      <c r="AA30" s="129">
        <v>0</v>
      </c>
      <c r="AB30" s="129">
        <v>0</v>
      </c>
      <c r="AC30" s="129">
        <v>0</v>
      </c>
      <c r="AD30" s="129">
        <v>0</v>
      </c>
      <c r="AE30" s="129">
        <v>0</v>
      </c>
      <c r="AF30" s="129">
        <v>0</v>
      </c>
      <c r="AG30" s="129">
        <v>0</v>
      </c>
      <c r="AH30" s="129">
        <v>0</v>
      </c>
      <c r="AI30" s="129">
        <v>0</v>
      </c>
      <c r="AJ30" s="129">
        <v>0</v>
      </c>
      <c r="AK30" s="129">
        <v>0</v>
      </c>
      <c r="AL30" s="129">
        <v>0</v>
      </c>
      <c r="AM30" s="662" t="s">
        <v>670</v>
      </c>
      <c r="AN30" s="324" t="s">
        <v>570</v>
      </c>
      <c r="AO30" s="663" t="s">
        <v>1915</v>
      </c>
      <c r="AP30" s="529" t="s">
        <v>1234</v>
      </c>
    </row>
    <row r="31" spans="1:42" ht="12.75" x14ac:dyDescent="0.2">
      <c r="A31" s="664">
        <v>24</v>
      </c>
      <c r="B31" s="665" t="s">
        <v>673</v>
      </c>
      <c r="C31" s="666" t="s">
        <v>1201</v>
      </c>
      <c r="D31" s="667" t="s">
        <v>1206</v>
      </c>
      <c r="E31" s="668" t="s">
        <v>672</v>
      </c>
      <c r="F31" s="129">
        <v>21520963</v>
      </c>
      <c r="G31" s="129">
        <v>0</v>
      </c>
      <c r="H31" s="129">
        <v>21520963</v>
      </c>
      <c r="I31" s="129">
        <v>-250000</v>
      </c>
      <c r="J31" s="129">
        <v>0</v>
      </c>
      <c r="K31" s="129">
        <v>-250000</v>
      </c>
      <c r="L31" s="129">
        <v>-500000</v>
      </c>
      <c r="M31" s="129">
        <v>0</v>
      </c>
      <c r="N31" s="129">
        <v>-500000</v>
      </c>
      <c r="O31" s="129">
        <v>20770963</v>
      </c>
      <c r="P31" s="129">
        <v>0</v>
      </c>
      <c r="Q31" s="129">
        <v>20770963</v>
      </c>
      <c r="R31" s="129">
        <v>208285</v>
      </c>
      <c r="S31" s="129">
        <v>0</v>
      </c>
      <c r="T31" s="129">
        <v>208285</v>
      </c>
      <c r="U31" s="129">
        <v>0</v>
      </c>
      <c r="V31" s="129">
        <v>0</v>
      </c>
      <c r="W31" s="129">
        <v>0</v>
      </c>
      <c r="X31" s="129">
        <v>0</v>
      </c>
      <c r="Y31" s="129">
        <v>0</v>
      </c>
      <c r="Z31" s="129">
        <v>0</v>
      </c>
      <c r="AA31" s="129">
        <v>0</v>
      </c>
      <c r="AB31" s="129">
        <v>0</v>
      </c>
      <c r="AC31" s="129">
        <v>0</v>
      </c>
      <c r="AD31" s="129">
        <v>0</v>
      </c>
      <c r="AE31" s="129">
        <v>0</v>
      </c>
      <c r="AF31" s="129">
        <v>0</v>
      </c>
      <c r="AG31" s="129">
        <v>0</v>
      </c>
      <c r="AH31" s="129">
        <v>0</v>
      </c>
      <c r="AI31" s="129">
        <v>0</v>
      </c>
      <c r="AJ31" s="129">
        <v>0</v>
      </c>
      <c r="AK31" s="129">
        <v>0</v>
      </c>
      <c r="AL31" s="129">
        <v>0</v>
      </c>
      <c r="AM31" s="662" t="s">
        <v>672</v>
      </c>
      <c r="AN31" s="324" t="s">
        <v>552</v>
      </c>
      <c r="AO31" s="663" t="s">
        <v>512</v>
      </c>
      <c r="AP31" s="529" t="s">
        <v>1235</v>
      </c>
    </row>
    <row r="32" spans="1:42" ht="12.75" x14ac:dyDescent="0.2">
      <c r="A32" s="664">
        <v>25</v>
      </c>
      <c r="B32" s="665" t="s">
        <v>1017</v>
      </c>
      <c r="C32" s="666" t="s">
        <v>486</v>
      </c>
      <c r="D32" s="667" t="s">
        <v>1224</v>
      </c>
      <c r="E32" s="668" t="s">
        <v>1027</v>
      </c>
      <c r="F32" s="129">
        <v>152916702</v>
      </c>
      <c r="G32" s="129">
        <v>0</v>
      </c>
      <c r="H32" s="129">
        <v>152916702</v>
      </c>
      <c r="I32" s="129">
        <v>-5000000</v>
      </c>
      <c r="J32" s="129">
        <v>0</v>
      </c>
      <c r="K32" s="129">
        <v>-5000000</v>
      </c>
      <c r="L32" s="129">
        <v>-13000000</v>
      </c>
      <c r="M32" s="129">
        <v>0</v>
      </c>
      <c r="N32" s="129">
        <v>-13000000</v>
      </c>
      <c r="O32" s="129">
        <v>134916702</v>
      </c>
      <c r="P32" s="129">
        <v>0</v>
      </c>
      <c r="Q32" s="129">
        <v>134916702</v>
      </c>
      <c r="R32" s="129">
        <v>309547</v>
      </c>
      <c r="S32" s="129">
        <v>0</v>
      </c>
      <c r="T32" s="129">
        <v>309547</v>
      </c>
      <c r="U32" s="129">
        <v>0</v>
      </c>
      <c r="V32" s="129">
        <v>0</v>
      </c>
      <c r="W32" s="129">
        <v>0</v>
      </c>
      <c r="X32" s="129">
        <v>0</v>
      </c>
      <c r="Y32" s="129">
        <v>0</v>
      </c>
      <c r="Z32" s="129">
        <v>0</v>
      </c>
      <c r="AA32" s="129">
        <v>0</v>
      </c>
      <c r="AB32" s="129">
        <v>0</v>
      </c>
      <c r="AC32" s="129">
        <v>0</v>
      </c>
      <c r="AD32" s="129">
        <v>0</v>
      </c>
      <c r="AE32" s="129">
        <v>0</v>
      </c>
      <c r="AF32" s="129">
        <v>0</v>
      </c>
      <c r="AG32" s="129">
        <v>0</v>
      </c>
      <c r="AH32" s="129">
        <v>0</v>
      </c>
      <c r="AI32" s="129">
        <v>0</v>
      </c>
      <c r="AJ32" s="129">
        <v>0</v>
      </c>
      <c r="AK32" s="129">
        <v>0</v>
      </c>
      <c r="AL32" s="129">
        <v>0</v>
      </c>
      <c r="AM32" s="662" t="s">
        <v>1027</v>
      </c>
      <c r="AN32" s="324" t="s">
        <v>486</v>
      </c>
      <c r="AO32" s="663" t="s">
        <v>1916</v>
      </c>
      <c r="AP32" s="529" t="s">
        <v>1236</v>
      </c>
    </row>
    <row r="33" spans="1:42" ht="12.75" x14ac:dyDescent="0.2">
      <c r="A33" s="664">
        <v>26</v>
      </c>
      <c r="B33" s="665" t="s">
        <v>674</v>
      </c>
      <c r="C33" s="666" t="s">
        <v>486</v>
      </c>
      <c r="D33" s="667" t="s">
        <v>1202</v>
      </c>
      <c r="E33" s="668" t="s">
        <v>493</v>
      </c>
      <c r="F33" s="129">
        <v>73527486</v>
      </c>
      <c r="G33" s="129">
        <v>0</v>
      </c>
      <c r="H33" s="129">
        <v>73527486</v>
      </c>
      <c r="I33" s="129">
        <v>-195000</v>
      </c>
      <c r="J33" s="129">
        <v>0</v>
      </c>
      <c r="K33" s="129">
        <v>-195000</v>
      </c>
      <c r="L33" s="129">
        <v>-4032234</v>
      </c>
      <c r="M33" s="129">
        <v>0</v>
      </c>
      <c r="N33" s="129">
        <v>-4032234</v>
      </c>
      <c r="O33" s="129">
        <v>69300252</v>
      </c>
      <c r="P33" s="129">
        <v>0</v>
      </c>
      <c r="Q33" s="129">
        <v>69300252</v>
      </c>
      <c r="R33" s="129">
        <v>0</v>
      </c>
      <c r="S33" s="129">
        <v>0</v>
      </c>
      <c r="T33" s="129">
        <v>0</v>
      </c>
      <c r="U33" s="129">
        <v>0</v>
      </c>
      <c r="V33" s="129">
        <v>0</v>
      </c>
      <c r="W33" s="129">
        <v>0</v>
      </c>
      <c r="X33" s="129">
        <v>0</v>
      </c>
      <c r="Y33" s="129">
        <v>0</v>
      </c>
      <c r="Z33" s="129">
        <v>0</v>
      </c>
      <c r="AA33" s="129">
        <v>0</v>
      </c>
      <c r="AB33" s="129">
        <v>0</v>
      </c>
      <c r="AC33" s="129">
        <v>0</v>
      </c>
      <c r="AD33" s="129">
        <v>0</v>
      </c>
      <c r="AE33" s="129">
        <v>0</v>
      </c>
      <c r="AF33" s="129">
        <v>0</v>
      </c>
      <c r="AG33" s="129">
        <v>0</v>
      </c>
      <c r="AH33" s="129">
        <v>0</v>
      </c>
      <c r="AI33" s="129">
        <v>0</v>
      </c>
      <c r="AJ33" s="129">
        <v>0</v>
      </c>
      <c r="AK33" s="129">
        <v>0</v>
      </c>
      <c r="AL33" s="129">
        <v>0</v>
      </c>
      <c r="AM33" s="662" t="s">
        <v>493</v>
      </c>
      <c r="AN33" s="324" t="s">
        <v>486</v>
      </c>
      <c r="AO33" s="663" t="s">
        <v>494</v>
      </c>
      <c r="AP33" s="529" t="s">
        <v>1237</v>
      </c>
    </row>
    <row r="34" spans="1:42" ht="12.75" x14ac:dyDescent="0.2">
      <c r="A34" s="664">
        <v>27</v>
      </c>
      <c r="B34" s="665" t="s">
        <v>676</v>
      </c>
      <c r="C34" s="666" t="s">
        <v>1217</v>
      </c>
      <c r="D34" s="667" t="s">
        <v>1218</v>
      </c>
      <c r="E34" s="668" t="s">
        <v>675</v>
      </c>
      <c r="F34" s="129">
        <v>142854620</v>
      </c>
      <c r="G34" s="129">
        <v>0</v>
      </c>
      <c r="H34" s="129">
        <v>142854620</v>
      </c>
      <c r="I34" s="129">
        <v>-2488000</v>
      </c>
      <c r="J34" s="129">
        <v>0</v>
      </c>
      <c r="K34" s="129">
        <v>-2488000</v>
      </c>
      <c r="L34" s="129">
        <v>-5681000</v>
      </c>
      <c r="M34" s="129">
        <v>0</v>
      </c>
      <c r="N34" s="129">
        <v>-5681000</v>
      </c>
      <c r="O34" s="129">
        <v>134685620</v>
      </c>
      <c r="P34" s="129">
        <v>0</v>
      </c>
      <c r="Q34" s="129">
        <v>134685620</v>
      </c>
      <c r="R34" s="129">
        <v>0</v>
      </c>
      <c r="S34" s="129">
        <v>0</v>
      </c>
      <c r="T34" s="129">
        <v>0</v>
      </c>
      <c r="U34" s="129">
        <v>0</v>
      </c>
      <c r="V34" s="129">
        <v>0</v>
      </c>
      <c r="W34" s="129">
        <v>0</v>
      </c>
      <c r="X34" s="129">
        <v>0</v>
      </c>
      <c r="Y34" s="129">
        <v>0</v>
      </c>
      <c r="Z34" s="129">
        <v>0</v>
      </c>
      <c r="AA34" s="129">
        <v>0</v>
      </c>
      <c r="AB34" s="129">
        <v>0</v>
      </c>
      <c r="AC34" s="129">
        <v>0</v>
      </c>
      <c r="AD34" s="129">
        <v>0</v>
      </c>
      <c r="AE34" s="129">
        <v>0</v>
      </c>
      <c r="AF34" s="129">
        <v>0</v>
      </c>
      <c r="AG34" s="129">
        <v>0</v>
      </c>
      <c r="AH34" s="129">
        <v>0</v>
      </c>
      <c r="AI34" s="129">
        <v>0</v>
      </c>
      <c r="AJ34" s="129">
        <v>0</v>
      </c>
      <c r="AK34" s="129">
        <v>0</v>
      </c>
      <c r="AL34" s="129">
        <v>0</v>
      </c>
      <c r="AM34" s="662" t="s">
        <v>675</v>
      </c>
      <c r="AN34" s="324" t="s">
        <v>570</v>
      </c>
      <c r="AO34" s="663" t="s">
        <v>575</v>
      </c>
      <c r="AP34" s="529" t="s">
        <v>1238</v>
      </c>
    </row>
    <row r="35" spans="1:42" ht="12.75" x14ac:dyDescent="0.2">
      <c r="A35" s="664">
        <v>28</v>
      </c>
      <c r="B35" s="665" t="s">
        <v>678</v>
      </c>
      <c r="C35" s="666" t="s">
        <v>1201</v>
      </c>
      <c r="D35" s="667" t="s">
        <v>1211</v>
      </c>
      <c r="E35" s="668" t="s">
        <v>677</v>
      </c>
      <c r="F35" s="129">
        <v>45371006</v>
      </c>
      <c r="G35" s="129">
        <v>0</v>
      </c>
      <c r="H35" s="129">
        <v>45371006</v>
      </c>
      <c r="I35" s="129">
        <v>-453710</v>
      </c>
      <c r="J35" s="129">
        <v>0</v>
      </c>
      <c r="K35" s="129">
        <v>-453710</v>
      </c>
      <c r="L35" s="129">
        <v>-1633360</v>
      </c>
      <c r="M35" s="129">
        <v>0</v>
      </c>
      <c r="N35" s="129">
        <v>-1633360</v>
      </c>
      <c r="O35" s="129">
        <v>43283936</v>
      </c>
      <c r="P35" s="129">
        <v>0</v>
      </c>
      <c r="Q35" s="129">
        <v>43283936</v>
      </c>
      <c r="R35" s="129">
        <v>194067</v>
      </c>
      <c r="S35" s="129">
        <v>0</v>
      </c>
      <c r="T35" s="129">
        <v>194067</v>
      </c>
      <c r="U35" s="129">
        <v>0</v>
      </c>
      <c r="V35" s="129">
        <v>0</v>
      </c>
      <c r="W35" s="129">
        <v>0</v>
      </c>
      <c r="X35" s="129">
        <v>0</v>
      </c>
      <c r="Y35" s="129">
        <v>0</v>
      </c>
      <c r="Z35" s="129">
        <v>0</v>
      </c>
      <c r="AA35" s="129">
        <v>0</v>
      </c>
      <c r="AB35" s="129">
        <v>0</v>
      </c>
      <c r="AC35" s="129">
        <v>0</v>
      </c>
      <c r="AD35" s="129">
        <v>0</v>
      </c>
      <c r="AE35" s="129">
        <v>0</v>
      </c>
      <c r="AF35" s="129">
        <v>0</v>
      </c>
      <c r="AG35" s="129">
        <v>0</v>
      </c>
      <c r="AH35" s="129">
        <v>0</v>
      </c>
      <c r="AI35" s="129">
        <v>0</v>
      </c>
      <c r="AJ35" s="129">
        <v>0</v>
      </c>
      <c r="AK35" s="129">
        <v>0</v>
      </c>
      <c r="AL35" s="129">
        <v>0</v>
      </c>
      <c r="AM35" s="662" t="s">
        <v>677</v>
      </c>
      <c r="AN35" s="324" t="s">
        <v>528</v>
      </c>
      <c r="AO35" s="663" t="s">
        <v>1913</v>
      </c>
      <c r="AP35" s="529" t="s">
        <v>1239</v>
      </c>
    </row>
    <row r="36" spans="1:42" ht="12.75" x14ac:dyDescent="0.2">
      <c r="A36" s="664">
        <v>29</v>
      </c>
      <c r="B36" s="665" t="s">
        <v>680</v>
      </c>
      <c r="C36" s="666" t="s">
        <v>1201</v>
      </c>
      <c r="D36" s="667" t="s">
        <v>1211</v>
      </c>
      <c r="E36" s="668" t="s">
        <v>679</v>
      </c>
      <c r="F36" s="129">
        <v>34644481</v>
      </c>
      <c r="G36" s="129">
        <v>0</v>
      </c>
      <c r="H36" s="129">
        <v>34644481</v>
      </c>
      <c r="I36" s="129">
        <v>-346447</v>
      </c>
      <c r="J36" s="129">
        <v>0</v>
      </c>
      <c r="K36" s="129">
        <v>-346447</v>
      </c>
      <c r="L36" s="129">
        <v>-1438944</v>
      </c>
      <c r="M36" s="129">
        <v>0</v>
      </c>
      <c r="N36" s="129">
        <v>-1438944</v>
      </c>
      <c r="O36" s="129">
        <v>32859090</v>
      </c>
      <c r="P36" s="129">
        <v>0</v>
      </c>
      <c r="Q36" s="129">
        <v>32859090</v>
      </c>
      <c r="R36" s="129">
        <v>2511918</v>
      </c>
      <c r="S36" s="129">
        <v>0</v>
      </c>
      <c r="T36" s="129">
        <v>2511918</v>
      </c>
      <c r="U36" s="129">
        <v>0</v>
      </c>
      <c r="V36" s="129">
        <v>0</v>
      </c>
      <c r="W36" s="129">
        <v>0</v>
      </c>
      <c r="X36" s="129">
        <v>0</v>
      </c>
      <c r="Y36" s="129">
        <v>0</v>
      </c>
      <c r="Z36" s="129">
        <v>0</v>
      </c>
      <c r="AA36" s="129">
        <v>0</v>
      </c>
      <c r="AB36" s="129">
        <v>0</v>
      </c>
      <c r="AC36" s="129">
        <v>0</v>
      </c>
      <c r="AD36" s="129">
        <v>0</v>
      </c>
      <c r="AE36" s="129">
        <v>0</v>
      </c>
      <c r="AF36" s="129">
        <v>0</v>
      </c>
      <c r="AG36" s="129">
        <v>0</v>
      </c>
      <c r="AH36" s="129">
        <v>0</v>
      </c>
      <c r="AI36" s="129">
        <v>0</v>
      </c>
      <c r="AJ36" s="129">
        <v>0</v>
      </c>
      <c r="AK36" s="129">
        <v>0</v>
      </c>
      <c r="AL36" s="129">
        <v>0</v>
      </c>
      <c r="AM36" s="662" t="s">
        <v>679</v>
      </c>
      <c r="AN36" s="324" t="s">
        <v>553</v>
      </c>
      <c r="AO36" s="663" t="s">
        <v>512</v>
      </c>
      <c r="AP36" s="529" t="s">
        <v>1240</v>
      </c>
    </row>
    <row r="37" spans="1:42" ht="12.75" x14ac:dyDescent="0.2">
      <c r="A37" s="664">
        <v>30</v>
      </c>
      <c r="B37" s="665" t="s">
        <v>682</v>
      </c>
      <c r="C37" s="666" t="s">
        <v>1213</v>
      </c>
      <c r="D37" s="667" t="s">
        <v>1214</v>
      </c>
      <c r="E37" s="668" t="s">
        <v>681</v>
      </c>
      <c r="F37" s="129">
        <v>136028726</v>
      </c>
      <c r="G37" s="129">
        <v>0</v>
      </c>
      <c r="H37" s="129">
        <v>136028726</v>
      </c>
      <c r="I37" s="129">
        <v>-1000000</v>
      </c>
      <c r="J37" s="129">
        <v>0</v>
      </c>
      <c r="K37" s="129">
        <v>-1000000</v>
      </c>
      <c r="L37" s="129">
        <v>-2500000</v>
      </c>
      <c r="M37" s="129">
        <v>0</v>
      </c>
      <c r="N37" s="129">
        <v>-2500000</v>
      </c>
      <c r="O37" s="129">
        <v>132528726</v>
      </c>
      <c r="P37" s="129">
        <v>0</v>
      </c>
      <c r="Q37" s="129">
        <v>132528726</v>
      </c>
      <c r="R37" s="129">
        <v>0</v>
      </c>
      <c r="S37" s="129">
        <v>0</v>
      </c>
      <c r="T37" s="129">
        <v>0</v>
      </c>
      <c r="U37" s="129">
        <v>0</v>
      </c>
      <c r="V37" s="129">
        <v>0</v>
      </c>
      <c r="W37" s="129">
        <v>0</v>
      </c>
      <c r="X37" s="129">
        <v>0</v>
      </c>
      <c r="Y37" s="129">
        <v>0</v>
      </c>
      <c r="Z37" s="129">
        <v>0</v>
      </c>
      <c r="AA37" s="129">
        <v>0</v>
      </c>
      <c r="AB37" s="129">
        <v>0</v>
      </c>
      <c r="AC37" s="129">
        <v>0</v>
      </c>
      <c r="AD37" s="129">
        <v>0</v>
      </c>
      <c r="AE37" s="129">
        <v>0</v>
      </c>
      <c r="AF37" s="129">
        <v>0</v>
      </c>
      <c r="AG37" s="129">
        <v>0</v>
      </c>
      <c r="AH37" s="129">
        <v>0</v>
      </c>
      <c r="AI37" s="129">
        <v>0</v>
      </c>
      <c r="AJ37" s="129">
        <v>0</v>
      </c>
      <c r="AK37" s="129">
        <v>0</v>
      </c>
      <c r="AL37" s="129">
        <v>0</v>
      </c>
      <c r="AM37" s="662" t="s">
        <v>681</v>
      </c>
      <c r="AN37" s="324" t="s">
        <v>576</v>
      </c>
      <c r="AO37" s="669" t="s">
        <v>485</v>
      </c>
      <c r="AP37" s="529" t="s">
        <v>1241</v>
      </c>
    </row>
    <row r="38" spans="1:42" ht="12.75" x14ac:dyDescent="0.2">
      <c r="A38" s="664">
        <v>31</v>
      </c>
      <c r="B38" s="665" t="s">
        <v>684</v>
      </c>
      <c r="C38" s="666" t="s">
        <v>1201</v>
      </c>
      <c r="D38" s="667" t="s">
        <v>1211</v>
      </c>
      <c r="E38" s="668" t="s">
        <v>683</v>
      </c>
      <c r="F38" s="129">
        <v>27481322</v>
      </c>
      <c r="G38" s="129">
        <v>0</v>
      </c>
      <c r="H38" s="129">
        <v>27481322</v>
      </c>
      <c r="I38" s="129">
        <v>-200000</v>
      </c>
      <c r="J38" s="129">
        <v>0</v>
      </c>
      <c r="K38" s="129">
        <v>-200000</v>
      </c>
      <c r="L38" s="129">
        <v>-235000</v>
      </c>
      <c r="M38" s="129">
        <v>0</v>
      </c>
      <c r="N38" s="129">
        <v>-235000</v>
      </c>
      <c r="O38" s="129">
        <v>27046322</v>
      </c>
      <c r="P38" s="129">
        <v>0</v>
      </c>
      <c r="Q38" s="129">
        <v>27046322</v>
      </c>
      <c r="R38" s="129">
        <v>0</v>
      </c>
      <c r="S38" s="129">
        <v>0</v>
      </c>
      <c r="T38" s="129">
        <v>0</v>
      </c>
      <c r="U38" s="129">
        <v>0</v>
      </c>
      <c r="V38" s="129">
        <v>0</v>
      </c>
      <c r="W38" s="129">
        <v>0</v>
      </c>
      <c r="X38" s="129">
        <v>0</v>
      </c>
      <c r="Y38" s="129">
        <v>0</v>
      </c>
      <c r="Z38" s="129">
        <v>0</v>
      </c>
      <c r="AA38" s="129">
        <v>0</v>
      </c>
      <c r="AB38" s="129">
        <v>0</v>
      </c>
      <c r="AC38" s="129">
        <v>0</v>
      </c>
      <c r="AD38" s="129">
        <v>0</v>
      </c>
      <c r="AE38" s="129">
        <v>0</v>
      </c>
      <c r="AF38" s="129">
        <v>0</v>
      </c>
      <c r="AG38" s="129">
        <v>0</v>
      </c>
      <c r="AH38" s="129">
        <v>0</v>
      </c>
      <c r="AI38" s="129">
        <v>0</v>
      </c>
      <c r="AJ38" s="129">
        <v>0</v>
      </c>
      <c r="AK38" s="129">
        <v>0</v>
      </c>
      <c r="AL38" s="129">
        <v>0</v>
      </c>
      <c r="AM38" s="662" t="s">
        <v>683</v>
      </c>
      <c r="AN38" s="324" t="s">
        <v>528</v>
      </c>
      <c r="AO38" s="663" t="s">
        <v>1913</v>
      </c>
      <c r="AP38" s="529" t="s">
        <v>1242</v>
      </c>
    </row>
    <row r="39" spans="1:42" ht="12.75" x14ac:dyDescent="0.2">
      <c r="A39" s="664">
        <v>32</v>
      </c>
      <c r="B39" s="665" t="s">
        <v>685</v>
      </c>
      <c r="C39" s="666" t="s">
        <v>486</v>
      </c>
      <c r="D39" s="667" t="s">
        <v>1202</v>
      </c>
      <c r="E39" s="668" t="s">
        <v>824</v>
      </c>
      <c r="F39" s="129">
        <v>128311709</v>
      </c>
      <c r="G39" s="129">
        <v>0</v>
      </c>
      <c r="H39" s="129">
        <v>128311709</v>
      </c>
      <c r="I39" s="129">
        <v>-1603896</v>
      </c>
      <c r="J39" s="129">
        <v>0</v>
      </c>
      <c r="K39" s="129">
        <v>-1603896</v>
      </c>
      <c r="L39" s="129">
        <v>-3531265</v>
      </c>
      <c r="M39" s="129">
        <v>0</v>
      </c>
      <c r="N39" s="129">
        <v>-3531265</v>
      </c>
      <c r="O39" s="129">
        <v>123176548</v>
      </c>
      <c r="P39" s="129">
        <v>0</v>
      </c>
      <c r="Q39" s="129">
        <v>123176548</v>
      </c>
      <c r="R39" s="129">
        <v>0</v>
      </c>
      <c r="S39" s="129">
        <v>0</v>
      </c>
      <c r="T39" s="129">
        <v>0</v>
      </c>
      <c r="U39" s="129">
        <v>0</v>
      </c>
      <c r="V39" s="129">
        <v>0</v>
      </c>
      <c r="W39" s="129">
        <v>0</v>
      </c>
      <c r="X39" s="129">
        <v>0</v>
      </c>
      <c r="Y39" s="129">
        <v>0</v>
      </c>
      <c r="Z39" s="129">
        <v>0</v>
      </c>
      <c r="AA39" s="129">
        <v>0</v>
      </c>
      <c r="AB39" s="129">
        <v>0</v>
      </c>
      <c r="AC39" s="129">
        <v>0</v>
      </c>
      <c r="AD39" s="129">
        <v>0</v>
      </c>
      <c r="AE39" s="129">
        <v>0</v>
      </c>
      <c r="AF39" s="129">
        <v>0</v>
      </c>
      <c r="AG39" s="129">
        <v>0</v>
      </c>
      <c r="AH39" s="129">
        <v>0</v>
      </c>
      <c r="AI39" s="129">
        <v>0</v>
      </c>
      <c r="AJ39" s="129">
        <v>0</v>
      </c>
      <c r="AK39" s="129">
        <v>0</v>
      </c>
      <c r="AL39" s="129">
        <v>0</v>
      </c>
      <c r="AM39" s="662" t="s">
        <v>824</v>
      </c>
      <c r="AN39" s="324" t="s">
        <v>486</v>
      </c>
      <c r="AO39" s="663" t="s">
        <v>524</v>
      </c>
      <c r="AP39" s="529" t="s">
        <v>1243</v>
      </c>
    </row>
    <row r="40" spans="1:42" ht="12.75" x14ac:dyDescent="0.2">
      <c r="A40" s="664">
        <v>33</v>
      </c>
      <c r="B40" s="665" t="s">
        <v>687</v>
      </c>
      <c r="C40" s="666" t="s">
        <v>486</v>
      </c>
      <c r="D40" s="667" t="s">
        <v>1224</v>
      </c>
      <c r="E40" s="668" t="s">
        <v>488</v>
      </c>
      <c r="F40" s="129">
        <v>198685819</v>
      </c>
      <c r="G40" s="129">
        <v>37326209</v>
      </c>
      <c r="H40" s="129">
        <v>236012028</v>
      </c>
      <c r="I40" s="129">
        <v>-3477002</v>
      </c>
      <c r="J40" s="129">
        <v>-653209</v>
      </c>
      <c r="K40" s="129">
        <v>-4130211</v>
      </c>
      <c r="L40" s="129">
        <v>-9338233</v>
      </c>
      <c r="M40" s="129">
        <v>-1754332</v>
      </c>
      <c r="N40" s="129">
        <v>-11092565</v>
      </c>
      <c r="O40" s="129">
        <v>185870584</v>
      </c>
      <c r="P40" s="129">
        <v>34918668</v>
      </c>
      <c r="Q40" s="129">
        <v>220789252</v>
      </c>
      <c r="R40" s="129">
        <v>17962</v>
      </c>
      <c r="S40" s="129">
        <v>151920</v>
      </c>
      <c r="T40" s="129">
        <v>169882</v>
      </c>
      <c r="U40" s="129">
        <v>0</v>
      </c>
      <c r="V40" s="129">
        <v>0</v>
      </c>
      <c r="W40" s="129">
        <v>0</v>
      </c>
      <c r="X40" s="129">
        <v>-14614</v>
      </c>
      <c r="Y40" s="129">
        <v>26593417</v>
      </c>
      <c r="Z40" s="129">
        <v>8158717</v>
      </c>
      <c r="AA40" s="129">
        <v>8158717</v>
      </c>
      <c r="AB40" s="129">
        <v>0</v>
      </c>
      <c r="AC40" s="129">
        <v>1180600</v>
      </c>
      <c r="AD40" s="129">
        <v>1180600</v>
      </c>
      <c r="AE40" s="129">
        <v>0</v>
      </c>
      <c r="AF40" s="129">
        <v>0</v>
      </c>
      <c r="AG40" s="129">
        <v>0</v>
      </c>
      <c r="AH40" s="129">
        <v>0</v>
      </c>
      <c r="AI40" s="129">
        <v>0</v>
      </c>
      <c r="AJ40" s="129">
        <v>0</v>
      </c>
      <c r="AK40" s="129">
        <v>0</v>
      </c>
      <c r="AL40" s="129">
        <v>0</v>
      </c>
      <c r="AM40" s="662" t="s">
        <v>488</v>
      </c>
      <c r="AN40" s="324" t="s">
        <v>486</v>
      </c>
      <c r="AO40" s="663" t="s">
        <v>487</v>
      </c>
      <c r="AP40" s="529" t="s">
        <v>1244</v>
      </c>
    </row>
    <row r="41" spans="1:42" ht="12.75" x14ac:dyDescent="0.2">
      <c r="A41" s="664">
        <v>34</v>
      </c>
      <c r="B41" s="665" t="s">
        <v>689</v>
      </c>
      <c r="C41" s="666" t="s">
        <v>1201</v>
      </c>
      <c r="D41" s="667" t="s">
        <v>1211</v>
      </c>
      <c r="E41" s="668" t="s">
        <v>688</v>
      </c>
      <c r="F41" s="129">
        <v>32539590</v>
      </c>
      <c r="G41" s="129">
        <v>0</v>
      </c>
      <c r="H41" s="129">
        <v>32539590</v>
      </c>
      <c r="I41" s="129">
        <v>-322500</v>
      </c>
      <c r="J41" s="129">
        <v>0</v>
      </c>
      <c r="K41" s="129">
        <v>-322500</v>
      </c>
      <c r="L41" s="129">
        <v>-590000</v>
      </c>
      <c r="M41" s="129">
        <v>0</v>
      </c>
      <c r="N41" s="129">
        <v>-590000</v>
      </c>
      <c r="O41" s="129">
        <v>31627090</v>
      </c>
      <c r="P41" s="129">
        <v>0</v>
      </c>
      <c r="Q41" s="129">
        <v>31627090</v>
      </c>
      <c r="R41" s="129">
        <v>154612</v>
      </c>
      <c r="S41" s="129">
        <v>0</v>
      </c>
      <c r="T41" s="129">
        <v>154612</v>
      </c>
      <c r="U41" s="129">
        <v>0</v>
      </c>
      <c r="V41" s="129">
        <v>0</v>
      </c>
      <c r="W41" s="129">
        <v>0</v>
      </c>
      <c r="X41" s="129">
        <v>0</v>
      </c>
      <c r="Y41" s="129">
        <v>0</v>
      </c>
      <c r="Z41" s="129">
        <v>0</v>
      </c>
      <c r="AA41" s="129">
        <v>0</v>
      </c>
      <c r="AB41" s="129">
        <v>0</v>
      </c>
      <c r="AC41" s="129">
        <v>0</v>
      </c>
      <c r="AD41" s="129">
        <v>0</v>
      </c>
      <c r="AE41" s="129">
        <v>0</v>
      </c>
      <c r="AF41" s="129">
        <v>0</v>
      </c>
      <c r="AG41" s="129">
        <v>0</v>
      </c>
      <c r="AH41" s="129">
        <v>0</v>
      </c>
      <c r="AI41" s="129">
        <v>0</v>
      </c>
      <c r="AJ41" s="129">
        <v>0</v>
      </c>
      <c r="AK41" s="129">
        <v>0</v>
      </c>
      <c r="AL41" s="129">
        <v>0</v>
      </c>
      <c r="AM41" s="662" t="s">
        <v>688</v>
      </c>
      <c r="AN41" s="324" t="s">
        <v>553</v>
      </c>
      <c r="AO41" s="663" t="s">
        <v>512</v>
      </c>
      <c r="AP41" s="529" t="s">
        <v>1245</v>
      </c>
    </row>
    <row r="42" spans="1:42" ht="14.25" x14ac:dyDescent="0.2">
      <c r="A42" s="664">
        <v>35</v>
      </c>
      <c r="B42" s="665" t="s">
        <v>691</v>
      </c>
      <c r="C42" s="666" t="s">
        <v>1213</v>
      </c>
      <c r="D42" s="667" t="s">
        <v>1214</v>
      </c>
      <c r="E42" s="668" t="s">
        <v>1919</v>
      </c>
      <c r="F42" s="129">
        <v>99976565</v>
      </c>
      <c r="G42" s="129">
        <v>0</v>
      </c>
      <c r="H42" s="129">
        <v>99976565</v>
      </c>
      <c r="I42" s="129">
        <v>-627000</v>
      </c>
      <c r="J42" s="129">
        <v>0</v>
      </c>
      <c r="K42" s="129">
        <v>-627000</v>
      </c>
      <c r="L42" s="129">
        <v>-2410751</v>
      </c>
      <c r="M42" s="129">
        <v>0</v>
      </c>
      <c r="N42" s="129">
        <v>-2410751</v>
      </c>
      <c r="O42" s="129">
        <v>96938814</v>
      </c>
      <c r="P42" s="129">
        <v>0</v>
      </c>
      <c r="Q42" s="129">
        <v>96938814</v>
      </c>
      <c r="R42" s="129">
        <v>0</v>
      </c>
      <c r="S42" s="129">
        <v>0</v>
      </c>
      <c r="T42" s="129">
        <v>0</v>
      </c>
      <c r="U42" s="129">
        <v>0</v>
      </c>
      <c r="V42" s="129">
        <v>0</v>
      </c>
      <c r="W42" s="129">
        <v>0</v>
      </c>
      <c r="X42" s="129">
        <v>0</v>
      </c>
      <c r="Y42" s="129">
        <v>0</v>
      </c>
      <c r="Z42" s="129">
        <v>0</v>
      </c>
      <c r="AA42" s="129">
        <v>0</v>
      </c>
      <c r="AB42" s="129">
        <v>0</v>
      </c>
      <c r="AC42" s="129">
        <v>0</v>
      </c>
      <c r="AD42" s="129">
        <v>0</v>
      </c>
      <c r="AE42" s="129">
        <v>0</v>
      </c>
      <c r="AF42" s="129">
        <v>0</v>
      </c>
      <c r="AG42" s="129">
        <v>0</v>
      </c>
      <c r="AH42" s="129">
        <v>0</v>
      </c>
      <c r="AI42" s="129">
        <v>0</v>
      </c>
      <c r="AJ42" s="129">
        <v>0</v>
      </c>
      <c r="AK42" s="129">
        <v>0</v>
      </c>
      <c r="AL42" s="129">
        <v>0</v>
      </c>
      <c r="AM42" s="662" t="s">
        <v>690</v>
      </c>
      <c r="AN42" s="324" t="s">
        <v>576</v>
      </c>
      <c r="AO42" s="669" t="s">
        <v>485</v>
      </c>
      <c r="AP42" s="529" t="s">
        <v>1246</v>
      </c>
    </row>
    <row r="43" spans="1:42" ht="12.75" x14ac:dyDescent="0.2">
      <c r="A43" s="664">
        <v>36</v>
      </c>
      <c r="B43" s="665" t="s">
        <v>693</v>
      </c>
      <c r="C43" s="666" t="s">
        <v>1201</v>
      </c>
      <c r="D43" s="667" t="s">
        <v>1228</v>
      </c>
      <c r="E43" s="668" t="s">
        <v>692</v>
      </c>
      <c r="F43" s="129">
        <v>26962685</v>
      </c>
      <c r="G43" s="129">
        <v>0</v>
      </c>
      <c r="H43" s="129">
        <v>26962685</v>
      </c>
      <c r="I43" s="129">
        <v>-269627</v>
      </c>
      <c r="J43" s="129">
        <v>0</v>
      </c>
      <c r="K43" s="129">
        <v>-269627</v>
      </c>
      <c r="L43" s="129">
        <v>-808881</v>
      </c>
      <c r="M43" s="129">
        <v>0</v>
      </c>
      <c r="N43" s="129">
        <v>-808881</v>
      </c>
      <c r="O43" s="129">
        <v>25884177</v>
      </c>
      <c r="P43" s="129">
        <v>0</v>
      </c>
      <c r="Q43" s="129">
        <v>25884177</v>
      </c>
      <c r="R43" s="129">
        <v>0</v>
      </c>
      <c r="S43" s="129">
        <v>0</v>
      </c>
      <c r="T43" s="129">
        <v>0</v>
      </c>
      <c r="U43" s="129">
        <v>0</v>
      </c>
      <c r="V43" s="129">
        <v>0</v>
      </c>
      <c r="W43" s="129">
        <v>0</v>
      </c>
      <c r="X43" s="129">
        <v>0</v>
      </c>
      <c r="Y43" s="129">
        <v>0</v>
      </c>
      <c r="Z43" s="129">
        <v>0</v>
      </c>
      <c r="AA43" s="129">
        <v>0</v>
      </c>
      <c r="AB43" s="129">
        <v>0</v>
      </c>
      <c r="AC43" s="129">
        <v>0</v>
      </c>
      <c r="AD43" s="129">
        <v>0</v>
      </c>
      <c r="AE43" s="129">
        <v>0</v>
      </c>
      <c r="AF43" s="129">
        <v>0</v>
      </c>
      <c r="AG43" s="129">
        <v>0</v>
      </c>
      <c r="AH43" s="129">
        <v>0</v>
      </c>
      <c r="AI43" s="129">
        <v>0</v>
      </c>
      <c r="AJ43" s="129">
        <v>0</v>
      </c>
      <c r="AK43" s="129">
        <v>0</v>
      </c>
      <c r="AL43" s="129">
        <v>0</v>
      </c>
      <c r="AM43" s="662" t="s">
        <v>692</v>
      </c>
      <c r="AN43" s="324" t="s">
        <v>535</v>
      </c>
      <c r="AO43" s="663" t="s">
        <v>534</v>
      </c>
      <c r="AP43" s="529" t="s">
        <v>1247</v>
      </c>
    </row>
    <row r="44" spans="1:42" ht="12.75" x14ac:dyDescent="0.2">
      <c r="A44" s="664">
        <v>37</v>
      </c>
      <c r="B44" s="665" t="s">
        <v>695</v>
      </c>
      <c r="C44" s="666" t="s">
        <v>1201</v>
      </c>
      <c r="D44" s="667" t="s">
        <v>1211</v>
      </c>
      <c r="E44" s="668" t="s">
        <v>694</v>
      </c>
      <c r="F44" s="129">
        <v>41573166</v>
      </c>
      <c r="G44" s="129">
        <v>0</v>
      </c>
      <c r="H44" s="129">
        <v>41573166</v>
      </c>
      <c r="I44" s="129">
        <v>-981933</v>
      </c>
      <c r="J44" s="129">
        <v>0</v>
      </c>
      <c r="K44" s="129">
        <v>-981933</v>
      </c>
      <c r="L44" s="129">
        <v>-1314652</v>
      </c>
      <c r="M44" s="129">
        <v>0</v>
      </c>
      <c r="N44" s="129">
        <v>-1314652</v>
      </c>
      <c r="O44" s="129">
        <v>39276581</v>
      </c>
      <c r="P44" s="129">
        <v>0</v>
      </c>
      <c r="Q44" s="129">
        <v>39276581</v>
      </c>
      <c r="R44" s="129">
        <v>0</v>
      </c>
      <c r="S44" s="129">
        <v>0</v>
      </c>
      <c r="T44" s="129">
        <v>0</v>
      </c>
      <c r="U44" s="129">
        <v>0</v>
      </c>
      <c r="V44" s="129">
        <v>0</v>
      </c>
      <c r="W44" s="129">
        <v>0</v>
      </c>
      <c r="X44" s="129">
        <v>0</v>
      </c>
      <c r="Y44" s="129">
        <v>0</v>
      </c>
      <c r="Z44" s="129">
        <v>0</v>
      </c>
      <c r="AA44" s="129">
        <v>0</v>
      </c>
      <c r="AB44" s="129">
        <v>0</v>
      </c>
      <c r="AC44" s="129">
        <v>0</v>
      </c>
      <c r="AD44" s="129">
        <v>0</v>
      </c>
      <c r="AE44" s="129">
        <v>0</v>
      </c>
      <c r="AF44" s="129">
        <v>0</v>
      </c>
      <c r="AG44" s="129">
        <v>0</v>
      </c>
      <c r="AH44" s="129">
        <v>0</v>
      </c>
      <c r="AI44" s="129">
        <v>0</v>
      </c>
      <c r="AJ44" s="129">
        <v>0</v>
      </c>
      <c r="AK44" s="129">
        <v>0</v>
      </c>
      <c r="AL44" s="129">
        <v>0</v>
      </c>
      <c r="AM44" s="662" t="s">
        <v>694</v>
      </c>
      <c r="AN44" s="324" t="s">
        <v>536</v>
      </c>
      <c r="AO44" s="663" t="s">
        <v>512</v>
      </c>
      <c r="AP44" s="529" t="s">
        <v>1248</v>
      </c>
    </row>
    <row r="45" spans="1:42" ht="12.75" x14ac:dyDescent="0.2">
      <c r="A45" s="664">
        <v>38</v>
      </c>
      <c r="B45" s="665" t="s">
        <v>697</v>
      </c>
      <c r="C45" s="666" t="s">
        <v>1201</v>
      </c>
      <c r="D45" s="667" t="s">
        <v>1206</v>
      </c>
      <c r="E45" s="668" t="s">
        <v>696</v>
      </c>
      <c r="F45" s="129">
        <v>29152485</v>
      </c>
      <c r="G45" s="129">
        <v>430007</v>
      </c>
      <c r="H45" s="129">
        <v>29582492</v>
      </c>
      <c r="I45" s="129">
        <v>-150000</v>
      </c>
      <c r="J45" s="129">
        <v>0</v>
      </c>
      <c r="K45" s="129">
        <v>-150000</v>
      </c>
      <c r="L45" s="129">
        <v>-237000</v>
      </c>
      <c r="M45" s="129">
        <v>0</v>
      </c>
      <c r="N45" s="129">
        <v>-237000</v>
      </c>
      <c r="O45" s="129">
        <v>28765485</v>
      </c>
      <c r="P45" s="129">
        <v>430007</v>
      </c>
      <c r="Q45" s="129">
        <v>29195492</v>
      </c>
      <c r="R45" s="129">
        <v>0</v>
      </c>
      <c r="S45" s="129">
        <v>0</v>
      </c>
      <c r="T45" s="129">
        <v>0</v>
      </c>
      <c r="U45" s="129">
        <v>0</v>
      </c>
      <c r="V45" s="129">
        <v>0</v>
      </c>
      <c r="W45" s="129">
        <v>0</v>
      </c>
      <c r="X45" s="129">
        <v>0</v>
      </c>
      <c r="Y45" s="129">
        <v>1266763</v>
      </c>
      <c r="Z45" s="129">
        <v>0</v>
      </c>
      <c r="AA45" s="129">
        <v>0</v>
      </c>
      <c r="AB45" s="129">
        <v>0</v>
      </c>
      <c r="AC45" s="129">
        <v>0</v>
      </c>
      <c r="AD45" s="129">
        <v>0</v>
      </c>
      <c r="AE45" s="129">
        <v>0</v>
      </c>
      <c r="AF45" s="129">
        <v>110000</v>
      </c>
      <c r="AG45" s="129">
        <v>110000</v>
      </c>
      <c r="AH45" s="129">
        <v>0</v>
      </c>
      <c r="AI45" s="129">
        <v>0</v>
      </c>
      <c r="AJ45" s="129">
        <v>0</v>
      </c>
      <c r="AK45" s="129">
        <v>110000</v>
      </c>
      <c r="AL45" s="129">
        <v>110000</v>
      </c>
      <c r="AM45" s="662" t="s">
        <v>696</v>
      </c>
      <c r="AN45" s="324" t="s">
        <v>559</v>
      </c>
      <c r="AO45" s="663" t="s">
        <v>558</v>
      </c>
      <c r="AP45" s="529" t="s">
        <v>1249</v>
      </c>
    </row>
    <row r="46" spans="1:42" ht="12.75" x14ac:dyDescent="0.2">
      <c r="A46" s="664">
        <v>39</v>
      </c>
      <c r="B46" s="665" t="s">
        <v>1048</v>
      </c>
      <c r="C46" s="666" t="s">
        <v>486</v>
      </c>
      <c r="D46" s="667" t="s">
        <v>1202</v>
      </c>
      <c r="E46" s="668" t="s">
        <v>1250</v>
      </c>
      <c r="F46" s="129">
        <v>194018281</v>
      </c>
      <c r="G46" s="129">
        <v>2223937</v>
      </c>
      <c r="H46" s="129">
        <v>196242218</v>
      </c>
      <c r="I46" s="129">
        <v>-27560480</v>
      </c>
      <c r="J46" s="129">
        <v>0</v>
      </c>
      <c r="K46" s="129">
        <v>-27560480</v>
      </c>
      <c r="L46" s="129">
        <v>-5002391</v>
      </c>
      <c r="M46" s="129">
        <v>0</v>
      </c>
      <c r="N46" s="129">
        <v>-5002391</v>
      </c>
      <c r="O46" s="129">
        <v>161455410</v>
      </c>
      <c r="P46" s="129">
        <v>2223937</v>
      </c>
      <c r="Q46" s="129">
        <v>163679347</v>
      </c>
      <c r="R46" s="129">
        <v>235520</v>
      </c>
      <c r="S46" s="129">
        <v>0</v>
      </c>
      <c r="T46" s="129">
        <v>235520</v>
      </c>
      <c r="U46" s="129">
        <v>0</v>
      </c>
      <c r="V46" s="129">
        <v>0</v>
      </c>
      <c r="W46" s="129">
        <v>0</v>
      </c>
      <c r="X46" s="129">
        <v>0</v>
      </c>
      <c r="Y46" s="129">
        <v>26680</v>
      </c>
      <c r="Z46" s="129">
        <v>2197257</v>
      </c>
      <c r="AA46" s="129">
        <v>2197257</v>
      </c>
      <c r="AB46" s="129">
        <v>0</v>
      </c>
      <c r="AC46" s="129">
        <v>0</v>
      </c>
      <c r="AD46" s="129">
        <v>0</v>
      </c>
      <c r="AE46" s="129">
        <v>0</v>
      </c>
      <c r="AF46" s="129">
        <v>0</v>
      </c>
      <c r="AG46" s="129">
        <v>0</v>
      </c>
      <c r="AH46" s="129">
        <v>0</v>
      </c>
      <c r="AI46" s="129">
        <v>0</v>
      </c>
      <c r="AJ46" s="129">
        <v>0</v>
      </c>
      <c r="AK46" s="129">
        <v>0</v>
      </c>
      <c r="AL46" s="129">
        <v>0</v>
      </c>
      <c r="AM46" s="662" t="s">
        <v>1251</v>
      </c>
      <c r="AN46" s="324" t="s">
        <v>486</v>
      </c>
      <c r="AO46" s="663" t="s">
        <v>500</v>
      </c>
      <c r="AP46" s="529" t="s">
        <v>1252</v>
      </c>
    </row>
    <row r="47" spans="1:42" ht="12.75" x14ac:dyDescent="0.2">
      <c r="A47" s="664">
        <v>40</v>
      </c>
      <c r="B47" s="665" t="s">
        <v>699</v>
      </c>
      <c r="C47" s="666" t="s">
        <v>1201</v>
      </c>
      <c r="D47" s="667" t="s">
        <v>1204</v>
      </c>
      <c r="E47" s="668" t="s">
        <v>698</v>
      </c>
      <c r="F47" s="129">
        <v>30440408</v>
      </c>
      <c r="G47" s="129">
        <v>0</v>
      </c>
      <c r="H47" s="129">
        <v>30440408</v>
      </c>
      <c r="I47" s="129">
        <v>-608808</v>
      </c>
      <c r="J47" s="129">
        <v>0</v>
      </c>
      <c r="K47" s="129">
        <v>-608808</v>
      </c>
      <c r="L47" s="129">
        <v>-1522020</v>
      </c>
      <c r="M47" s="129">
        <v>0</v>
      </c>
      <c r="N47" s="129">
        <v>-1522020</v>
      </c>
      <c r="O47" s="129">
        <v>28309580</v>
      </c>
      <c r="P47" s="129">
        <v>0</v>
      </c>
      <c r="Q47" s="129">
        <v>28309580</v>
      </c>
      <c r="R47" s="129">
        <v>249834</v>
      </c>
      <c r="S47" s="129">
        <v>0</v>
      </c>
      <c r="T47" s="129">
        <v>249834</v>
      </c>
      <c r="U47" s="129">
        <v>0</v>
      </c>
      <c r="V47" s="129">
        <v>0</v>
      </c>
      <c r="W47" s="129">
        <v>0</v>
      </c>
      <c r="X47" s="129">
        <v>0</v>
      </c>
      <c r="Y47" s="129">
        <v>0</v>
      </c>
      <c r="Z47" s="129">
        <v>0</v>
      </c>
      <c r="AA47" s="129">
        <v>0</v>
      </c>
      <c r="AB47" s="129">
        <v>0</v>
      </c>
      <c r="AC47" s="129">
        <v>0</v>
      </c>
      <c r="AD47" s="129">
        <v>0</v>
      </c>
      <c r="AE47" s="129">
        <v>0</v>
      </c>
      <c r="AF47" s="129">
        <v>0</v>
      </c>
      <c r="AG47" s="129">
        <v>0</v>
      </c>
      <c r="AH47" s="129">
        <v>0</v>
      </c>
      <c r="AI47" s="129">
        <v>0</v>
      </c>
      <c r="AJ47" s="129">
        <v>0</v>
      </c>
      <c r="AK47" s="129">
        <v>0</v>
      </c>
      <c r="AL47" s="129">
        <v>0</v>
      </c>
      <c r="AM47" s="662" t="s">
        <v>698</v>
      </c>
      <c r="AN47" s="324" t="s">
        <v>547</v>
      </c>
      <c r="AO47" s="663" t="s">
        <v>545</v>
      </c>
      <c r="AP47" s="529" t="s">
        <v>1253</v>
      </c>
    </row>
    <row r="48" spans="1:42" ht="12.75" x14ac:dyDescent="0.2">
      <c r="A48" s="664">
        <v>41</v>
      </c>
      <c r="B48" s="665" t="s">
        <v>701</v>
      </c>
      <c r="C48" s="666" t="s">
        <v>1217</v>
      </c>
      <c r="D48" s="667" t="s">
        <v>1204</v>
      </c>
      <c r="E48" s="668" t="s">
        <v>700</v>
      </c>
      <c r="F48" s="129">
        <v>53767506</v>
      </c>
      <c r="G48" s="129">
        <v>0</v>
      </c>
      <c r="H48" s="129">
        <v>53767506</v>
      </c>
      <c r="I48" s="129">
        <v>-2000000</v>
      </c>
      <c r="J48" s="129">
        <v>0</v>
      </c>
      <c r="K48" s="129">
        <v>-2000000</v>
      </c>
      <c r="L48" s="129">
        <v>-900000</v>
      </c>
      <c r="M48" s="129">
        <v>0</v>
      </c>
      <c r="N48" s="129">
        <v>-900000</v>
      </c>
      <c r="O48" s="129">
        <v>50867506</v>
      </c>
      <c r="P48" s="129">
        <v>0</v>
      </c>
      <c r="Q48" s="129">
        <v>50867506</v>
      </c>
      <c r="R48" s="129">
        <v>0</v>
      </c>
      <c r="S48" s="129">
        <v>0</v>
      </c>
      <c r="T48" s="129">
        <v>0</v>
      </c>
      <c r="U48" s="129">
        <v>0</v>
      </c>
      <c r="V48" s="129">
        <v>0</v>
      </c>
      <c r="W48" s="129">
        <v>0</v>
      </c>
      <c r="X48" s="129">
        <v>0</v>
      </c>
      <c r="Y48" s="129">
        <v>0</v>
      </c>
      <c r="Z48" s="129">
        <v>0</v>
      </c>
      <c r="AA48" s="129">
        <v>0</v>
      </c>
      <c r="AB48" s="129">
        <v>0</v>
      </c>
      <c r="AC48" s="129">
        <v>0</v>
      </c>
      <c r="AD48" s="129">
        <v>0</v>
      </c>
      <c r="AE48" s="129">
        <v>0</v>
      </c>
      <c r="AF48" s="129">
        <v>0</v>
      </c>
      <c r="AG48" s="129">
        <v>0</v>
      </c>
      <c r="AH48" s="129">
        <v>0</v>
      </c>
      <c r="AI48" s="129">
        <v>0</v>
      </c>
      <c r="AJ48" s="129">
        <v>0</v>
      </c>
      <c r="AK48" s="129">
        <v>0</v>
      </c>
      <c r="AL48" s="129">
        <v>0</v>
      </c>
      <c r="AM48" s="662" t="s">
        <v>700</v>
      </c>
      <c r="AN48" s="324" t="s">
        <v>570</v>
      </c>
      <c r="AO48" s="663" t="s">
        <v>1915</v>
      </c>
      <c r="AP48" s="529" t="s">
        <v>1254</v>
      </c>
    </row>
    <row r="49" spans="1:42" ht="12.75" x14ac:dyDescent="0.2">
      <c r="A49" s="664">
        <v>42</v>
      </c>
      <c r="B49" s="665" t="s">
        <v>703</v>
      </c>
      <c r="C49" s="666" t="s">
        <v>1217</v>
      </c>
      <c r="D49" s="667" t="s">
        <v>1218</v>
      </c>
      <c r="E49" s="668" t="s">
        <v>702</v>
      </c>
      <c r="F49" s="129">
        <v>60559623</v>
      </c>
      <c r="G49" s="129">
        <v>0</v>
      </c>
      <c r="H49" s="129">
        <v>60559623</v>
      </c>
      <c r="I49" s="129">
        <v>-1816789</v>
      </c>
      <c r="J49" s="129">
        <v>0</v>
      </c>
      <c r="K49" s="129">
        <v>-1816789</v>
      </c>
      <c r="L49" s="129">
        <v>-4788987</v>
      </c>
      <c r="M49" s="129">
        <v>0</v>
      </c>
      <c r="N49" s="129">
        <v>-4788987</v>
      </c>
      <c r="O49" s="129">
        <v>53953847</v>
      </c>
      <c r="P49" s="129">
        <v>0</v>
      </c>
      <c r="Q49" s="129">
        <v>53953847</v>
      </c>
      <c r="R49" s="129">
        <v>454894</v>
      </c>
      <c r="S49" s="129">
        <v>0</v>
      </c>
      <c r="T49" s="129">
        <v>454894</v>
      </c>
      <c r="U49" s="129">
        <v>0</v>
      </c>
      <c r="V49" s="129">
        <v>0</v>
      </c>
      <c r="W49" s="129">
        <v>0</v>
      </c>
      <c r="X49" s="129">
        <v>0</v>
      </c>
      <c r="Y49" s="129">
        <v>0</v>
      </c>
      <c r="Z49" s="129">
        <v>0</v>
      </c>
      <c r="AA49" s="129">
        <v>0</v>
      </c>
      <c r="AB49" s="129">
        <v>0</v>
      </c>
      <c r="AC49" s="129">
        <v>0</v>
      </c>
      <c r="AD49" s="129">
        <v>0</v>
      </c>
      <c r="AE49" s="129">
        <v>0</v>
      </c>
      <c r="AF49" s="129">
        <v>0</v>
      </c>
      <c r="AG49" s="129">
        <v>0</v>
      </c>
      <c r="AH49" s="129">
        <v>0</v>
      </c>
      <c r="AI49" s="129">
        <v>0</v>
      </c>
      <c r="AJ49" s="129">
        <v>0</v>
      </c>
      <c r="AK49" s="129">
        <v>0</v>
      </c>
      <c r="AL49" s="129">
        <v>0</v>
      </c>
      <c r="AM49" s="662" t="s">
        <v>702</v>
      </c>
      <c r="AN49" s="324" t="s">
        <v>570</v>
      </c>
      <c r="AO49" s="663" t="s">
        <v>575</v>
      </c>
      <c r="AP49" s="529" t="s">
        <v>1255</v>
      </c>
    </row>
    <row r="50" spans="1:42" ht="12.75" x14ac:dyDescent="0.2">
      <c r="A50" s="664">
        <v>43</v>
      </c>
      <c r="B50" s="665" t="s">
        <v>705</v>
      </c>
      <c r="C50" s="666" t="s">
        <v>1201</v>
      </c>
      <c r="D50" s="667" t="s">
        <v>1211</v>
      </c>
      <c r="E50" s="668" t="s">
        <v>704</v>
      </c>
      <c r="F50" s="129">
        <v>120879143</v>
      </c>
      <c r="G50" s="129">
        <v>0</v>
      </c>
      <c r="H50" s="129">
        <v>120879143</v>
      </c>
      <c r="I50" s="129">
        <v>-1813187</v>
      </c>
      <c r="J50" s="129">
        <v>0</v>
      </c>
      <c r="K50" s="129">
        <v>-1813187</v>
      </c>
      <c r="L50" s="129">
        <v>-10978180</v>
      </c>
      <c r="M50" s="129">
        <v>0</v>
      </c>
      <c r="N50" s="129">
        <v>-10978180</v>
      </c>
      <c r="O50" s="129">
        <v>108087776</v>
      </c>
      <c r="P50" s="129">
        <v>0</v>
      </c>
      <c r="Q50" s="129">
        <v>108087776</v>
      </c>
      <c r="R50" s="129">
        <v>0</v>
      </c>
      <c r="S50" s="129">
        <v>0</v>
      </c>
      <c r="T50" s="129">
        <v>0</v>
      </c>
      <c r="U50" s="129">
        <v>0</v>
      </c>
      <c r="V50" s="129">
        <v>0</v>
      </c>
      <c r="W50" s="129">
        <v>0</v>
      </c>
      <c r="X50" s="129">
        <v>0</v>
      </c>
      <c r="Y50" s="129">
        <v>0</v>
      </c>
      <c r="Z50" s="129">
        <v>0</v>
      </c>
      <c r="AA50" s="129">
        <v>0</v>
      </c>
      <c r="AB50" s="129">
        <v>0</v>
      </c>
      <c r="AC50" s="129">
        <v>0</v>
      </c>
      <c r="AD50" s="129">
        <v>0</v>
      </c>
      <c r="AE50" s="129">
        <v>0</v>
      </c>
      <c r="AF50" s="129">
        <v>0</v>
      </c>
      <c r="AG50" s="129">
        <v>0</v>
      </c>
      <c r="AH50" s="129">
        <v>0</v>
      </c>
      <c r="AI50" s="129">
        <v>0</v>
      </c>
      <c r="AJ50" s="129">
        <v>0</v>
      </c>
      <c r="AK50" s="129">
        <v>0</v>
      </c>
      <c r="AL50" s="129">
        <v>0</v>
      </c>
      <c r="AM50" s="662" t="s">
        <v>704</v>
      </c>
      <c r="AN50" s="324" t="s">
        <v>503</v>
      </c>
      <c r="AO50" s="663" t="s">
        <v>502</v>
      </c>
      <c r="AP50" s="529" t="s">
        <v>1256</v>
      </c>
    </row>
    <row r="51" spans="1:42" ht="12.75" x14ac:dyDescent="0.2">
      <c r="A51" s="664">
        <v>44</v>
      </c>
      <c r="B51" s="665" t="s">
        <v>707</v>
      </c>
      <c r="C51" s="666" t="s">
        <v>1257</v>
      </c>
      <c r="D51" s="667" t="s">
        <v>1214</v>
      </c>
      <c r="E51" s="668" t="s">
        <v>706</v>
      </c>
      <c r="F51" s="129">
        <v>713854022</v>
      </c>
      <c r="G51" s="129">
        <v>0</v>
      </c>
      <c r="H51" s="129">
        <v>713854022</v>
      </c>
      <c r="I51" s="129">
        <v>-35679696</v>
      </c>
      <c r="J51" s="129">
        <v>0</v>
      </c>
      <c r="K51" s="129">
        <v>-35679696</v>
      </c>
      <c r="L51" s="129">
        <v>-33520245</v>
      </c>
      <c r="M51" s="129">
        <v>0</v>
      </c>
      <c r="N51" s="129">
        <v>-33520245</v>
      </c>
      <c r="O51" s="129">
        <v>644654081</v>
      </c>
      <c r="P51" s="129">
        <v>0</v>
      </c>
      <c r="Q51" s="129">
        <v>644654081</v>
      </c>
      <c r="R51" s="129">
        <v>0</v>
      </c>
      <c r="S51" s="129">
        <v>0</v>
      </c>
      <c r="T51" s="129">
        <v>0</v>
      </c>
      <c r="U51" s="129">
        <v>0</v>
      </c>
      <c r="V51" s="129">
        <v>0</v>
      </c>
      <c r="W51" s="129">
        <v>0</v>
      </c>
      <c r="X51" s="129">
        <v>0</v>
      </c>
      <c r="Y51" s="129">
        <v>0</v>
      </c>
      <c r="Z51" s="129">
        <v>0</v>
      </c>
      <c r="AA51" s="129">
        <v>0</v>
      </c>
      <c r="AB51" s="129">
        <v>0</v>
      </c>
      <c r="AC51" s="129">
        <v>0</v>
      </c>
      <c r="AD51" s="129">
        <v>0</v>
      </c>
      <c r="AE51" s="129">
        <v>0</v>
      </c>
      <c r="AF51" s="129">
        <v>0</v>
      </c>
      <c r="AG51" s="129">
        <v>0</v>
      </c>
      <c r="AH51" s="129">
        <v>0</v>
      </c>
      <c r="AI51" s="129">
        <v>0</v>
      </c>
      <c r="AJ51" s="129">
        <v>0</v>
      </c>
      <c r="AK51" s="129">
        <v>0</v>
      </c>
      <c r="AL51" s="129">
        <v>0</v>
      </c>
      <c r="AM51" s="662" t="s">
        <v>706</v>
      </c>
      <c r="AN51" s="324" t="s">
        <v>576</v>
      </c>
      <c r="AO51" s="669" t="s">
        <v>485</v>
      </c>
      <c r="AP51" s="529" t="s">
        <v>1258</v>
      </c>
    </row>
    <row r="52" spans="1:42" ht="12.75" x14ac:dyDescent="0.2">
      <c r="A52" s="664">
        <v>45</v>
      </c>
      <c r="B52" s="665" t="s">
        <v>709</v>
      </c>
      <c r="C52" s="666" t="s">
        <v>1201</v>
      </c>
      <c r="D52" s="667" t="s">
        <v>1228</v>
      </c>
      <c r="E52" s="668" t="s">
        <v>708</v>
      </c>
      <c r="F52" s="129">
        <v>37305444</v>
      </c>
      <c r="G52" s="129">
        <v>0</v>
      </c>
      <c r="H52" s="129">
        <v>37305444</v>
      </c>
      <c r="I52" s="129">
        <v>-750000</v>
      </c>
      <c r="J52" s="129">
        <v>0</v>
      </c>
      <c r="K52" s="129">
        <v>-750000</v>
      </c>
      <c r="L52" s="129">
        <v>-897258</v>
      </c>
      <c r="M52" s="129">
        <v>0</v>
      </c>
      <c r="N52" s="129">
        <v>-897258</v>
      </c>
      <c r="O52" s="129">
        <v>35658186</v>
      </c>
      <c r="P52" s="129">
        <v>0</v>
      </c>
      <c r="Q52" s="129">
        <v>35658186</v>
      </c>
      <c r="R52" s="129">
        <v>0</v>
      </c>
      <c r="S52" s="129">
        <v>0</v>
      </c>
      <c r="T52" s="129">
        <v>0</v>
      </c>
      <c r="U52" s="129">
        <v>0</v>
      </c>
      <c r="V52" s="129">
        <v>0</v>
      </c>
      <c r="W52" s="129">
        <v>0</v>
      </c>
      <c r="X52" s="129">
        <v>0</v>
      </c>
      <c r="Y52" s="129">
        <v>0</v>
      </c>
      <c r="Z52" s="129">
        <v>0</v>
      </c>
      <c r="AA52" s="129">
        <v>0</v>
      </c>
      <c r="AB52" s="129">
        <v>0</v>
      </c>
      <c r="AC52" s="129">
        <v>0</v>
      </c>
      <c r="AD52" s="129">
        <v>0</v>
      </c>
      <c r="AE52" s="129">
        <v>0</v>
      </c>
      <c r="AF52" s="129">
        <v>0</v>
      </c>
      <c r="AG52" s="129">
        <v>0</v>
      </c>
      <c r="AH52" s="129">
        <v>0</v>
      </c>
      <c r="AI52" s="129">
        <v>0</v>
      </c>
      <c r="AJ52" s="129">
        <v>0</v>
      </c>
      <c r="AK52" s="129">
        <v>0</v>
      </c>
      <c r="AL52" s="129">
        <v>0</v>
      </c>
      <c r="AM52" s="662" t="s">
        <v>708</v>
      </c>
      <c r="AN52" s="324" t="s">
        <v>564</v>
      </c>
      <c r="AO52" s="663" t="s">
        <v>1917</v>
      </c>
      <c r="AP52" s="529" t="s">
        <v>1259</v>
      </c>
    </row>
    <row r="53" spans="1:42" ht="12.75" x14ac:dyDescent="0.2">
      <c r="A53" s="664">
        <v>46</v>
      </c>
      <c r="B53" s="665" t="s">
        <v>711</v>
      </c>
      <c r="C53" s="666" t="s">
        <v>1201</v>
      </c>
      <c r="D53" s="667" t="s">
        <v>1202</v>
      </c>
      <c r="E53" s="668" t="s">
        <v>710</v>
      </c>
      <c r="F53" s="129">
        <v>56986791</v>
      </c>
      <c r="G53" s="129">
        <v>0</v>
      </c>
      <c r="H53" s="129">
        <v>56986791</v>
      </c>
      <c r="I53" s="129">
        <v>-1253710</v>
      </c>
      <c r="J53" s="129">
        <v>0</v>
      </c>
      <c r="K53" s="129">
        <v>-1253710</v>
      </c>
      <c r="L53" s="129">
        <v>-6518232</v>
      </c>
      <c r="M53" s="129">
        <v>0</v>
      </c>
      <c r="N53" s="129">
        <v>-6518232</v>
      </c>
      <c r="O53" s="129">
        <v>49214849</v>
      </c>
      <c r="P53" s="129">
        <v>0</v>
      </c>
      <c r="Q53" s="129">
        <v>49214849</v>
      </c>
      <c r="R53" s="129">
        <v>289809</v>
      </c>
      <c r="S53" s="129">
        <v>0</v>
      </c>
      <c r="T53" s="129">
        <v>289809</v>
      </c>
      <c r="U53" s="129">
        <v>0</v>
      </c>
      <c r="V53" s="129">
        <v>0</v>
      </c>
      <c r="W53" s="129">
        <v>0</v>
      </c>
      <c r="X53" s="129">
        <v>0</v>
      </c>
      <c r="Y53" s="129">
        <v>0</v>
      </c>
      <c r="Z53" s="129">
        <v>0</v>
      </c>
      <c r="AA53" s="129">
        <v>0</v>
      </c>
      <c r="AB53" s="129">
        <v>0</v>
      </c>
      <c r="AC53" s="129">
        <v>0</v>
      </c>
      <c r="AD53" s="129">
        <v>0</v>
      </c>
      <c r="AE53" s="129">
        <v>0</v>
      </c>
      <c r="AF53" s="129">
        <v>0</v>
      </c>
      <c r="AG53" s="129">
        <v>0</v>
      </c>
      <c r="AH53" s="129">
        <v>0</v>
      </c>
      <c r="AI53" s="129">
        <v>0</v>
      </c>
      <c r="AJ53" s="129">
        <v>0</v>
      </c>
      <c r="AK53" s="129">
        <v>0</v>
      </c>
      <c r="AL53" s="129">
        <v>0</v>
      </c>
      <c r="AM53" s="662" t="s">
        <v>710</v>
      </c>
      <c r="AN53" s="324" t="s">
        <v>543</v>
      </c>
      <c r="AO53" s="663" t="s">
        <v>542</v>
      </c>
      <c r="AP53" s="529" t="s">
        <v>1260</v>
      </c>
    </row>
    <row r="54" spans="1:42" ht="14.25" x14ac:dyDescent="0.2">
      <c r="A54" s="664">
        <v>47</v>
      </c>
      <c r="B54" s="665" t="s">
        <v>713</v>
      </c>
      <c r="C54" s="666" t="s">
        <v>1201</v>
      </c>
      <c r="D54" s="667" t="s">
        <v>1204</v>
      </c>
      <c r="E54" s="668" t="s">
        <v>1863</v>
      </c>
      <c r="F54" s="129">
        <v>43299851</v>
      </c>
      <c r="G54" s="129">
        <v>1724106</v>
      </c>
      <c r="H54" s="129">
        <v>45023957</v>
      </c>
      <c r="I54" s="129">
        <v>-247857</v>
      </c>
      <c r="J54" s="129">
        <v>-22968</v>
      </c>
      <c r="K54" s="129">
        <v>-270825</v>
      </c>
      <c r="L54" s="129">
        <v>-375000</v>
      </c>
      <c r="M54" s="129">
        <v>-14620</v>
      </c>
      <c r="N54" s="129">
        <v>-389620</v>
      </c>
      <c r="O54" s="129">
        <v>42676994</v>
      </c>
      <c r="P54" s="129">
        <v>1686518</v>
      </c>
      <c r="Q54" s="129">
        <v>44363512</v>
      </c>
      <c r="R54" s="129">
        <v>370555</v>
      </c>
      <c r="S54" s="129">
        <v>7497</v>
      </c>
      <c r="T54" s="129">
        <v>378052</v>
      </c>
      <c r="U54" s="129">
        <v>0</v>
      </c>
      <c r="V54" s="129">
        <v>0</v>
      </c>
      <c r="W54" s="129">
        <v>0</v>
      </c>
      <c r="X54" s="129">
        <v>228</v>
      </c>
      <c r="Y54" s="129">
        <v>1743197</v>
      </c>
      <c r="Z54" s="129">
        <v>0</v>
      </c>
      <c r="AA54" s="129">
        <v>0</v>
      </c>
      <c r="AB54" s="129">
        <v>0</v>
      </c>
      <c r="AC54" s="129">
        <v>0</v>
      </c>
      <c r="AD54" s="129">
        <v>0</v>
      </c>
      <c r="AE54" s="129">
        <v>0</v>
      </c>
      <c r="AF54" s="129">
        <v>307797</v>
      </c>
      <c r="AG54" s="129">
        <v>307797</v>
      </c>
      <c r="AH54" s="129">
        <v>0</v>
      </c>
      <c r="AI54" s="129">
        <v>0</v>
      </c>
      <c r="AJ54" s="129">
        <v>0</v>
      </c>
      <c r="AK54" s="129">
        <v>307797</v>
      </c>
      <c r="AL54" s="129">
        <v>307797</v>
      </c>
      <c r="AM54" s="662" t="s">
        <v>712</v>
      </c>
      <c r="AN54" s="324" t="s">
        <v>513</v>
      </c>
      <c r="AO54" s="663" t="s">
        <v>512</v>
      </c>
      <c r="AP54" s="529" t="s">
        <v>1261</v>
      </c>
    </row>
    <row r="55" spans="1:42" ht="12.75" x14ac:dyDescent="0.2">
      <c r="A55" s="664">
        <v>48</v>
      </c>
      <c r="B55" s="665" t="s">
        <v>715</v>
      </c>
      <c r="C55" s="666" t="s">
        <v>1201</v>
      </c>
      <c r="D55" s="667" t="s">
        <v>1211</v>
      </c>
      <c r="E55" s="668" t="s">
        <v>714</v>
      </c>
      <c r="F55" s="129">
        <v>15633947</v>
      </c>
      <c r="G55" s="129">
        <v>0</v>
      </c>
      <c r="H55" s="129">
        <v>15633947</v>
      </c>
      <c r="I55" s="129">
        <v>-235000</v>
      </c>
      <c r="J55" s="129">
        <v>0</v>
      </c>
      <c r="K55" s="129">
        <v>-235000</v>
      </c>
      <c r="L55" s="129">
        <v>-750000</v>
      </c>
      <c r="M55" s="129">
        <v>0</v>
      </c>
      <c r="N55" s="129">
        <v>-750000</v>
      </c>
      <c r="O55" s="129">
        <v>14648947</v>
      </c>
      <c r="P55" s="129">
        <v>0</v>
      </c>
      <c r="Q55" s="129">
        <v>14648947</v>
      </c>
      <c r="R55" s="129">
        <v>0</v>
      </c>
      <c r="S55" s="129">
        <v>0</v>
      </c>
      <c r="T55" s="129">
        <v>0</v>
      </c>
      <c r="U55" s="129">
        <v>0</v>
      </c>
      <c r="V55" s="129">
        <v>0</v>
      </c>
      <c r="W55" s="129">
        <v>0</v>
      </c>
      <c r="X55" s="129">
        <v>0</v>
      </c>
      <c r="Y55" s="129">
        <v>0</v>
      </c>
      <c r="Z55" s="129">
        <v>0</v>
      </c>
      <c r="AA55" s="129">
        <v>0</v>
      </c>
      <c r="AB55" s="129">
        <v>0</v>
      </c>
      <c r="AC55" s="129">
        <v>0</v>
      </c>
      <c r="AD55" s="129">
        <v>0</v>
      </c>
      <c r="AE55" s="129">
        <v>0</v>
      </c>
      <c r="AF55" s="129">
        <v>0</v>
      </c>
      <c r="AG55" s="129">
        <v>0</v>
      </c>
      <c r="AH55" s="129">
        <v>0</v>
      </c>
      <c r="AI55" s="129">
        <v>0</v>
      </c>
      <c r="AJ55" s="129">
        <v>0</v>
      </c>
      <c r="AK55" s="129">
        <v>0</v>
      </c>
      <c r="AL55" s="129">
        <v>0</v>
      </c>
      <c r="AM55" s="662" t="s">
        <v>714</v>
      </c>
      <c r="AN55" s="324" t="s">
        <v>528</v>
      </c>
      <c r="AO55" s="663" t="s">
        <v>1913</v>
      </c>
      <c r="AP55" s="529" t="s">
        <v>1262</v>
      </c>
    </row>
    <row r="56" spans="1:42" ht="14.25" x14ac:dyDescent="0.2">
      <c r="A56" s="664">
        <v>49</v>
      </c>
      <c r="B56" s="665" t="s">
        <v>717</v>
      </c>
      <c r="C56" s="666" t="s">
        <v>486</v>
      </c>
      <c r="D56" s="667" t="s">
        <v>1211</v>
      </c>
      <c r="E56" s="668" t="s">
        <v>1867</v>
      </c>
      <c r="F56" s="129">
        <v>114935418</v>
      </c>
      <c r="G56" s="129">
        <v>0</v>
      </c>
      <c r="H56" s="129">
        <v>114935418</v>
      </c>
      <c r="I56" s="129">
        <v>-600000</v>
      </c>
      <c r="J56" s="129">
        <v>0</v>
      </c>
      <c r="K56" s="129">
        <v>-600000</v>
      </c>
      <c r="L56" s="129">
        <v>-3000000</v>
      </c>
      <c r="M56" s="129">
        <v>0</v>
      </c>
      <c r="N56" s="129">
        <v>-3000000</v>
      </c>
      <c r="O56" s="129">
        <v>111335418</v>
      </c>
      <c r="P56" s="129">
        <v>0</v>
      </c>
      <c r="Q56" s="129">
        <v>111335418</v>
      </c>
      <c r="R56" s="129">
        <v>3223474</v>
      </c>
      <c r="S56" s="129">
        <v>0</v>
      </c>
      <c r="T56" s="129">
        <v>3223474</v>
      </c>
      <c r="U56" s="129">
        <v>0</v>
      </c>
      <c r="V56" s="129">
        <v>0</v>
      </c>
      <c r="W56" s="129">
        <v>0</v>
      </c>
      <c r="X56" s="129">
        <v>0</v>
      </c>
      <c r="Y56" s="129">
        <v>0</v>
      </c>
      <c r="Z56" s="129">
        <v>0</v>
      </c>
      <c r="AA56" s="129">
        <v>0</v>
      </c>
      <c r="AB56" s="129">
        <v>0</v>
      </c>
      <c r="AC56" s="129">
        <v>0</v>
      </c>
      <c r="AD56" s="129">
        <v>0</v>
      </c>
      <c r="AE56" s="129">
        <v>0</v>
      </c>
      <c r="AF56" s="129">
        <v>0</v>
      </c>
      <c r="AG56" s="129">
        <v>0</v>
      </c>
      <c r="AH56" s="129">
        <v>0</v>
      </c>
      <c r="AI56" s="129">
        <v>0</v>
      </c>
      <c r="AJ56" s="129">
        <v>0</v>
      </c>
      <c r="AK56" s="129">
        <v>0</v>
      </c>
      <c r="AL56" s="129">
        <v>0</v>
      </c>
      <c r="AM56" s="662" t="s">
        <v>716</v>
      </c>
      <c r="AN56" s="324" t="s">
        <v>486</v>
      </c>
      <c r="AO56" s="663" t="s">
        <v>492</v>
      </c>
      <c r="AP56" s="529" t="s">
        <v>1263</v>
      </c>
    </row>
    <row r="57" spans="1:42" ht="12.75" x14ac:dyDescent="0.2">
      <c r="A57" s="664">
        <v>50</v>
      </c>
      <c r="B57" s="665" t="s">
        <v>719</v>
      </c>
      <c r="C57" s="666" t="s">
        <v>1201</v>
      </c>
      <c r="D57" s="667" t="s">
        <v>1206</v>
      </c>
      <c r="E57" s="668" t="s">
        <v>718</v>
      </c>
      <c r="F57" s="129">
        <v>48226563</v>
      </c>
      <c r="G57" s="129">
        <v>1173080</v>
      </c>
      <c r="H57" s="129">
        <v>49399643</v>
      </c>
      <c r="I57" s="129">
        <v>-482265</v>
      </c>
      <c r="J57" s="129">
        <v>0</v>
      </c>
      <c r="K57" s="129">
        <v>-482265</v>
      </c>
      <c r="L57" s="129">
        <v>-2652461</v>
      </c>
      <c r="M57" s="129">
        <v>-64519</v>
      </c>
      <c r="N57" s="129">
        <v>-2716980</v>
      </c>
      <c r="O57" s="129">
        <v>45091837</v>
      </c>
      <c r="P57" s="129">
        <v>1108561</v>
      </c>
      <c r="Q57" s="129">
        <v>46200398</v>
      </c>
      <c r="R57" s="129">
        <v>234751</v>
      </c>
      <c r="S57" s="129">
        <v>0</v>
      </c>
      <c r="T57" s="129">
        <v>234751</v>
      </c>
      <c r="U57" s="129">
        <v>0</v>
      </c>
      <c r="V57" s="129">
        <v>0</v>
      </c>
      <c r="W57" s="129">
        <v>0</v>
      </c>
      <c r="X57" s="129">
        <v>0</v>
      </c>
      <c r="Y57" s="129">
        <v>127427</v>
      </c>
      <c r="Z57" s="129">
        <v>981134</v>
      </c>
      <c r="AA57" s="129">
        <v>981134</v>
      </c>
      <c r="AB57" s="129">
        <v>0</v>
      </c>
      <c r="AC57" s="129">
        <v>0</v>
      </c>
      <c r="AD57" s="129">
        <v>0</v>
      </c>
      <c r="AE57" s="129">
        <v>0</v>
      </c>
      <c r="AF57" s="129">
        <v>55000</v>
      </c>
      <c r="AG57" s="129">
        <v>55000</v>
      </c>
      <c r="AH57" s="129">
        <v>0</v>
      </c>
      <c r="AI57" s="129">
        <v>0</v>
      </c>
      <c r="AJ57" s="129">
        <v>0</v>
      </c>
      <c r="AK57" s="129">
        <v>55000</v>
      </c>
      <c r="AL57" s="129">
        <v>55000</v>
      </c>
      <c r="AM57" s="662" t="s">
        <v>718</v>
      </c>
      <c r="AN57" s="324" t="s">
        <v>551</v>
      </c>
      <c r="AO57" s="663" t="s">
        <v>549</v>
      </c>
      <c r="AP57" s="529" t="s">
        <v>1264</v>
      </c>
    </row>
    <row r="58" spans="1:42" ht="12.75" x14ac:dyDescent="0.2">
      <c r="A58" s="664">
        <v>51</v>
      </c>
      <c r="B58" s="665" t="s">
        <v>721</v>
      </c>
      <c r="C58" s="666" t="s">
        <v>1201</v>
      </c>
      <c r="D58" s="667" t="s">
        <v>1211</v>
      </c>
      <c r="E58" s="668" t="s">
        <v>720</v>
      </c>
      <c r="F58" s="129">
        <v>85207059</v>
      </c>
      <c r="G58" s="129">
        <v>0</v>
      </c>
      <c r="H58" s="129">
        <v>85207059</v>
      </c>
      <c r="I58" s="129">
        <v>-3100913</v>
      </c>
      <c r="J58" s="129">
        <v>0</v>
      </c>
      <c r="K58" s="129">
        <v>-3100913</v>
      </c>
      <c r="L58" s="129">
        <v>-4061012</v>
      </c>
      <c r="M58" s="129">
        <v>0</v>
      </c>
      <c r="N58" s="129">
        <v>-4061012</v>
      </c>
      <c r="O58" s="129">
        <v>78045134</v>
      </c>
      <c r="P58" s="129">
        <v>0</v>
      </c>
      <c r="Q58" s="129">
        <v>78045134</v>
      </c>
      <c r="R58" s="129">
        <v>0</v>
      </c>
      <c r="S58" s="129">
        <v>0</v>
      </c>
      <c r="T58" s="129">
        <v>0</v>
      </c>
      <c r="U58" s="129">
        <v>0</v>
      </c>
      <c r="V58" s="129">
        <v>0</v>
      </c>
      <c r="W58" s="129">
        <v>0</v>
      </c>
      <c r="X58" s="129">
        <v>0</v>
      </c>
      <c r="Y58" s="129">
        <v>0</v>
      </c>
      <c r="Z58" s="129">
        <v>0</v>
      </c>
      <c r="AA58" s="129">
        <v>0</v>
      </c>
      <c r="AB58" s="129">
        <v>0</v>
      </c>
      <c r="AC58" s="129">
        <v>0</v>
      </c>
      <c r="AD58" s="129">
        <v>0</v>
      </c>
      <c r="AE58" s="129">
        <v>0</v>
      </c>
      <c r="AF58" s="129">
        <v>0</v>
      </c>
      <c r="AG58" s="129">
        <v>0</v>
      </c>
      <c r="AH58" s="129">
        <v>0</v>
      </c>
      <c r="AI58" s="129">
        <v>0</v>
      </c>
      <c r="AJ58" s="129">
        <v>0</v>
      </c>
      <c r="AK58" s="129">
        <v>0</v>
      </c>
      <c r="AL58" s="129">
        <v>0</v>
      </c>
      <c r="AM58" s="662" t="s">
        <v>720</v>
      </c>
      <c r="AN58" s="324" t="s">
        <v>528</v>
      </c>
      <c r="AO58" s="663" t="s">
        <v>1913</v>
      </c>
      <c r="AP58" s="529" t="s">
        <v>1265</v>
      </c>
    </row>
    <row r="59" spans="1:42" ht="12.75" x14ac:dyDescent="0.2">
      <c r="A59" s="664">
        <v>52</v>
      </c>
      <c r="B59" s="665" t="s">
        <v>723</v>
      </c>
      <c r="C59" s="666" t="s">
        <v>1201</v>
      </c>
      <c r="D59" s="667" t="s">
        <v>1224</v>
      </c>
      <c r="E59" s="668" t="s">
        <v>722</v>
      </c>
      <c r="F59" s="129">
        <v>56566146</v>
      </c>
      <c r="G59" s="129">
        <v>0</v>
      </c>
      <c r="H59" s="129">
        <v>56566146</v>
      </c>
      <c r="I59" s="129">
        <v>-500000</v>
      </c>
      <c r="J59" s="129">
        <v>0</v>
      </c>
      <c r="K59" s="129">
        <v>-500000</v>
      </c>
      <c r="L59" s="129">
        <v>-900000</v>
      </c>
      <c r="M59" s="129">
        <v>0</v>
      </c>
      <c r="N59" s="129">
        <v>-900000</v>
      </c>
      <c r="O59" s="129">
        <v>55166146</v>
      </c>
      <c r="P59" s="129">
        <v>0</v>
      </c>
      <c r="Q59" s="129">
        <v>55166146</v>
      </c>
      <c r="R59" s="129">
        <v>0</v>
      </c>
      <c r="S59" s="129">
        <v>0</v>
      </c>
      <c r="T59" s="129">
        <v>0</v>
      </c>
      <c r="U59" s="129">
        <v>0</v>
      </c>
      <c r="V59" s="129">
        <v>0</v>
      </c>
      <c r="W59" s="129">
        <v>0</v>
      </c>
      <c r="X59" s="129">
        <v>0</v>
      </c>
      <c r="Y59" s="129">
        <v>0</v>
      </c>
      <c r="Z59" s="129">
        <v>0</v>
      </c>
      <c r="AA59" s="129">
        <v>0</v>
      </c>
      <c r="AB59" s="129">
        <v>0</v>
      </c>
      <c r="AC59" s="129">
        <v>0</v>
      </c>
      <c r="AD59" s="129">
        <v>0</v>
      </c>
      <c r="AE59" s="129">
        <v>0</v>
      </c>
      <c r="AF59" s="129">
        <v>0</v>
      </c>
      <c r="AG59" s="129">
        <v>0</v>
      </c>
      <c r="AH59" s="129">
        <v>0</v>
      </c>
      <c r="AI59" s="129">
        <v>0</v>
      </c>
      <c r="AJ59" s="129">
        <v>0</v>
      </c>
      <c r="AK59" s="129">
        <v>0</v>
      </c>
      <c r="AL59" s="129">
        <v>0</v>
      </c>
      <c r="AM59" s="662" t="s">
        <v>722</v>
      </c>
      <c r="AN59" s="324" t="s">
        <v>529</v>
      </c>
      <c r="AO59" s="663" t="s">
        <v>512</v>
      </c>
      <c r="AP59" s="529" t="s">
        <v>1266</v>
      </c>
    </row>
    <row r="60" spans="1:42" ht="12.75" x14ac:dyDescent="0.2">
      <c r="A60" s="664">
        <v>53</v>
      </c>
      <c r="B60" s="665" t="s">
        <v>725</v>
      </c>
      <c r="C60" s="666" t="s">
        <v>1201</v>
      </c>
      <c r="D60" s="667" t="s">
        <v>1202</v>
      </c>
      <c r="E60" s="668" t="s">
        <v>724</v>
      </c>
      <c r="F60" s="129">
        <v>100447683</v>
      </c>
      <c r="G60" s="129">
        <v>0</v>
      </c>
      <c r="H60" s="129">
        <v>100447683</v>
      </c>
      <c r="I60" s="129">
        <v>-502238</v>
      </c>
      <c r="J60" s="129">
        <v>0</v>
      </c>
      <c r="K60" s="129">
        <v>-502238</v>
      </c>
      <c r="L60" s="129">
        <v>-4721041</v>
      </c>
      <c r="M60" s="129">
        <v>0</v>
      </c>
      <c r="N60" s="129">
        <v>-4721041</v>
      </c>
      <c r="O60" s="129">
        <v>95224404</v>
      </c>
      <c r="P60" s="129">
        <v>0</v>
      </c>
      <c r="Q60" s="129">
        <v>95224404</v>
      </c>
      <c r="R60" s="129">
        <v>491016</v>
      </c>
      <c r="S60" s="129">
        <v>0</v>
      </c>
      <c r="T60" s="129">
        <v>491016</v>
      </c>
      <c r="U60" s="129">
        <v>0</v>
      </c>
      <c r="V60" s="129">
        <v>0</v>
      </c>
      <c r="W60" s="129">
        <v>0</v>
      </c>
      <c r="X60" s="129">
        <v>0</v>
      </c>
      <c r="Y60" s="129">
        <v>0</v>
      </c>
      <c r="Z60" s="129">
        <v>0</v>
      </c>
      <c r="AA60" s="129">
        <v>0</v>
      </c>
      <c r="AB60" s="129">
        <v>0</v>
      </c>
      <c r="AC60" s="129">
        <v>0</v>
      </c>
      <c r="AD60" s="129">
        <v>0</v>
      </c>
      <c r="AE60" s="129">
        <v>0</v>
      </c>
      <c r="AF60" s="129">
        <v>0</v>
      </c>
      <c r="AG60" s="129">
        <v>0</v>
      </c>
      <c r="AH60" s="129">
        <v>0</v>
      </c>
      <c r="AI60" s="129">
        <v>0</v>
      </c>
      <c r="AJ60" s="129">
        <v>0</v>
      </c>
      <c r="AK60" s="129">
        <v>0</v>
      </c>
      <c r="AL60" s="129">
        <v>0</v>
      </c>
      <c r="AM60" s="662" t="s">
        <v>724</v>
      </c>
      <c r="AN60" s="324" t="s">
        <v>560</v>
      </c>
      <c r="AO60" s="663" t="s">
        <v>512</v>
      </c>
      <c r="AP60" s="529" t="s">
        <v>1267</v>
      </c>
    </row>
    <row r="61" spans="1:42" ht="12.75" x14ac:dyDescent="0.2">
      <c r="A61" s="664">
        <v>54</v>
      </c>
      <c r="B61" s="665" t="s">
        <v>727</v>
      </c>
      <c r="C61" s="666" t="s">
        <v>486</v>
      </c>
      <c r="D61" s="667" t="s">
        <v>1204</v>
      </c>
      <c r="E61" s="668" t="s">
        <v>726</v>
      </c>
      <c r="F61" s="129">
        <v>146731407</v>
      </c>
      <c r="G61" s="129">
        <v>3869822</v>
      </c>
      <c r="H61" s="129">
        <v>150601229</v>
      </c>
      <c r="I61" s="129">
        <v>-2174234</v>
      </c>
      <c r="J61" s="129">
        <v>-25766</v>
      </c>
      <c r="K61" s="129">
        <v>-2200000</v>
      </c>
      <c r="L61" s="129">
        <v>-3616066</v>
      </c>
      <c r="M61" s="129">
        <v>0</v>
      </c>
      <c r="N61" s="129">
        <v>-3616066</v>
      </c>
      <c r="O61" s="129">
        <v>140941107</v>
      </c>
      <c r="P61" s="129">
        <v>3844056</v>
      </c>
      <c r="Q61" s="129">
        <v>144785163</v>
      </c>
      <c r="R61" s="129">
        <v>118041</v>
      </c>
      <c r="S61" s="129">
        <v>0</v>
      </c>
      <c r="T61" s="129">
        <v>118041</v>
      </c>
      <c r="U61" s="129">
        <v>0</v>
      </c>
      <c r="V61" s="129">
        <v>0</v>
      </c>
      <c r="W61" s="129">
        <v>0</v>
      </c>
      <c r="X61" s="129">
        <v>5782</v>
      </c>
      <c r="Y61" s="129">
        <v>2413001</v>
      </c>
      <c r="Z61" s="129">
        <v>1436837</v>
      </c>
      <c r="AA61" s="129">
        <v>1436837</v>
      </c>
      <c r="AB61" s="129">
        <v>0</v>
      </c>
      <c r="AC61" s="129">
        <v>0</v>
      </c>
      <c r="AD61" s="129">
        <v>0</v>
      </c>
      <c r="AE61" s="129">
        <v>0</v>
      </c>
      <c r="AF61" s="129">
        <v>431389</v>
      </c>
      <c r="AG61" s="129">
        <v>431389</v>
      </c>
      <c r="AH61" s="129">
        <v>0</v>
      </c>
      <c r="AI61" s="129">
        <v>0</v>
      </c>
      <c r="AJ61" s="129">
        <v>0</v>
      </c>
      <c r="AK61" s="129">
        <v>431389</v>
      </c>
      <c r="AL61" s="129">
        <v>431389</v>
      </c>
      <c r="AM61" s="662" t="s">
        <v>726</v>
      </c>
      <c r="AN61" s="324" t="s">
        <v>486</v>
      </c>
      <c r="AO61" s="663" t="s">
        <v>505</v>
      </c>
      <c r="AP61" s="529" t="s">
        <v>1268</v>
      </c>
    </row>
    <row r="62" spans="1:42" ht="12.75" x14ac:dyDescent="0.2">
      <c r="A62" s="664">
        <v>55</v>
      </c>
      <c r="B62" s="665" t="s">
        <v>728</v>
      </c>
      <c r="C62" s="666" t="s">
        <v>486</v>
      </c>
      <c r="D62" s="667" t="s">
        <v>1204</v>
      </c>
      <c r="E62" s="668" t="s">
        <v>507</v>
      </c>
      <c r="F62" s="129">
        <v>166674596</v>
      </c>
      <c r="G62" s="129">
        <v>397793</v>
      </c>
      <c r="H62" s="129">
        <v>167072389</v>
      </c>
      <c r="I62" s="129">
        <v>-4000000</v>
      </c>
      <c r="J62" s="129">
        <v>0</v>
      </c>
      <c r="K62" s="129">
        <v>-4000000</v>
      </c>
      <c r="L62" s="129">
        <v>-11000000</v>
      </c>
      <c r="M62" s="129">
        <v>0</v>
      </c>
      <c r="N62" s="129">
        <v>-11000000</v>
      </c>
      <c r="O62" s="129">
        <v>151674596</v>
      </c>
      <c r="P62" s="129">
        <v>397793</v>
      </c>
      <c r="Q62" s="129">
        <v>152072389</v>
      </c>
      <c r="R62" s="129">
        <v>740000</v>
      </c>
      <c r="S62" s="129">
        <v>0</v>
      </c>
      <c r="T62" s="129">
        <v>740000</v>
      </c>
      <c r="U62" s="129">
        <v>0</v>
      </c>
      <c r="V62" s="129">
        <v>0</v>
      </c>
      <c r="W62" s="129">
        <v>0</v>
      </c>
      <c r="X62" s="129">
        <v>0</v>
      </c>
      <c r="Y62" s="129">
        <v>179277</v>
      </c>
      <c r="Z62" s="129">
        <v>218516</v>
      </c>
      <c r="AA62" s="129">
        <v>218516</v>
      </c>
      <c r="AB62" s="129">
        <v>0</v>
      </c>
      <c r="AC62" s="129">
        <v>0</v>
      </c>
      <c r="AD62" s="129">
        <v>0</v>
      </c>
      <c r="AE62" s="129">
        <v>0</v>
      </c>
      <c r="AF62" s="129">
        <v>260048</v>
      </c>
      <c r="AG62" s="129">
        <v>260048</v>
      </c>
      <c r="AH62" s="129">
        <v>0</v>
      </c>
      <c r="AI62" s="129">
        <v>0</v>
      </c>
      <c r="AJ62" s="129">
        <v>0</v>
      </c>
      <c r="AK62" s="129">
        <v>260048</v>
      </c>
      <c r="AL62" s="129">
        <v>260048</v>
      </c>
      <c r="AM62" s="662" t="s">
        <v>507</v>
      </c>
      <c r="AN62" s="324" t="s">
        <v>486</v>
      </c>
      <c r="AO62" s="663" t="s">
        <v>505</v>
      </c>
      <c r="AP62" s="529" t="s">
        <v>1269</v>
      </c>
    </row>
    <row r="63" spans="1:42" ht="12.75" x14ac:dyDescent="0.2">
      <c r="A63" s="664">
        <v>56</v>
      </c>
      <c r="B63" s="665" t="s">
        <v>730</v>
      </c>
      <c r="C63" s="666" t="s">
        <v>1201</v>
      </c>
      <c r="D63" s="667" t="s">
        <v>1206</v>
      </c>
      <c r="E63" s="668" t="s">
        <v>729</v>
      </c>
      <c r="F63" s="129">
        <v>41319561</v>
      </c>
      <c r="G63" s="129">
        <v>1924992</v>
      </c>
      <c r="H63" s="129">
        <v>43244553</v>
      </c>
      <c r="I63" s="129">
        <v>-826391</v>
      </c>
      <c r="J63" s="129">
        <v>0</v>
      </c>
      <c r="K63" s="129">
        <v>-826391</v>
      </c>
      <c r="L63" s="129">
        <v>-1798243</v>
      </c>
      <c r="M63" s="129">
        <v>0</v>
      </c>
      <c r="N63" s="129">
        <v>-1798243</v>
      </c>
      <c r="O63" s="129">
        <v>38694927</v>
      </c>
      <c r="P63" s="129">
        <v>1924992</v>
      </c>
      <c r="Q63" s="129">
        <v>40619919</v>
      </c>
      <c r="R63" s="129">
        <v>46791</v>
      </c>
      <c r="S63" s="129">
        <v>0</v>
      </c>
      <c r="T63" s="129">
        <v>46791</v>
      </c>
      <c r="U63" s="129">
        <v>0</v>
      </c>
      <c r="V63" s="129">
        <v>0</v>
      </c>
      <c r="W63" s="129">
        <v>0</v>
      </c>
      <c r="X63" s="129">
        <v>0</v>
      </c>
      <c r="Y63" s="129">
        <v>0</v>
      </c>
      <c r="Z63" s="129">
        <v>1924992</v>
      </c>
      <c r="AA63" s="129">
        <v>1924992</v>
      </c>
      <c r="AB63" s="129">
        <v>0</v>
      </c>
      <c r="AC63" s="129">
        <v>0</v>
      </c>
      <c r="AD63" s="129">
        <v>0</v>
      </c>
      <c r="AE63" s="129">
        <v>0</v>
      </c>
      <c r="AF63" s="129">
        <v>0</v>
      </c>
      <c r="AG63" s="129">
        <v>0</v>
      </c>
      <c r="AH63" s="129">
        <v>0</v>
      </c>
      <c r="AI63" s="129">
        <v>0</v>
      </c>
      <c r="AJ63" s="129">
        <v>0</v>
      </c>
      <c r="AK63" s="129">
        <v>0</v>
      </c>
      <c r="AL63" s="129">
        <v>0</v>
      </c>
      <c r="AM63" s="662" t="s">
        <v>729</v>
      </c>
      <c r="AN63" s="324" t="s">
        <v>516</v>
      </c>
      <c r="AO63" s="663" t="s">
        <v>515</v>
      </c>
      <c r="AP63" s="529" t="s">
        <v>1270</v>
      </c>
    </row>
    <row r="64" spans="1:42" ht="12.75" x14ac:dyDescent="0.2">
      <c r="A64" s="664">
        <v>57</v>
      </c>
      <c r="B64" s="665" t="s">
        <v>732</v>
      </c>
      <c r="C64" s="666" t="s">
        <v>1201</v>
      </c>
      <c r="D64" s="667" t="s">
        <v>1202</v>
      </c>
      <c r="E64" s="668" t="s">
        <v>731</v>
      </c>
      <c r="F64" s="129">
        <v>51111211</v>
      </c>
      <c r="G64" s="129">
        <v>0</v>
      </c>
      <c r="H64" s="129">
        <v>51111211</v>
      </c>
      <c r="I64" s="129">
        <v>-500000</v>
      </c>
      <c r="J64" s="129">
        <v>0</v>
      </c>
      <c r="K64" s="129">
        <v>-500000</v>
      </c>
      <c r="L64" s="129">
        <v>-2900000</v>
      </c>
      <c r="M64" s="129">
        <v>0</v>
      </c>
      <c r="N64" s="129">
        <v>-2900000</v>
      </c>
      <c r="O64" s="129">
        <v>47711211</v>
      </c>
      <c r="P64" s="129">
        <v>0</v>
      </c>
      <c r="Q64" s="129">
        <v>47711211</v>
      </c>
      <c r="R64" s="129">
        <v>137347</v>
      </c>
      <c r="S64" s="129">
        <v>0</v>
      </c>
      <c r="T64" s="129">
        <v>137347</v>
      </c>
      <c r="U64" s="129">
        <v>0</v>
      </c>
      <c r="V64" s="129">
        <v>0</v>
      </c>
      <c r="W64" s="129">
        <v>0</v>
      </c>
      <c r="X64" s="129">
        <v>0</v>
      </c>
      <c r="Y64" s="129">
        <v>0</v>
      </c>
      <c r="Z64" s="129">
        <v>0</v>
      </c>
      <c r="AA64" s="129">
        <v>0</v>
      </c>
      <c r="AB64" s="129">
        <v>0</v>
      </c>
      <c r="AC64" s="129">
        <v>0</v>
      </c>
      <c r="AD64" s="129">
        <v>0</v>
      </c>
      <c r="AE64" s="129">
        <v>0</v>
      </c>
      <c r="AF64" s="129">
        <v>0</v>
      </c>
      <c r="AG64" s="129">
        <v>0</v>
      </c>
      <c r="AH64" s="129">
        <v>0</v>
      </c>
      <c r="AI64" s="129">
        <v>0</v>
      </c>
      <c r="AJ64" s="129">
        <v>0</v>
      </c>
      <c r="AK64" s="129">
        <v>0</v>
      </c>
      <c r="AL64" s="129">
        <v>0</v>
      </c>
      <c r="AM64" s="662" t="s">
        <v>731</v>
      </c>
      <c r="AN64" s="324" t="s">
        <v>568</v>
      </c>
      <c r="AO64" s="663" t="s">
        <v>512</v>
      </c>
      <c r="AP64" s="529" t="s">
        <v>1271</v>
      </c>
    </row>
    <row r="65" spans="1:42" ht="12.75" x14ac:dyDescent="0.2">
      <c r="A65" s="664">
        <v>58</v>
      </c>
      <c r="B65" s="665" t="s">
        <v>734</v>
      </c>
      <c r="C65" s="666" t="s">
        <v>1201</v>
      </c>
      <c r="D65" s="667" t="s">
        <v>1204</v>
      </c>
      <c r="E65" s="668" t="s">
        <v>733</v>
      </c>
      <c r="F65" s="129">
        <v>27552439</v>
      </c>
      <c r="G65" s="129">
        <v>0</v>
      </c>
      <c r="H65" s="129">
        <v>27552439</v>
      </c>
      <c r="I65" s="129">
        <v>-551049</v>
      </c>
      <c r="J65" s="129">
        <v>0</v>
      </c>
      <c r="K65" s="129">
        <v>-551049</v>
      </c>
      <c r="L65" s="129">
        <v>-1102098</v>
      </c>
      <c r="M65" s="129">
        <v>0</v>
      </c>
      <c r="N65" s="129">
        <v>-1102098</v>
      </c>
      <c r="O65" s="129">
        <v>25899292</v>
      </c>
      <c r="P65" s="129">
        <v>0</v>
      </c>
      <c r="Q65" s="129">
        <v>25899292</v>
      </c>
      <c r="R65" s="129">
        <v>0</v>
      </c>
      <c r="S65" s="129">
        <v>0</v>
      </c>
      <c r="T65" s="129">
        <v>0</v>
      </c>
      <c r="U65" s="129">
        <v>0</v>
      </c>
      <c r="V65" s="129">
        <v>0</v>
      </c>
      <c r="W65" s="129">
        <v>0</v>
      </c>
      <c r="X65" s="129">
        <v>0</v>
      </c>
      <c r="Y65" s="129">
        <v>0</v>
      </c>
      <c r="Z65" s="129">
        <v>0</v>
      </c>
      <c r="AA65" s="129">
        <v>0</v>
      </c>
      <c r="AB65" s="129">
        <v>0</v>
      </c>
      <c r="AC65" s="129">
        <v>0</v>
      </c>
      <c r="AD65" s="129">
        <v>0</v>
      </c>
      <c r="AE65" s="129">
        <v>0</v>
      </c>
      <c r="AF65" s="129">
        <v>0</v>
      </c>
      <c r="AG65" s="129">
        <v>0</v>
      </c>
      <c r="AH65" s="129">
        <v>0</v>
      </c>
      <c r="AI65" s="129">
        <v>0</v>
      </c>
      <c r="AJ65" s="129">
        <v>0</v>
      </c>
      <c r="AK65" s="129">
        <v>0</v>
      </c>
      <c r="AL65" s="129">
        <v>0</v>
      </c>
      <c r="AM65" s="662" t="s">
        <v>733</v>
      </c>
      <c r="AN65" s="324" t="s">
        <v>547</v>
      </c>
      <c r="AO65" s="663" t="s">
        <v>545</v>
      </c>
      <c r="AP65" s="529" t="s">
        <v>1272</v>
      </c>
    </row>
    <row r="66" spans="1:42" ht="12.75" x14ac:dyDescent="0.2">
      <c r="A66" s="664">
        <v>59</v>
      </c>
      <c r="B66" s="665" t="s">
        <v>0</v>
      </c>
      <c r="C66" s="666" t="s">
        <v>1257</v>
      </c>
      <c r="D66" s="667" t="s">
        <v>1214</v>
      </c>
      <c r="E66" s="668" t="s">
        <v>735</v>
      </c>
      <c r="F66" s="129">
        <v>1282228099</v>
      </c>
      <c r="G66" s="129">
        <v>0</v>
      </c>
      <c r="H66" s="129">
        <v>1282228099</v>
      </c>
      <c r="I66" s="129">
        <v>-30036818</v>
      </c>
      <c r="J66" s="129">
        <v>0</v>
      </c>
      <c r="K66" s="129">
        <v>-30036818</v>
      </c>
      <c r="L66" s="129">
        <v>-62751377</v>
      </c>
      <c r="M66" s="129">
        <v>0</v>
      </c>
      <c r="N66" s="129">
        <v>-62751377</v>
      </c>
      <c r="O66" s="129">
        <v>1189439904</v>
      </c>
      <c r="P66" s="129">
        <v>0</v>
      </c>
      <c r="Q66" s="129">
        <v>1189439904</v>
      </c>
      <c r="R66" s="129">
        <v>0</v>
      </c>
      <c r="S66" s="129">
        <v>0</v>
      </c>
      <c r="T66" s="129">
        <v>0</v>
      </c>
      <c r="U66" s="129">
        <v>0</v>
      </c>
      <c r="V66" s="129">
        <v>0</v>
      </c>
      <c r="W66" s="129">
        <v>0</v>
      </c>
      <c r="X66" s="129">
        <v>0</v>
      </c>
      <c r="Y66" s="129">
        <v>0</v>
      </c>
      <c r="Z66" s="129">
        <v>0</v>
      </c>
      <c r="AA66" s="129">
        <v>0</v>
      </c>
      <c r="AB66" s="129">
        <v>0</v>
      </c>
      <c r="AC66" s="129">
        <v>0</v>
      </c>
      <c r="AD66" s="129">
        <v>0</v>
      </c>
      <c r="AE66" s="129">
        <v>0</v>
      </c>
      <c r="AF66" s="129">
        <v>0</v>
      </c>
      <c r="AG66" s="129">
        <v>0</v>
      </c>
      <c r="AH66" s="129">
        <v>0</v>
      </c>
      <c r="AI66" s="129">
        <v>0</v>
      </c>
      <c r="AJ66" s="129">
        <v>0</v>
      </c>
      <c r="AK66" s="129">
        <v>0</v>
      </c>
      <c r="AL66" s="129">
        <v>0</v>
      </c>
      <c r="AM66" s="662" t="s">
        <v>735</v>
      </c>
      <c r="AN66" s="324" t="s">
        <v>35</v>
      </c>
      <c r="AO66" s="669" t="s">
        <v>485</v>
      </c>
      <c r="AP66" s="529" t="s">
        <v>1273</v>
      </c>
    </row>
    <row r="67" spans="1:42" ht="12.75" x14ac:dyDescent="0.2">
      <c r="A67" s="664">
        <v>60</v>
      </c>
      <c r="B67" s="665" t="s">
        <v>2</v>
      </c>
      <c r="C67" s="666" t="s">
        <v>1201</v>
      </c>
      <c r="D67" s="667" t="s">
        <v>1211</v>
      </c>
      <c r="E67" s="668" t="s">
        <v>1</v>
      </c>
      <c r="F67" s="129">
        <v>66300624</v>
      </c>
      <c r="G67" s="129">
        <v>0</v>
      </c>
      <c r="H67" s="129">
        <v>66300624</v>
      </c>
      <c r="I67" s="129">
        <v>-1500000</v>
      </c>
      <c r="J67" s="129">
        <v>0</v>
      </c>
      <c r="K67" s="129">
        <v>-1500000</v>
      </c>
      <c r="L67" s="129">
        <v>-1442000</v>
      </c>
      <c r="M67" s="129">
        <v>0</v>
      </c>
      <c r="N67" s="129">
        <v>-1442000</v>
      </c>
      <c r="O67" s="129">
        <v>63358624</v>
      </c>
      <c r="P67" s="129">
        <v>0</v>
      </c>
      <c r="Q67" s="129">
        <v>63358624</v>
      </c>
      <c r="R67" s="129">
        <v>0</v>
      </c>
      <c r="S67" s="129">
        <v>0</v>
      </c>
      <c r="T67" s="129">
        <v>0</v>
      </c>
      <c r="U67" s="129">
        <v>0</v>
      </c>
      <c r="V67" s="129">
        <v>0</v>
      </c>
      <c r="W67" s="129">
        <v>0</v>
      </c>
      <c r="X67" s="129">
        <v>0</v>
      </c>
      <c r="Y67" s="129">
        <v>0</v>
      </c>
      <c r="Z67" s="129">
        <v>0</v>
      </c>
      <c r="AA67" s="129">
        <v>0</v>
      </c>
      <c r="AB67" s="129">
        <v>0</v>
      </c>
      <c r="AC67" s="129">
        <v>0</v>
      </c>
      <c r="AD67" s="129">
        <v>0</v>
      </c>
      <c r="AE67" s="129">
        <v>0</v>
      </c>
      <c r="AF67" s="129">
        <v>0</v>
      </c>
      <c r="AG67" s="129">
        <v>0</v>
      </c>
      <c r="AH67" s="129">
        <v>0</v>
      </c>
      <c r="AI67" s="129">
        <v>0</v>
      </c>
      <c r="AJ67" s="129">
        <v>0</v>
      </c>
      <c r="AK67" s="129">
        <v>0</v>
      </c>
      <c r="AL67" s="129">
        <v>0</v>
      </c>
      <c r="AM67" s="662" t="s">
        <v>1</v>
      </c>
      <c r="AN67" s="324" t="s">
        <v>528</v>
      </c>
      <c r="AO67" s="663" t="s">
        <v>1913</v>
      </c>
      <c r="AP67" s="529" t="s">
        <v>1274</v>
      </c>
    </row>
    <row r="68" spans="1:42" ht="12.75" x14ac:dyDescent="0.2">
      <c r="A68" s="664">
        <v>61</v>
      </c>
      <c r="B68" s="665" t="s">
        <v>4</v>
      </c>
      <c r="C68" s="666" t="s">
        <v>1201</v>
      </c>
      <c r="D68" s="667" t="s">
        <v>1204</v>
      </c>
      <c r="E68" s="668" t="s">
        <v>3</v>
      </c>
      <c r="F68" s="129">
        <v>40251274</v>
      </c>
      <c r="G68" s="129">
        <v>0</v>
      </c>
      <c r="H68" s="129">
        <v>40251274</v>
      </c>
      <c r="I68" s="129">
        <v>-175000</v>
      </c>
      <c r="J68" s="129">
        <v>0</v>
      </c>
      <c r="K68" s="129">
        <v>-175000</v>
      </c>
      <c r="L68" s="129">
        <v>-1804789</v>
      </c>
      <c r="M68" s="129">
        <v>0</v>
      </c>
      <c r="N68" s="129">
        <v>-1804789</v>
      </c>
      <c r="O68" s="129">
        <v>38271485</v>
      </c>
      <c r="P68" s="129">
        <v>0</v>
      </c>
      <c r="Q68" s="129">
        <v>38271485</v>
      </c>
      <c r="R68" s="129">
        <v>75434</v>
      </c>
      <c r="S68" s="129">
        <v>0</v>
      </c>
      <c r="T68" s="129">
        <v>75434</v>
      </c>
      <c r="U68" s="129">
        <v>0</v>
      </c>
      <c r="V68" s="129">
        <v>0</v>
      </c>
      <c r="W68" s="129">
        <v>0</v>
      </c>
      <c r="X68" s="129">
        <v>0</v>
      </c>
      <c r="Y68" s="129">
        <v>0</v>
      </c>
      <c r="Z68" s="129">
        <v>0</v>
      </c>
      <c r="AA68" s="129">
        <v>0</v>
      </c>
      <c r="AB68" s="129">
        <v>0</v>
      </c>
      <c r="AC68" s="129">
        <v>0</v>
      </c>
      <c r="AD68" s="129">
        <v>0</v>
      </c>
      <c r="AE68" s="129">
        <v>0</v>
      </c>
      <c r="AF68" s="129">
        <v>0</v>
      </c>
      <c r="AG68" s="129">
        <v>0</v>
      </c>
      <c r="AH68" s="129">
        <v>0</v>
      </c>
      <c r="AI68" s="129">
        <v>0</v>
      </c>
      <c r="AJ68" s="129">
        <v>0</v>
      </c>
      <c r="AK68" s="129">
        <v>0</v>
      </c>
      <c r="AL68" s="129">
        <v>0</v>
      </c>
      <c r="AM68" s="662" t="s">
        <v>3</v>
      </c>
      <c r="AN68" s="324" t="s">
        <v>513</v>
      </c>
      <c r="AO68" s="663" t="s">
        <v>512</v>
      </c>
      <c r="AP68" s="529" t="s">
        <v>1275</v>
      </c>
    </row>
    <row r="69" spans="1:42" ht="12.75" x14ac:dyDescent="0.2">
      <c r="A69" s="664">
        <v>62</v>
      </c>
      <c r="B69" s="665" t="s">
        <v>6</v>
      </c>
      <c r="C69" s="666" t="s">
        <v>486</v>
      </c>
      <c r="D69" s="667" t="s">
        <v>1224</v>
      </c>
      <c r="E69" s="668" t="s">
        <v>5</v>
      </c>
      <c r="F69" s="129">
        <v>169766312</v>
      </c>
      <c r="G69" s="129">
        <v>1268158</v>
      </c>
      <c r="H69" s="129">
        <v>171034470</v>
      </c>
      <c r="I69" s="129">
        <v>-5130000</v>
      </c>
      <c r="J69" s="129">
        <v>0</v>
      </c>
      <c r="K69" s="129">
        <v>-5130000</v>
      </c>
      <c r="L69" s="129">
        <v>-7410000</v>
      </c>
      <c r="M69" s="129">
        <v>0</v>
      </c>
      <c r="N69" s="129">
        <v>-7410000</v>
      </c>
      <c r="O69" s="129">
        <v>157226312</v>
      </c>
      <c r="P69" s="129">
        <v>1268158</v>
      </c>
      <c r="Q69" s="129">
        <v>158494470</v>
      </c>
      <c r="R69" s="129">
        <v>2000000</v>
      </c>
      <c r="S69" s="129">
        <v>0</v>
      </c>
      <c r="T69" s="129">
        <v>2000000</v>
      </c>
      <c r="U69" s="129">
        <v>0</v>
      </c>
      <c r="V69" s="129">
        <v>0</v>
      </c>
      <c r="W69" s="129">
        <v>0</v>
      </c>
      <c r="X69" s="129">
        <v>0</v>
      </c>
      <c r="Y69" s="129">
        <v>707943</v>
      </c>
      <c r="Z69" s="129">
        <v>591553</v>
      </c>
      <c r="AA69" s="129">
        <v>591553</v>
      </c>
      <c r="AB69" s="129">
        <v>0</v>
      </c>
      <c r="AC69" s="129">
        <v>222636</v>
      </c>
      <c r="AD69" s="129">
        <v>222636</v>
      </c>
      <c r="AE69" s="129">
        <v>0</v>
      </c>
      <c r="AF69" s="129">
        <v>0</v>
      </c>
      <c r="AG69" s="129">
        <v>0</v>
      </c>
      <c r="AH69" s="129">
        <v>0</v>
      </c>
      <c r="AI69" s="129">
        <v>0</v>
      </c>
      <c r="AJ69" s="129">
        <v>0</v>
      </c>
      <c r="AK69" s="129">
        <v>0</v>
      </c>
      <c r="AL69" s="129">
        <v>0</v>
      </c>
      <c r="AM69" s="662" t="s">
        <v>5</v>
      </c>
      <c r="AN69" s="324" t="s">
        <v>486</v>
      </c>
      <c r="AO69" s="663" t="s">
        <v>512</v>
      </c>
      <c r="AP69" s="529" t="s">
        <v>1276</v>
      </c>
    </row>
    <row r="70" spans="1:42" ht="12.75" x14ac:dyDescent="0.2">
      <c r="A70" s="664">
        <v>63</v>
      </c>
      <c r="B70" s="665" t="s">
        <v>8</v>
      </c>
      <c r="C70" s="666" t="s">
        <v>1201</v>
      </c>
      <c r="D70" s="667" t="s">
        <v>1224</v>
      </c>
      <c r="E70" s="668" t="s">
        <v>7</v>
      </c>
      <c r="F70" s="129">
        <v>35065413</v>
      </c>
      <c r="G70" s="129">
        <v>0</v>
      </c>
      <c r="H70" s="129">
        <v>35065413</v>
      </c>
      <c r="I70" s="129">
        <v>-100000</v>
      </c>
      <c r="J70" s="129">
        <v>0</v>
      </c>
      <c r="K70" s="129">
        <v>-100000</v>
      </c>
      <c r="L70" s="129">
        <v>-895267</v>
      </c>
      <c r="M70" s="129">
        <v>0</v>
      </c>
      <c r="N70" s="129">
        <v>-895267</v>
      </c>
      <c r="O70" s="129">
        <v>34070146</v>
      </c>
      <c r="P70" s="129">
        <v>0</v>
      </c>
      <c r="Q70" s="129">
        <v>34070146</v>
      </c>
      <c r="R70" s="129">
        <v>66217</v>
      </c>
      <c r="S70" s="129">
        <v>0</v>
      </c>
      <c r="T70" s="129">
        <v>66217</v>
      </c>
      <c r="U70" s="129">
        <v>0</v>
      </c>
      <c r="V70" s="129">
        <v>0</v>
      </c>
      <c r="W70" s="129">
        <v>0</v>
      </c>
      <c r="X70" s="129">
        <v>0</v>
      </c>
      <c r="Y70" s="129">
        <v>0</v>
      </c>
      <c r="Z70" s="129">
        <v>0</v>
      </c>
      <c r="AA70" s="129">
        <v>0</v>
      </c>
      <c r="AB70" s="129">
        <v>0</v>
      </c>
      <c r="AC70" s="129">
        <v>0</v>
      </c>
      <c r="AD70" s="129">
        <v>0</v>
      </c>
      <c r="AE70" s="129">
        <v>0</v>
      </c>
      <c r="AF70" s="129">
        <v>0</v>
      </c>
      <c r="AG70" s="129">
        <v>0</v>
      </c>
      <c r="AH70" s="129">
        <v>0</v>
      </c>
      <c r="AI70" s="129">
        <v>0</v>
      </c>
      <c r="AJ70" s="129">
        <v>0</v>
      </c>
      <c r="AK70" s="129">
        <v>0</v>
      </c>
      <c r="AL70" s="129">
        <v>0</v>
      </c>
      <c r="AM70" s="662" t="s">
        <v>7</v>
      </c>
      <c r="AN70" s="324" t="s">
        <v>529</v>
      </c>
      <c r="AO70" s="663" t="s">
        <v>512</v>
      </c>
      <c r="AP70" s="529" t="s">
        <v>1277</v>
      </c>
    </row>
    <row r="71" spans="1:42" ht="12.75" x14ac:dyDescent="0.2">
      <c r="A71" s="664">
        <v>64</v>
      </c>
      <c r="B71" s="665" t="s">
        <v>10</v>
      </c>
      <c r="C71" s="666" t="s">
        <v>1217</v>
      </c>
      <c r="D71" s="667" t="s">
        <v>1228</v>
      </c>
      <c r="E71" s="668" t="s">
        <v>9</v>
      </c>
      <c r="F71" s="129">
        <v>132302802</v>
      </c>
      <c r="G71" s="129">
        <v>0</v>
      </c>
      <c r="H71" s="129">
        <v>132302802</v>
      </c>
      <c r="I71" s="129">
        <v>-6615140</v>
      </c>
      <c r="J71" s="129">
        <v>0</v>
      </c>
      <c r="K71" s="129">
        <v>-6615140</v>
      </c>
      <c r="L71" s="129">
        <v>-6350534</v>
      </c>
      <c r="M71" s="129">
        <v>0</v>
      </c>
      <c r="N71" s="129">
        <v>-6350534</v>
      </c>
      <c r="O71" s="129">
        <v>119337128</v>
      </c>
      <c r="P71" s="129">
        <v>0</v>
      </c>
      <c r="Q71" s="129">
        <v>119337128</v>
      </c>
      <c r="R71" s="129">
        <v>0</v>
      </c>
      <c r="S71" s="129">
        <v>0</v>
      </c>
      <c r="T71" s="129">
        <v>0</v>
      </c>
      <c r="U71" s="129">
        <v>0</v>
      </c>
      <c r="V71" s="129">
        <v>0</v>
      </c>
      <c r="W71" s="129">
        <v>0</v>
      </c>
      <c r="X71" s="129">
        <v>0</v>
      </c>
      <c r="Y71" s="129">
        <v>0</v>
      </c>
      <c r="Z71" s="129">
        <v>0</v>
      </c>
      <c r="AA71" s="129">
        <v>0</v>
      </c>
      <c r="AB71" s="129">
        <v>0</v>
      </c>
      <c r="AC71" s="129">
        <v>0</v>
      </c>
      <c r="AD71" s="129">
        <v>0</v>
      </c>
      <c r="AE71" s="129">
        <v>0</v>
      </c>
      <c r="AF71" s="129">
        <v>0</v>
      </c>
      <c r="AG71" s="129">
        <v>0</v>
      </c>
      <c r="AH71" s="129">
        <v>0</v>
      </c>
      <c r="AI71" s="129">
        <v>0</v>
      </c>
      <c r="AJ71" s="129">
        <v>0</v>
      </c>
      <c r="AK71" s="129">
        <v>0</v>
      </c>
      <c r="AL71" s="129">
        <v>0</v>
      </c>
      <c r="AM71" s="662" t="s">
        <v>9</v>
      </c>
      <c r="AN71" s="324" t="s">
        <v>570</v>
      </c>
      <c r="AO71" s="663" t="s">
        <v>574</v>
      </c>
      <c r="AP71" s="529" t="s">
        <v>1278</v>
      </c>
    </row>
    <row r="72" spans="1:42" ht="12.75" x14ac:dyDescent="0.2">
      <c r="A72" s="664">
        <v>65</v>
      </c>
      <c r="B72" s="665" t="s">
        <v>12</v>
      </c>
      <c r="C72" s="666" t="s">
        <v>1201</v>
      </c>
      <c r="D72" s="667" t="s">
        <v>1218</v>
      </c>
      <c r="E72" s="668" t="s">
        <v>11</v>
      </c>
      <c r="F72" s="129">
        <v>19438237</v>
      </c>
      <c r="G72" s="129">
        <v>0</v>
      </c>
      <c r="H72" s="129">
        <v>19438237</v>
      </c>
      <c r="I72" s="129">
        <v>-250000</v>
      </c>
      <c r="J72" s="129">
        <v>0</v>
      </c>
      <c r="K72" s="129">
        <v>-250000</v>
      </c>
      <c r="L72" s="129">
        <v>-200000</v>
      </c>
      <c r="M72" s="129">
        <v>0</v>
      </c>
      <c r="N72" s="129">
        <v>-200000</v>
      </c>
      <c r="O72" s="129">
        <v>18988237</v>
      </c>
      <c r="P72" s="129">
        <v>0</v>
      </c>
      <c r="Q72" s="129">
        <v>18988237</v>
      </c>
      <c r="R72" s="129">
        <v>0</v>
      </c>
      <c r="S72" s="129">
        <v>0</v>
      </c>
      <c r="T72" s="129">
        <v>0</v>
      </c>
      <c r="U72" s="129">
        <v>0</v>
      </c>
      <c r="V72" s="129">
        <v>0</v>
      </c>
      <c r="W72" s="129">
        <v>0</v>
      </c>
      <c r="X72" s="129">
        <v>0</v>
      </c>
      <c r="Y72" s="129">
        <v>0</v>
      </c>
      <c r="Z72" s="129">
        <v>0</v>
      </c>
      <c r="AA72" s="129">
        <v>0</v>
      </c>
      <c r="AB72" s="129">
        <v>0</v>
      </c>
      <c r="AC72" s="129">
        <v>0</v>
      </c>
      <c r="AD72" s="129">
        <v>0</v>
      </c>
      <c r="AE72" s="129">
        <v>0</v>
      </c>
      <c r="AF72" s="129">
        <v>0</v>
      </c>
      <c r="AG72" s="129">
        <v>0</v>
      </c>
      <c r="AH72" s="129">
        <v>0</v>
      </c>
      <c r="AI72" s="129">
        <v>0</v>
      </c>
      <c r="AJ72" s="129">
        <v>0</v>
      </c>
      <c r="AK72" s="129">
        <v>0</v>
      </c>
      <c r="AL72" s="129">
        <v>0</v>
      </c>
      <c r="AM72" s="662" t="s">
        <v>11</v>
      </c>
      <c r="AN72" s="324" t="s">
        <v>556</v>
      </c>
      <c r="AO72" s="663" t="s">
        <v>555</v>
      </c>
      <c r="AP72" s="529" t="s">
        <v>1279</v>
      </c>
    </row>
    <row r="73" spans="1:42" ht="12.75" x14ac:dyDescent="0.2">
      <c r="A73" s="664">
        <v>66</v>
      </c>
      <c r="B73" s="665" t="s">
        <v>14</v>
      </c>
      <c r="C73" s="666" t="s">
        <v>1201</v>
      </c>
      <c r="D73" s="667" t="s">
        <v>1202</v>
      </c>
      <c r="E73" s="668" t="s">
        <v>13</v>
      </c>
      <c r="F73" s="129">
        <v>125875413</v>
      </c>
      <c r="G73" s="129">
        <v>0</v>
      </c>
      <c r="H73" s="129">
        <v>125875413</v>
      </c>
      <c r="I73" s="129">
        <v>-1888131</v>
      </c>
      <c r="J73" s="129">
        <v>0</v>
      </c>
      <c r="K73" s="129">
        <v>-1888131</v>
      </c>
      <c r="L73" s="129">
        <v>-12587541</v>
      </c>
      <c r="M73" s="129">
        <v>0</v>
      </c>
      <c r="N73" s="129">
        <v>-12587541</v>
      </c>
      <c r="O73" s="129">
        <v>111399741</v>
      </c>
      <c r="P73" s="129">
        <v>0</v>
      </c>
      <c r="Q73" s="129">
        <v>111399741</v>
      </c>
      <c r="R73" s="129">
        <v>5120</v>
      </c>
      <c r="S73" s="129">
        <v>0</v>
      </c>
      <c r="T73" s="129">
        <v>5120</v>
      </c>
      <c r="U73" s="129">
        <v>0</v>
      </c>
      <c r="V73" s="129">
        <v>0</v>
      </c>
      <c r="W73" s="129">
        <v>0</v>
      </c>
      <c r="X73" s="129">
        <v>0</v>
      </c>
      <c r="Y73" s="129">
        <v>0</v>
      </c>
      <c r="Z73" s="129">
        <v>0</v>
      </c>
      <c r="AA73" s="129">
        <v>0</v>
      </c>
      <c r="AB73" s="129">
        <v>0</v>
      </c>
      <c r="AC73" s="129">
        <v>0</v>
      </c>
      <c r="AD73" s="129">
        <v>0</v>
      </c>
      <c r="AE73" s="129">
        <v>0</v>
      </c>
      <c r="AF73" s="129">
        <v>0</v>
      </c>
      <c r="AG73" s="129">
        <v>0</v>
      </c>
      <c r="AH73" s="129">
        <v>0</v>
      </c>
      <c r="AI73" s="129">
        <v>0</v>
      </c>
      <c r="AJ73" s="129">
        <v>0</v>
      </c>
      <c r="AK73" s="129">
        <v>0</v>
      </c>
      <c r="AL73" s="129">
        <v>0</v>
      </c>
      <c r="AM73" s="662" t="s">
        <v>13</v>
      </c>
      <c r="AN73" s="324" t="s">
        <v>568</v>
      </c>
      <c r="AO73" s="663" t="s">
        <v>512</v>
      </c>
      <c r="AP73" s="529" t="s">
        <v>1280</v>
      </c>
    </row>
    <row r="74" spans="1:42" ht="12.75" x14ac:dyDescent="0.2">
      <c r="A74" s="664">
        <v>67</v>
      </c>
      <c r="B74" s="665" t="s">
        <v>16</v>
      </c>
      <c r="C74" s="666" t="s">
        <v>1213</v>
      </c>
      <c r="D74" s="667" t="s">
        <v>1214</v>
      </c>
      <c r="E74" s="668" t="s">
        <v>15</v>
      </c>
      <c r="F74" s="129">
        <v>108292152</v>
      </c>
      <c r="G74" s="129">
        <v>24229792</v>
      </c>
      <c r="H74" s="129">
        <v>132521944</v>
      </c>
      <c r="I74" s="129">
        <v>-1253350</v>
      </c>
      <c r="J74" s="129">
        <v>-268999</v>
      </c>
      <c r="K74" s="129">
        <v>-1522349</v>
      </c>
      <c r="L74" s="129">
        <v>-2566510</v>
      </c>
      <c r="M74" s="129">
        <v>-508697</v>
      </c>
      <c r="N74" s="129">
        <v>-3075207</v>
      </c>
      <c r="O74" s="129">
        <v>104472292</v>
      </c>
      <c r="P74" s="129">
        <v>23452096</v>
      </c>
      <c r="Q74" s="129">
        <v>127924388</v>
      </c>
      <c r="R74" s="129">
        <v>0</v>
      </c>
      <c r="S74" s="129">
        <v>0</v>
      </c>
      <c r="T74" s="129">
        <v>0</v>
      </c>
      <c r="U74" s="129">
        <v>0</v>
      </c>
      <c r="V74" s="129">
        <v>0</v>
      </c>
      <c r="W74" s="129">
        <v>0</v>
      </c>
      <c r="X74" s="129">
        <v>-408249</v>
      </c>
      <c r="Y74" s="129">
        <v>20741893</v>
      </c>
      <c r="Z74" s="129">
        <v>2301954</v>
      </c>
      <c r="AA74" s="129">
        <v>2301954</v>
      </c>
      <c r="AB74" s="129">
        <v>0</v>
      </c>
      <c r="AC74" s="129">
        <v>0</v>
      </c>
      <c r="AD74" s="129">
        <v>0</v>
      </c>
      <c r="AE74" s="129">
        <v>0</v>
      </c>
      <c r="AF74" s="129">
        <v>0</v>
      </c>
      <c r="AG74" s="129">
        <v>0</v>
      </c>
      <c r="AH74" s="129">
        <v>0</v>
      </c>
      <c r="AI74" s="129">
        <v>0</v>
      </c>
      <c r="AJ74" s="129">
        <v>0</v>
      </c>
      <c r="AK74" s="129">
        <v>0</v>
      </c>
      <c r="AL74" s="129">
        <v>0</v>
      </c>
      <c r="AM74" s="662" t="s">
        <v>15</v>
      </c>
      <c r="AN74" s="324" t="s">
        <v>576</v>
      </c>
      <c r="AO74" s="669" t="s">
        <v>485</v>
      </c>
      <c r="AP74" s="529" t="s">
        <v>1281</v>
      </c>
    </row>
    <row r="75" spans="1:42" ht="12.75" x14ac:dyDescent="0.2">
      <c r="A75" s="664">
        <v>68</v>
      </c>
      <c r="B75" s="665" t="s">
        <v>18</v>
      </c>
      <c r="C75" s="666" t="s">
        <v>1201</v>
      </c>
      <c r="D75" s="667" t="s">
        <v>1211</v>
      </c>
      <c r="E75" s="668" t="s">
        <v>17</v>
      </c>
      <c r="F75" s="129">
        <v>70494414</v>
      </c>
      <c r="G75" s="129">
        <v>1435840</v>
      </c>
      <c r="H75" s="129">
        <v>71930254</v>
      </c>
      <c r="I75" s="129">
        <v>-705000</v>
      </c>
      <c r="J75" s="129">
        <v>-14358</v>
      </c>
      <c r="K75" s="129">
        <v>-719358</v>
      </c>
      <c r="L75" s="129">
        <v>-2200000</v>
      </c>
      <c r="M75" s="129">
        <v>0</v>
      </c>
      <c r="N75" s="129">
        <v>-2200000</v>
      </c>
      <c r="O75" s="129">
        <v>67589414</v>
      </c>
      <c r="P75" s="129">
        <v>1421482</v>
      </c>
      <c r="Q75" s="129">
        <v>69010896</v>
      </c>
      <c r="R75" s="129">
        <v>38513</v>
      </c>
      <c r="S75" s="129">
        <v>0</v>
      </c>
      <c r="T75" s="129">
        <v>38513</v>
      </c>
      <c r="U75" s="129">
        <v>0</v>
      </c>
      <c r="V75" s="129">
        <v>0</v>
      </c>
      <c r="W75" s="129">
        <v>0</v>
      </c>
      <c r="X75" s="129">
        <v>0</v>
      </c>
      <c r="Y75" s="129">
        <v>65623</v>
      </c>
      <c r="Z75" s="129">
        <v>1393350</v>
      </c>
      <c r="AA75" s="129">
        <v>1393350</v>
      </c>
      <c r="AB75" s="129">
        <v>0</v>
      </c>
      <c r="AC75" s="129">
        <v>0</v>
      </c>
      <c r="AD75" s="129">
        <v>0</v>
      </c>
      <c r="AE75" s="129">
        <v>0</v>
      </c>
      <c r="AF75" s="129">
        <v>73536</v>
      </c>
      <c r="AG75" s="129">
        <v>73536</v>
      </c>
      <c r="AH75" s="129">
        <v>0</v>
      </c>
      <c r="AI75" s="129">
        <v>0</v>
      </c>
      <c r="AJ75" s="129">
        <v>0</v>
      </c>
      <c r="AK75" s="129">
        <v>73536</v>
      </c>
      <c r="AL75" s="129">
        <v>73536</v>
      </c>
      <c r="AM75" s="662" t="s">
        <v>17</v>
      </c>
      <c r="AN75" s="324" t="s">
        <v>536</v>
      </c>
      <c r="AO75" s="663" t="s">
        <v>512</v>
      </c>
      <c r="AP75" s="529" t="s">
        <v>1282</v>
      </c>
    </row>
    <row r="76" spans="1:42" ht="12.75" x14ac:dyDescent="0.2">
      <c r="A76" s="664">
        <v>69</v>
      </c>
      <c r="B76" s="665" t="s">
        <v>20</v>
      </c>
      <c r="C76" s="666" t="s">
        <v>486</v>
      </c>
      <c r="D76" s="667" t="s">
        <v>1283</v>
      </c>
      <c r="E76" s="668" t="s">
        <v>522</v>
      </c>
      <c r="F76" s="129">
        <v>37665175</v>
      </c>
      <c r="G76" s="129">
        <v>237610</v>
      </c>
      <c r="H76" s="129">
        <v>37902785</v>
      </c>
      <c r="I76" s="129">
        <v>-400000</v>
      </c>
      <c r="J76" s="129">
        <v>0</v>
      </c>
      <c r="K76" s="129">
        <v>-400000</v>
      </c>
      <c r="L76" s="129">
        <v>0</v>
      </c>
      <c r="M76" s="129">
        <v>0</v>
      </c>
      <c r="N76" s="129">
        <v>0</v>
      </c>
      <c r="O76" s="129">
        <v>37265175</v>
      </c>
      <c r="P76" s="129">
        <v>237610</v>
      </c>
      <c r="Q76" s="129">
        <v>37502785</v>
      </c>
      <c r="R76" s="129">
        <v>0</v>
      </c>
      <c r="S76" s="129">
        <v>0</v>
      </c>
      <c r="T76" s="129">
        <v>0</v>
      </c>
      <c r="U76" s="129">
        <v>0</v>
      </c>
      <c r="V76" s="129">
        <v>0</v>
      </c>
      <c r="W76" s="129">
        <v>0</v>
      </c>
      <c r="X76" s="129">
        <v>0</v>
      </c>
      <c r="Y76" s="129">
        <v>30601</v>
      </c>
      <c r="Z76" s="129">
        <v>207009</v>
      </c>
      <c r="AA76" s="129">
        <v>207009</v>
      </c>
      <c r="AB76" s="129">
        <v>0</v>
      </c>
      <c r="AC76" s="129">
        <v>0</v>
      </c>
      <c r="AD76" s="129">
        <v>0</v>
      </c>
      <c r="AE76" s="129">
        <v>0</v>
      </c>
      <c r="AF76" s="129">
        <v>30264</v>
      </c>
      <c r="AG76" s="129">
        <v>30264</v>
      </c>
      <c r="AH76" s="129">
        <v>0</v>
      </c>
      <c r="AI76" s="129">
        <v>0</v>
      </c>
      <c r="AJ76" s="129">
        <v>0</v>
      </c>
      <c r="AK76" s="129">
        <v>30264</v>
      </c>
      <c r="AL76" s="129">
        <v>30264</v>
      </c>
      <c r="AM76" s="662" t="s">
        <v>522</v>
      </c>
      <c r="AN76" s="324" t="s">
        <v>486</v>
      </c>
      <c r="AO76" s="663" t="s">
        <v>523</v>
      </c>
      <c r="AP76" s="529" t="s">
        <v>1284</v>
      </c>
    </row>
    <row r="77" spans="1:42" ht="12.75" x14ac:dyDescent="0.2">
      <c r="A77" s="664">
        <v>70</v>
      </c>
      <c r="B77" s="665" t="s">
        <v>22</v>
      </c>
      <c r="C77" s="666" t="s">
        <v>1201</v>
      </c>
      <c r="D77" s="667" t="s">
        <v>1202</v>
      </c>
      <c r="E77" s="668" t="s">
        <v>21</v>
      </c>
      <c r="F77" s="129">
        <v>94926978</v>
      </c>
      <c r="G77" s="129">
        <v>0</v>
      </c>
      <c r="H77" s="129">
        <v>94926978</v>
      </c>
      <c r="I77" s="129">
        <v>-1000000</v>
      </c>
      <c r="J77" s="129">
        <v>0</v>
      </c>
      <c r="K77" s="129">
        <v>-1000000</v>
      </c>
      <c r="L77" s="129">
        <v>-4278819</v>
      </c>
      <c r="M77" s="129">
        <v>0</v>
      </c>
      <c r="N77" s="129">
        <v>-4278819</v>
      </c>
      <c r="O77" s="129">
        <v>89648159</v>
      </c>
      <c r="P77" s="129">
        <v>0</v>
      </c>
      <c r="Q77" s="129">
        <v>89648159</v>
      </c>
      <c r="R77" s="129">
        <v>0</v>
      </c>
      <c r="S77" s="129">
        <v>0</v>
      </c>
      <c r="T77" s="129">
        <v>0</v>
      </c>
      <c r="U77" s="129">
        <v>0</v>
      </c>
      <c r="V77" s="129">
        <v>0</v>
      </c>
      <c r="W77" s="129">
        <v>0</v>
      </c>
      <c r="X77" s="129">
        <v>0</v>
      </c>
      <c r="Y77" s="129">
        <v>0</v>
      </c>
      <c r="Z77" s="129">
        <v>0</v>
      </c>
      <c r="AA77" s="129">
        <v>0</v>
      </c>
      <c r="AB77" s="129">
        <v>0</v>
      </c>
      <c r="AC77" s="129">
        <v>0</v>
      </c>
      <c r="AD77" s="129">
        <v>0</v>
      </c>
      <c r="AE77" s="129">
        <v>0</v>
      </c>
      <c r="AF77" s="129">
        <v>0</v>
      </c>
      <c r="AG77" s="129">
        <v>0</v>
      </c>
      <c r="AH77" s="129">
        <v>0</v>
      </c>
      <c r="AI77" s="129">
        <v>0</v>
      </c>
      <c r="AJ77" s="129">
        <v>0</v>
      </c>
      <c r="AK77" s="129">
        <v>0</v>
      </c>
      <c r="AL77" s="129">
        <v>0</v>
      </c>
      <c r="AM77" s="662" t="s">
        <v>21</v>
      </c>
      <c r="AN77" s="324" t="s">
        <v>543</v>
      </c>
      <c r="AO77" s="663" t="s">
        <v>542</v>
      </c>
      <c r="AP77" s="529" t="s">
        <v>1285</v>
      </c>
    </row>
    <row r="78" spans="1:42" ht="14.25" x14ac:dyDescent="0.2">
      <c r="A78" s="664">
        <v>71</v>
      </c>
      <c r="B78" s="665" t="s">
        <v>24</v>
      </c>
      <c r="C78" s="666" t="s">
        <v>486</v>
      </c>
      <c r="D78" s="667" t="s">
        <v>1206</v>
      </c>
      <c r="E78" s="668" t="s">
        <v>1864</v>
      </c>
      <c r="F78" s="129">
        <v>96415162</v>
      </c>
      <c r="G78" s="129">
        <v>105189</v>
      </c>
      <c r="H78" s="129">
        <v>96520351</v>
      </c>
      <c r="I78" s="129">
        <v>-1446227</v>
      </c>
      <c r="J78" s="129">
        <v>0</v>
      </c>
      <c r="K78" s="129">
        <v>-1446227</v>
      </c>
      <c r="L78" s="129">
        <v>-2959449</v>
      </c>
      <c r="M78" s="129">
        <v>0</v>
      </c>
      <c r="N78" s="129">
        <v>-2959449</v>
      </c>
      <c r="O78" s="129">
        <v>92009486</v>
      </c>
      <c r="P78" s="129">
        <v>105189</v>
      </c>
      <c r="Q78" s="129">
        <v>92114675</v>
      </c>
      <c r="R78" s="129">
        <v>740352</v>
      </c>
      <c r="S78" s="129">
        <v>0</v>
      </c>
      <c r="T78" s="129">
        <v>740352</v>
      </c>
      <c r="U78" s="129">
        <v>0</v>
      </c>
      <c r="V78" s="129">
        <v>0</v>
      </c>
      <c r="W78" s="129">
        <v>0</v>
      </c>
      <c r="X78" s="129">
        <v>0</v>
      </c>
      <c r="Y78" s="129">
        <v>0</v>
      </c>
      <c r="Z78" s="129">
        <v>105189</v>
      </c>
      <c r="AA78" s="129">
        <v>105189</v>
      </c>
      <c r="AB78" s="129">
        <v>0</v>
      </c>
      <c r="AC78" s="129">
        <v>0</v>
      </c>
      <c r="AD78" s="129">
        <v>0</v>
      </c>
      <c r="AE78" s="129">
        <v>0</v>
      </c>
      <c r="AF78" s="129">
        <v>29067</v>
      </c>
      <c r="AG78" s="129">
        <v>29067</v>
      </c>
      <c r="AH78" s="129">
        <v>0</v>
      </c>
      <c r="AI78" s="129">
        <v>0</v>
      </c>
      <c r="AJ78" s="129">
        <v>0</v>
      </c>
      <c r="AK78" s="129">
        <v>29067</v>
      </c>
      <c r="AL78" s="129">
        <v>29067</v>
      </c>
      <c r="AM78" s="662" t="s">
        <v>514</v>
      </c>
      <c r="AN78" s="324" t="s">
        <v>486</v>
      </c>
      <c r="AO78" s="663" t="s">
        <v>515</v>
      </c>
      <c r="AP78" s="529" t="s">
        <v>1286</v>
      </c>
    </row>
    <row r="79" spans="1:42" ht="12.75" x14ac:dyDescent="0.2">
      <c r="A79" s="664">
        <v>72</v>
      </c>
      <c r="B79" s="665" t="s">
        <v>26</v>
      </c>
      <c r="C79" s="666" t="s">
        <v>1201</v>
      </c>
      <c r="D79" s="667" t="s">
        <v>1206</v>
      </c>
      <c r="E79" s="668" t="s">
        <v>25</v>
      </c>
      <c r="F79" s="129">
        <v>20455976</v>
      </c>
      <c r="G79" s="129">
        <v>0</v>
      </c>
      <c r="H79" s="129">
        <v>20455976</v>
      </c>
      <c r="I79" s="129">
        <v>-715959</v>
      </c>
      <c r="J79" s="129">
        <v>0</v>
      </c>
      <c r="K79" s="129">
        <v>-715959</v>
      </c>
      <c r="L79" s="129">
        <v>-600901</v>
      </c>
      <c r="M79" s="129">
        <v>0</v>
      </c>
      <c r="N79" s="129">
        <v>-600901</v>
      </c>
      <c r="O79" s="129">
        <v>19139116</v>
      </c>
      <c r="P79" s="129">
        <v>0</v>
      </c>
      <c r="Q79" s="129">
        <v>19139116</v>
      </c>
      <c r="R79" s="129">
        <v>200441</v>
      </c>
      <c r="S79" s="129">
        <v>0</v>
      </c>
      <c r="T79" s="129">
        <v>200441</v>
      </c>
      <c r="U79" s="129">
        <v>0</v>
      </c>
      <c r="V79" s="129">
        <v>0</v>
      </c>
      <c r="W79" s="129">
        <v>0</v>
      </c>
      <c r="X79" s="129">
        <v>0</v>
      </c>
      <c r="Y79" s="129">
        <v>0</v>
      </c>
      <c r="Z79" s="129">
        <v>0</v>
      </c>
      <c r="AA79" s="129">
        <v>0</v>
      </c>
      <c r="AB79" s="129">
        <v>0</v>
      </c>
      <c r="AC79" s="129">
        <v>0</v>
      </c>
      <c r="AD79" s="129">
        <v>0</v>
      </c>
      <c r="AE79" s="129">
        <v>0</v>
      </c>
      <c r="AF79" s="129">
        <v>0</v>
      </c>
      <c r="AG79" s="129">
        <v>0</v>
      </c>
      <c r="AH79" s="129">
        <v>0</v>
      </c>
      <c r="AI79" s="129">
        <v>0</v>
      </c>
      <c r="AJ79" s="129">
        <v>0</v>
      </c>
      <c r="AK79" s="129">
        <v>0</v>
      </c>
      <c r="AL79" s="129">
        <v>0</v>
      </c>
      <c r="AM79" s="662" t="s">
        <v>25</v>
      </c>
      <c r="AN79" s="324" t="s">
        <v>516</v>
      </c>
      <c r="AO79" s="663" t="s">
        <v>515</v>
      </c>
      <c r="AP79" s="529" t="s">
        <v>1287</v>
      </c>
    </row>
    <row r="80" spans="1:42" ht="12.75" x14ac:dyDescent="0.2">
      <c r="A80" s="664">
        <v>73</v>
      </c>
      <c r="B80" s="665" t="s">
        <v>28</v>
      </c>
      <c r="C80" s="666" t="s">
        <v>1217</v>
      </c>
      <c r="D80" s="667" t="s">
        <v>1218</v>
      </c>
      <c r="E80" s="668" t="s">
        <v>27</v>
      </c>
      <c r="F80" s="129">
        <v>100940953</v>
      </c>
      <c r="G80" s="129">
        <v>0</v>
      </c>
      <c r="H80" s="129">
        <v>100940953</v>
      </c>
      <c r="I80" s="129">
        <v>-1514114</v>
      </c>
      <c r="J80" s="129">
        <v>0</v>
      </c>
      <c r="K80" s="129">
        <v>-1514114</v>
      </c>
      <c r="L80" s="129">
        <v>-4059062</v>
      </c>
      <c r="M80" s="129">
        <v>0</v>
      </c>
      <c r="N80" s="129">
        <v>-4059062</v>
      </c>
      <c r="O80" s="129">
        <v>95367777</v>
      </c>
      <c r="P80" s="129">
        <v>0</v>
      </c>
      <c r="Q80" s="129">
        <v>95367777</v>
      </c>
      <c r="R80" s="129">
        <v>200348</v>
      </c>
      <c r="S80" s="129">
        <v>0</v>
      </c>
      <c r="T80" s="129">
        <v>200348</v>
      </c>
      <c r="U80" s="129">
        <v>0</v>
      </c>
      <c r="V80" s="129">
        <v>0</v>
      </c>
      <c r="W80" s="129">
        <v>0</v>
      </c>
      <c r="X80" s="129">
        <v>0</v>
      </c>
      <c r="Y80" s="129">
        <v>0</v>
      </c>
      <c r="Z80" s="129">
        <v>0</v>
      </c>
      <c r="AA80" s="129">
        <v>0</v>
      </c>
      <c r="AB80" s="129">
        <v>0</v>
      </c>
      <c r="AC80" s="129">
        <v>0</v>
      </c>
      <c r="AD80" s="129">
        <v>0</v>
      </c>
      <c r="AE80" s="129">
        <v>0</v>
      </c>
      <c r="AF80" s="129">
        <v>0</v>
      </c>
      <c r="AG80" s="129">
        <v>0</v>
      </c>
      <c r="AH80" s="129">
        <v>0</v>
      </c>
      <c r="AI80" s="129">
        <v>0</v>
      </c>
      <c r="AJ80" s="129">
        <v>0</v>
      </c>
      <c r="AK80" s="129">
        <v>0</v>
      </c>
      <c r="AL80" s="129">
        <v>0</v>
      </c>
      <c r="AM80" s="662" t="s">
        <v>27</v>
      </c>
      <c r="AN80" s="324" t="s">
        <v>570</v>
      </c>
      <c r="AO80" s="663" t="s">
        <v>572</v>
      </c>
      <c r="AP80" s="529" t="s">
        <v>1288</v>
      </c>
    </row>
    <row r="81" spans="1:42" ht="12.75" x14ac:dyDescent="0.2">
      <c r="A81" s="664">
        <v>74</v>
      </c>
      <c r="B81" s="665" t="s">
        <v>1019</v>
      </c>
      <c r="C81" s="666" t="s">
        <v>486</v>
      </c>
      <c r="D81" s="667" t="s">
        <v>1224</v>
      </c>
      <c r="E81" s="668" t="s">
        <v>1018</v>
      </c>
      <c r="F81" s="129">
        <v>108515041</v>
      </c>
      <c r="G81" s="129">
        <v>303318</v>
      </c>
      <c r="H81" s="129">
        <v>108818359</v>
      </c>
      <c r="I81" s="129">
        <v>-2535468</v>
      </c>
      <c r="J81" s="129">
        <v>0</v>
      </c>
      <c r="K81" s="129">
        <v>-2535468</v>
      </c>
      <c r="L81" s="129">
        <v>-4896826</v>
      </c>
      <c r="M81" s="129">
        <v>0</v>
      </c>
      <c r="N81" s="129">
        <v>-4896826</v>
      </c>
      <c r="O81" s="129">
        <v>101082747</v>
      </c>
      <c r="P81" s="129">
        <v>303318</v>
      </c>
      <c r="Q81" s="129">
        <v>101386065</v>
      </c>
      <c r="R81" s="129">
        <v>673052</v>
      </c>
      <c r="S81" s="129">
        <v>0</v>
      </c>
      <c r="T81" s="129">
        <v>673052</v>
      </c>
      <c r="U81" s="129">
        <v>0</v>
      </c>
      <c r="V81" s="129">
        <v>0</v>
      </c>
      <c r="W81" s="129">
        <v>0</v>
      </c>
      <c r="X81" s="129">
        <v>0</v>
      </c>
      <c r="Y81" s="129">
        <v>282048</v>
      </c>
      <c r="Z81" s="129">
        <v>21270</v>
      </c>
      <c r="AA81" s="129">
        <v>21270</v>
      </c>
      <c r="AB81" s="129">
        <v>0</v>
      </c>
      <c r="AC81" s="129">
        <v>0</v>
      </c>
      <c r="AD81" s="129">
        <v>0</v>
      </c>
      <c r="AE81" s="129">
        <v>0</v>
      </c>
      <c r="AF81" s="129">
        <v>50556</v>
      </c>
      <c r="AG81" s="129">
        <v>50556</v>
      </c>
      <c r="AH81" s="129">
        <v>0</v>
      </c>
      <c r="AI81" s="129">
        <v>0</v>
      </c>
      <c r="AJ81" s="129">
        <v>0</v>
      </c>
      <c r="AK81" s="129">
        <v>50556</v>
      </c>
      <c r="AL81" s="129">
        <v>50556</v>
      </c>
      <c r="AM81" s="662" t="s">
        <v>1018</v>
      </c>
      <c r="AN81" s="324" t="s">
        <v>486</v>
      </c>
      <c r="AO81" s="663" t="s">
        <v>1916</v>
      </c>
      <c r="AP81" s="529" t="s">
        <v>1252</v>
      </c>
    </row>
    <row r="82" spans="1:42" ht="12.75" x14ac:dyDescent="0.2">
      <c r="A82" s="664">
        <v>75</v>
      </c>
      <c r="B82" s="665" t="s">
        <v>38</v>
      </c>
      <c r="C82" s="666" t="s">
        <v>1201</v>
      </c>
      <c r="D82" s="667" t="s">
        <v>1202</v>
      </c>
      <c r="E82" s="668" t="s">
        <v>37</v>
      </c>
      <c r="F82" s="129">
        <v>46225679</v>
      </c>
      <c r="G82" s="129">
        <v>0</v>
      </c>
      <c r="H82" s="129">
        <v>46225679</v>
      </c>
      <c r="I82" s="129">
        <v>-600000</v>
      </c>
      <c r="J82" s="129">
        <v>0</v>
      </c>
      <c r="K82" s="129">
        <v>-600000</v>
      </c>
      <c r="L82" s="129">
        <v>-4332670</v>
      </c>
      <c r="M82" s="129">
        <v>0</v>
      </c>
      <c r="N82" s="129">
        <v>-4332670</v>
      </c>
      <c r="O82" s="129">
        <v>41293009</v>
      </c>
      <c r="P82" s="129">
        <v>0</v>
      </c>
      <c r="Q82" s="129">
        <v>41293009</v>
      </c>
      <c r="R82" s="129">
        <v>1142177</v>
      </c>
      <c r="S82" s="129">
        <v>0</v>
      </c>
      <c r="T82" s="129">
        <v>1142177</v>
      </c>
      <c r="U82" s="129">
        <v>0</v>
      </c>
      <c r="V82" s="129">
        <v>0</v>
      </c>
      <c r="W82" s="129">
        <v>0</v>
      </c>
      <c r="X82" s="129">
        <v>0</v>
      </c>
      <c r="Y82" s="129">
        <v>0</v>
      </c>
      <c r="Z82" s="129">
        <v>0</v>
      </c>
      <c r="AA82" s="129">
        <v>0</v>
      </c>
      <c r="AB82" s="129">
        <v>0</v>
      </c>
      <c r="AC82" s="129">
        <v>0</v>
      </c>
      <c r="AD82" s="129">
        <v>0</v>
      </c>
      <c r="AE82" s="129">
        <v>746719</v>
      </c>
      <c r="AF82" s="129">
        <v>0</v>
      </c>
      <c r="AG82" s="129">
        <v>746719</v>
      </c>
      <c r="AH82" s="129">
        <v>0</v>
      </c>
      <c r="AI82" s="129">
        <v>0</v>
      </c>
      <c r="AJ82" s="129">
        <v>746719</v>
      </c>
      <c r="AK82" s="129">
        <v>0</v>
      </c>
      <c r="AL82" s="129">
        <v>746719</v>
      </c>
      <c r="AM82" s="662" t="s">
        <v>37</v>
      </c>
      <c r="AN82" s="324" t="s">
        <v>543</v>
      </c>
      <c r="AO82" s="663" t="s">
        <v>542</v>
      </c>
      <c r="AP82" s="529" t="s">
        <v>1289</v>
      </c>
    </row>
    <row r="83" spans="1:42" ht="12.75" x14ac:dyDescent="0.2">
      <c r="A83" s="664">
        <v>76</v>
      </c>
      <c r="B83" s="665" t="s">
        <v>40</v>
      </c>
      <c r="C83" s="666" t="s">
        <v>1217</v>
      </c>
      <c r="D83" s="667" t="s">
        <v>1228</v>
      </c>
      <c r="E83" s="668" t="s">
        <v>39</v>
      </c>
      <c r="F83" s="129">
        <v>91695672</v>
      </c>
      <c r="G83" s="129">
        <v>210321</v>
      </c>
      <c r="H83" s="129">
        <v>91905993</v>
      </c>
      <c r="I83" s="129">
        <v>-2300000</v>
      </c>
      <c r="J83" s="129">
        <v>0</v>
      </c>
      <c r="K83" s="129">
        <v>-2300000</v>
      </c>
      <c r="L83" s="129">
        <v>-3700000</v>
      </c>
      <c r="M83" s="129">
        <v>0</v>
      </c>
      <c r="N83" s="129">
        <v>-3700000</v>
      </c>
      <c r="O83" s="129">
        <v>85695672</v>
      </c>
      <c r="P83" s="129">
        <v>210321</v>
      </c>
      <c r="Q83" s="129">
        <v>85905993</v>
      </c>
      <c r="R83" s="129">
        <v>0</v>
      </c>
      <c r="S83" s="129">
        <v>0</v>
      </c>
      <c r="T83" s="129">
        <v>0</v>
      </c>
      <c r="U83" s="129">
        <v>0</v>
      </c>
      <c r="V83" s="129">
        <v>0</v>
      </c>
      <c r="W83" s="129">
        <v>0</v>
      </c>
      <c r="X83" s="129">
        <v>608</v>
      </c>
      <c r="Y83" s="129">
        <v>153484</v>
      </c>
      <c r="Z83" s="129">
        <v>91052</v>
      </c>
      <c r="AA83" s="129">
        <v>91052</v>
      </c>
      <c r="AB83" s="129">
        <v>183228</v>
      </c>
      <c r="AC83" s="129">
        <v>286243</v>
      </c>
      <c r="AD83" s="129">
        <v>469471</v>
      </c>
      <c r="AE83" s="129">
        <v>0</v>
      </c>
      <c r="AF83" s="129">
        <v>0</v>
      </c>
      <c r="AG83" s="129">
        <v>0</v>
      </c>
      <c r="AH83" s="129">
        <v>0</v>
      </c>
      <c r="AI83" s="129">
        <v>0</v>
      </c>
      <c r="AJ83" s="129">
        <v>0</v>
      </c>
      <c r="AK83" s="129">
        <v>0</v>
      </c>
      <c r="AL83" s="129">
        <v>0</v>
      </c>
      <c r="AM83" s="662" t="s">
        <v>39</v>
      </c>
      <c r="AN83" s="324" t="s">
        <v>570</v>
      </c>
      <c r="AO83" s="663" t="s">
        <v>574</v>
      </c>
      <c r="AP83" s="529" t="s">
        <v>1290</v>
      </c>
    </row>
    <row r="84" spans="1:42" ht="12.75" x14ac:dyDescent="0.2">
      <c r="A84" s="664">
        <v>77</v>
      </c>
      <c r="B84" s="665" t="s">
        <v>42</v>
      </c>
      <c r="C84" s="666" t="s">
        <v>486</v>
      </c>
      <c r="D84" s="667" t="s">
        <v>1283</v>
      </c>
      <c r="E84" s="668" t="s">
        <v>41</v>
      </c>
      <c r="F84" s="129">
        <v>123345583</v>
      </c>
      <c r="G84" s="129">
        <v>0</v>
      </c>
      <c r="H84" s="129">
        <v>123345583</v>
      </c>
      <c r="I84" s="129">
        <v>-1231615</v>
      </c>
      <c r="J84" s="129">
        <v>0</v>
      </c>
      <c r="K84" s="129">
        <v>-1231615</v>
      </c>
      <c r="L84" s="129">
        <v>-3700000</v>
      </c>
      <c r="M84" s="129">
        <v>0</v>
      </c>
      <c r="N84" s="129">
        <v>-3700000</v>
      </c>
      <c r="O84" s="129">
        <v>118413968</v>
      </c>
      <c r="P84" s="129">
        <v>0</v>
      </c>
      <c r="Q84" s="129">
        <v>118413968</v>
      </c>
      <c r="R84" s="129">
        <v>183762</v>
      </c>
      <c r="S84" s="129">
        <v>0</v>
      </c>
      <c r="T84" s="129">
        <v>183762</v>
      </c>
      <c r="U84" s="129">
        <v>0</v>
      </c>
      <c r="V84" s="129">
        <v>0</v>
      </c>
      <c r="W84" s="129">
        <v>0</v>
      </c>
      <c r="X84" s="129">
        <v>0</v>
      </c>
      <c r="Y84" s="129">
        <v>0</v>
      </c>
      <c r="Z84" s="129">
        <v>0</v>
      </c>
      <c r="AA84" s="129">
        <v>0</v>
      </c>
      <c r="AB84" s="129">
        <v>0</v>
      </c>
      <c r="AC84" s="129">
        <v>0</v>
      </c>
      <c r="AD84" s="129">
        <v>0</v>
      </c>
      <c r="AE84" s="129">
        <v>0</v>
      </c>
      <c r="AF84" s="129">
        <v>261955</v>
      </c>
      <c r="AG84" s="129">
        <v>261955</v>
      </c>
      <c r="AH84" s="129">
        <v>0</v>
      </c>
      <c r="AI84" s="129">
        <v>0</v>
      </c>
      <c r="AJ84" s="129">
        <v>0</v>
      </c>
      <c r="AK84" s="129">
        <v>261955</v>
      </c>
      <c r="AL84" s="129">
        <v>261955</v>
      </c>
      <c r="AM84" s="662" t="s">
        <v>41</v>
      </c>
      <c r="AN84" s="324" t="s">
        <v>486</v>
      </c>
      <c r="AO84" s="663" t="s">
        <v>523</v>
      </c>
      <c r="AP84" s="529" t="s">
        <v>1291</v>
      </c>
    </row>
    <row r="85" spans="1:42" ht="12.75" x14ac:dyDescent="0.2">
      <c r="A85" s="664">
        <v>78</v>
      </c>
      <c r="B85" s="665" t="s">
        <v>44</v>
      </c>
      <c r="C85" s="666" t="s">
        <v>1213</v>
      </c>
      <c r="D85" s="667" t="s">
        <v>1214</v>
      </c>
      <c r="E85" s="668" t="s">
        <v>43</v>
      </c>
      <c r="F85" s="129">
        <v>162476326</v>
      </c>
      <c r="G85" s="129">
        <v>0</v>
      </c>
      <c r="H85" s="129">
        <v>162476326</v>
      </c>
      <c r="I85" s="129">
        <v>-4061908</v>
      </c>
      <c r="J85" s="129">
        <v>0</v>
      </c>
      <c r="K85" s="129">
        <v>-4061908</v>
      </c>
      <c r="L85" s="129">
        <v>-7636387</v>
      </c>
      <c r="M85" s="129">
        <v>0</v>
      </c>
      <c r="N85" s="129">
        <v>-7636387</v>
      </c>
      <c r="O85" s="129">
        <v>150778031</v>
      </c>
      <c r="P85" s="129">
        <v>0</v>
      </c>
      <c r="Q85" s="129">
        <v>150778031</v>
      </c>
      <c r="R85" s="129">
        <v>0</v>
      </c>
      <c r="S85" s="129">
        <v>0</v>
      </c>
      <c r="T85" s="129">
        <v>0</v>
      </c>
      <c r="U85" s="129">
        <v>0</v>
      </c>
      <c r="V85" s="129">
        <v>0</v>
      </c>
      <c r="W85" s="129">
        <v>0</v>
      </c>
      <c r="X85" s="129">
        <v>0</v>
      </c>
      <c r="Y85" s="129">
        <v>0</v>
      </c>
      <c r="Z85" s="129">
        <v>0</v>
      </c>
      <c r="AA85" s="129">
        <v>0</v>
      </c>
      <c r="AB85" s="129">
        <v>0</v>
      </c>
      <c r="AC85" s="129">
        <v>0</v>
      </c>
      <c r="AD85" s="129">
        <v>0</v>
      </c>
      <c r="AE85" s="129">
        <v>0</v>
      </c>
      <c r="AF85" s="129">
        <v>0</v>
      </c>
      <c r="AG85" s="129">
        <v>0</v>
      </c>
      <c r="AH85" s="129">
        <v>0</v>
      </c>
      <c r="AI85" s="129">
        <v>0</v>
      </c>
      <c r="AJ85" s="129">
        <v>0</v>
      </c>
      <c r="AK85" s="129">
        <v>0</v>
      </c>
      <c r="AL85" s="129">
        <v>0</v>
      </c>
      <c r="AM85" s="662" t="s">
        <v>43</v>
      </c>
      <c r="AN85" s="324" t="s">
        <v>576</v>
      </c>
      <c r="AO85" s="669" t="s">
        <v>485</v>
      </c>
      <c r="AP85" s="529" t="s">
        <v>1292</v>
      </c>
    </row>
    <row r="86" spans="1:42" ht="12.75" x14ac:dyDescent="0.2">
      <c r="A86" s="664">
        <v>79</v>
      </c>
      <c r="B86" s="665" t="s">
        <v>46</v>
      </c>
      <c r="C86" s="666" t="s">
        <v>1201</v>
      </c>
      <c r="D86" s="667" t="s">
        <v>1211</v>
      </c>
      <c r="E86" s="668" t="s">
        <v>45</v>
      </c>
      <c r="F86" s="129">
        <v>23021527</v>
      </c>
      <c r="G86" s="129">
        <v>296333</v>
      </c>
      <c r="H86" s="129">
        <v>23317860</v>
      </c>
      <c r="I86" s="129">
        <v>-79489</v>
      </c>
      <c r="J86" s="129">
        <v>0</v>
      </c>
      <c r="K86" s="129">
        <v>-79489</v>
      </c>
      <c r="L86" s="129">
        <v>-891708</v>
      </c>
      <c r="M86" s="129">
        <v>0</v>
      </c>
      <c r="N86" s="129">
        <v>-891708</v>
      </c>
      <c r="O86" s="129">
        <v>22050330</v>
      </c>
      <c r="P86" s="129">
        <v>296333</v>
      </c>
      <c r="Q86" s="129">
        <v>22346663</v>
      </c>
      <c r="R86" s="129">
        <v>674728</v>
      </c>
      <c r="S86" s="129">
        <v>0</v>
      </c>
      <c r="T86" s="129">
        <v>674728</v>
      </c>
      <c r="U86" s="129">
        <v>0</v>
      </c>
      <c r="V86" s="129">
        <v>0</v>
      </c>
      <c r="W86" s="129">
        <v>0</v>
      </c>
      <c r="X86" s="129">
        <v>0</v>
      </c>
      <c r="Y86" s="129">
        <v>209271</v>
      </c>
      <c r="Z86" s="129">
        <v>87062</v>
      </c>
      <c r="AA86" s="129">
        <v>87062</v>
      </c>
      <c r="AB86" s="129">
        <v>0</v>
      </c>
      <c r="AC86" s="129">
        <v>0</v>
      </c>
      <c r="AD86" s="129">
        <v>0</v>
      </c>
      <c r="AE86" s="129">
        <v>0</v>
      </c>
      <c r="AF86" s="129">
        <v>122483</v>
      </c>
      <c r="AG86" s="129">
        <v>122483</v>
      </c>
      <c r="AH86" s="129">
        <v>0</v>
      </c>
      <c r="AI86" s="129">
        <v>0</v>
      </c>
      <c r="AJ86" s="129">
        <v>0</v>
      </c>
      <c r="AK86" s="129">
        <v>122483</v>
      </c>
      <c r="AL86" s="129">
        <v>122483</v>
      </c>
      <c r="AM86" s="662" t="s">
        <v>45</v>
      </c>
      <c r="AN86" s="324" t="s">
        <v>503</v>
      </c>
      <c r="AO86" s="663" t="s">
        <v>502</v>
      </c>
      <c r="AP86" s="529" t="s">
        <v>1293</v>
      </c>
    </row>
    <row r="87" spans="1:42" ht="12.75" x14ac:dyDescent="0.2">
      <c r="A87" s="664">
        <v>80</v>
      </c>
      <c r="B87" s="665" t="s">
        <v>48</v>
      </c>
      <c r="C87" s="666" t="s">
        <v>1201</v>
      </c>
      <c r="D87" s="667" t="s">
        <v>1224</v>
      </c>
      <c r="E87" s="668" t="s">
        <v>47</v>
      </c>
      <c r="F87" s="129">
        <v>36941618</v>
      </c>
      <c r="G87" s="129">
        <v>1430690</v>
      </c>
      <c r="H87" s="129">
        <v>38372308</v>
      </c>
      <c r="I87" s="129">
        <v>-100000</v>
      </c>
      <c r="J87" s="129">
        <v>0</v>
      </c>
      <c r="K87" s="129">
        <v>-100000</v>
      </c>
      <c r="L87" s="129">
        <v>-1736256</v>
      </c>
      <c r="M87" s="129">
        <v>-67242</v>
      </c>
      <c r="N87" s="129">
        <v>-1803498</v>
      </c>
      <c r="O87" s="129">
        <v>35105362</v>
      </c>
      <c r="P87" s="129">
        <v>1363448</v>
      </c>
      <c r="Q87" s="129">
        <v>36468810</v>
      </c>
      <c r="R87" s="129">
        <v>415253</v>
      </c>
      <c r="S87" s="129">
        <v>13056</v>
      </c>
      <c r="T87" s="129">
        <v>428309</v>
      </c>
      <c r="U87" s="129">
        <v>0</v>
      </c>
      <c r="V87" s="129">
        <v>0</v>
      </c>
      <c r="W87" s="129">
        <v>0</v>
      </c>
      <c r="X87" s="129">
        <v>1052</v>
      </c>
      <c r="Y87" s="129">
        <v>684189</v>
      </c>
      <c r="Z87" s="129">
        <v>667255</v>
      </c>
      <c r="AA87" s="129">
        <v>667255</v>
      </c>
      <c r="AB87" s="129">
        <v>0</v>
      </c>
      <c r="AC87" s="129">
        <v>0</v>
      </c>
      <c r="AD87" s="129">
        <v>0</v>
      </c>
      <c r="AE87" s="129">
        <v>0</v>
      </c>
      <c r="AF87" s="129">
        <v>139268</v>
      </c>
      <c r="AG87" s="129">
        <v>139268</v>
      </c>
      <c r="AH87" s="129">
        <v>0</v>
      </c>
      <c r="AI87" s="129">
        <v>0</v>
      </c>
      <c r="AJ87" s="129">
        <v>0</v>
      </c>
      <c r="AK87" s="129">
        <v>139268</v>
      </c>
      <c r="AL87" s="129">
        <v>139268</v>
      </c>
      <c r="AM87" s="662" t="s">
        <v>47</v>
      </c>
      <c r="AN87" s="324" t="s">
        <v>521</v>
      </c>
      <c r="AO87" s="670" t="s">
        <v>519</v>
      </c>
      <c r="AP87" s="529" t="s">
        <v>1294</v>
      </c>
    </row>
    <row r="88" spans="1:42" ht="14.25" x14ac:dyDescent="0.2">
      <c r="A88" s="664">
        <v>81</v>
      </c>
      <c r="B88" s="665" t="s">
        <v>50</v>
      </c>
      <c r="C88" s="666" t="s">
        <v>1201</v>
      </c>
      <c r="D88" s="667" t="s">
        <v>1202</v>
      </c>
      <c r="E88" s="668" t="s">
        <v>1921</v>
      </c>
      <c r="F88" s="129">
        <v>34096199</v>
      </c>
      <c r="G88" s="129">
        <v>33403</v>
      </c>
      <c r="H88" s="129">
        <v>34129602</v>
      </c>
      <c r="I88" s="129">
        <v>-1280901</v>
      </c>
      <c r="J88" s="129">
        <v>0</v>
      </c>
      <c r="K88" s="129">
        <v>-1280901</v>
      </c>
      <c r="L88" s="129">
        <v>-2045772</v>
      </c>
      <c r="M88" s="129">
        <v>0</v>
      </c>
      <c r="N88" s="129">
        <v>-2045772</v>
      </c>
      <c r="O88" s="129">
        <v>30769526</v>
      </c>
      <c r="P88" s="129">
        <v>33403</v>
      </c>
      <c r="Q88" s="129">
        <v>30802929</v>
      </c>
      <c r="R88" s="129">
        <v>51272</v>
      </c>
      <c r="S88" s="129">
        <v>0</v>
      </c>
      <c r="T88" s="129">
        <v>51272</v>
      </c>
      <c r="U88" s="129">
        <v>0</v>
      </c>
      <c r="V88" s="129">
        <v>0</v>
      </c>
      <c r="W88" s="129">
        <v>0</v>
      </c>
      <c r="X88" s="129">
        <v>0</v>
      </c>
      <c r="Y88" s="129">
        <v>0</v>
      </c>
      <c r="Z88" s="129">
        <v>33403</v>
      </c>
      <c r="AA88" s="129">
        <v>33403</v>
      </c>
      <c r="AB88" s="129">
        <v>0</v>
      </c>
      <c r="AC88" s="129">
        <v>0</v>
      </c>
      <c r="AD88" s="129">
        <v>0</v>
      </c>
      <c r="AE88" s="129">
        <v>0</v>
      </c>
      <c r="AF88" s="129">
        <v>5399</v>
      </c>
      <c r="AG88" s="129">
        <v>5399</v>
      </c>
      <c r="AH88" s="129">
        <v>0</v>
      </c>
      <c r="AI88" s="129">
        <v>0</v>
      </c>
      <c r="AJ88" s="129">
        <v>0</v>
      </c>
      <c r="AK88" s="129">
        <v>5399</v>
      </c>
      <c r="AL88" s="129">
        <v>5399</v>
      </c>
      <c r="AM88" s="662" t="s">
        <v>49</v>
      </c>
      <c r="AN88" s="324" t="s">
        <v>532</v>
      </c>
      <c r="AO88" s="663" t="s">
        <v>1920</v>
      </c>
      <c r="AP88" s="529" t="s">
        <v>1295</v>
      </c>
    </row>
    <row r="89" spans="1:42" ht="12.75" x14ac:dyDescent="0.2">
      <c r="A89" s="664">
        <v>82</v>
      </c>
      <c r="B89" s="665" t="s">
        <v>52</v>
      </c>
      <c r="C89" s="666" t="s">
        <v>1201</v>
      </c>
      <c r="D89" s="667" t="s">
        <v>1211</v>
      </c>
      <c r="E89" s="668" t="s">
        <v>51</v>
      </c>
      <c r="F89" s="129">
        <v>46917181</v>
      </c>
      <c r="G89" s="129">
        <v>0</v>
      </c>
      <c r="H89" s="129">
        <v>46917181</v>
      </c>
      <c r="I89" s="129">
        <v>-600000</v>
      </c>
      <c r="J89" s="129">
        <v>0</v>
      </c>
      <c r="K89" s="129">
        <v>-600000</v>
      </c>
      <c r="L89" s="129">
        <v>-2470122</v>
      </c>
      <c r="M89" s="129">
        <v>0</v>
      </c>
      <c r="N89" s="129">
        <v>-2470122</v>
      </c>
      <c r="O89" s="129">
        <v>43847059</v>
      </c>
      <c r="P89" s="129">
        <v>0</v>
      </c>
      <c r="Q89" s="129">
        <v>43847059</v>
      </c>
      <c r="R89" s="129">
        <v>0</v>
      </c>
      <c r="S89" s="129">
        <v>0</v>
      </c>
      <c r="T89" s="129">
        <v>0</v>
      </c>
      <c r="U89" s="129">
        <v>0</v>
      </c>
      <c r="V89" s="129">
        <v>0</v>
      </c>
      <c r="W89" s="129">
        <v>0</v>
      </c>
      <c r="X89" s="129">
        <v>0</v>
      </c>
      <c r="Y89" s="129">
        <v>0</v>
      </c>
      <c r="Z89" s="129">
        <v>0</v>
      </c>
      <c r="AA89" s="129">
        <v>0</v>
      </c>
      <c r="AB89" s="129">
        <v>0</v>
      </c>
      <c r="AC89" s="129">
        <v>0</v>
      </c>
      <c r="AD89" s="129">
        <v>0</v>
      </c>
      <c r="AE89" s="129">
        <v>0</v>
      </c>
      <c r="AF89" s="129">
        <v>0</v>
      </c>
      <c r="AG89" s="129">
        <v>0</v>
      </c>
      <c r="AH89" s="129">
        <v>0</v>
      </c>
      <c r="AI89" s="129">
        <v>0</v>
      </c>
      <c r="AJ89" s="129">
        <v>0</v>
      </c>
      <c r="AK89" s="129">
        <v>0</v>
      </c>
      <c r="AL89" s="129">
        <v>0</v>
      </c>
      <c r="AM89" s="662" t="s">
        <v>51</v>
      </c>
      <c r="AN89" s="324" t="s">
        <v>536</v>
      </c>
      <c r="AO89" s="663" t="s">
        <v>512</v>
      </c>
      <c r="AP89" s="529" t="s">
        <v>1296</v>
      </c>
    </row>
    <row r="90" spans="1:42" ht="12.75" x14ac:dyDescent="0.2">
      <c r="A90" s="664">
        <v>83</v>
      </c>
      <c r="B90" s="665" t="s">
        <v>54</v>
      </c>
      <c r="C90" s="666" t="s">
        <v>1201</v>
      </c>
      <c r="D90" s="667" t="s">
        <v>1206</v>
      </c>
      <c r="E90" s="668" t="s">
        <v>53</v>
      </c>
      <c r="F90" s="129">
        <v>39041989</v>
      </c>
      <c r="G90" s="129">
        <v>0</v>
      </c>
      <c r="H90" s="129">
        <v>39041989</v>
      </c>
      <c r="I90" s="129">
        <v>-585630</v>
      </c>
      <c r="J90" s="129">
        <v>0</v>
      </c>
      <c r="K90" s="129">
        <v>-585630</v>
      </c>
      <c r="L90" s="129">
        <v>-393334</v>
      </c>
      <c r="M90" s="129">
        <v>0</v>
      </c>
      <c r="N90" s="129">
        <v>-393334</v>
      </c>
      <c r="O90" s="129">
        <v>38063025</v>
      </c>
      <c r="P90" s="129">
        <v>0</v>
      </c>
      <c r="Q90" s="129">
        <v>38063025</v>
      </c>
      <c r="R90" s="129">
        <v>818202</v>
      </c>
      <c r="S90" s="129">
        <v>0</v>
      </c>
      <c r="T90" s="129">
        <v>818202</v>
      </c>
      <c r="U90" s="129">
        <v>0</v>
      </c>
      <c r="V90" s="129">
        <v>0</v>
      </c>
      <c r="W90" s="129">
        <v>0</v>
      </c>
      <c r="X90" s="129">
        <v>0</v>
      </c>
      <c r="Y90" s="129">
        <v>0</v>
      </c>
      <c r="Z90" s="129">
        <v>0</v>
      </c>
      <c r="AA90" s="129">
        <v>0</v>
      </c>
      <c r="AB90" s="129">
        <v>0</v>
      </c>
      <c r="AC90" s="129">
        <v>0</v>
      </c>
      <c r="AD90" s="129">
        <v>0</v>
      </c>
      <c r="AE90" s="129">
        <v>0</v>
      </c>
      <c r="AF90" s="129">
        <v>0</v>
      </c>
      <c r="AG90" s="129">
        <v>0</v>
      </c>
      <c r="AH90" s="129">
        <v>0</v>
      </c>
      <c r="AI90" s="129">
        <v>0</v>
      </c>
      <c r="AJ90" s="129">
        <v>0</v>
      </c>
      <c r="AK90" s="129">
        <v>0</v>
      </c>
      <c r="AL90" s="129">
        <v>0</v>
      </c>
      <c r="AM90" s="662" t="s">
        <v>53</v>
      </c>
      <c r="AN90" s="324" t="s">
        <v>552</v>
      </c>
      <c r="AO90" s="663" t="s">
        <v>512</v>
      </c>
      <c r="AP90" s="529" t="s">
        <v>1297</v>
      </c>
    </row>
    <row r="91" spans="1:42" ht="12.75" x14ac:dyDescent="0.2">
      <c r="A91" s="664">
        <v>84</v>
      </c>
      <c r="B91" s="665" t="s">
        <v>56</v>
      </c>
      <c r="C91" s="666" t="s">
        <v>486</v>
      </c>
      <c r="D91" s="667" t="s">
        <v>1218</v>
      </c>
      <c r="E91" s="668" t="s">
        <v>537</v>
      </c>
      <c r="F91" s="129">
        <v>114345199</v>
      </c>
      <c r="G91" s="129">
        <v>579284</v>
      </c>
      <c r="H91" s="129">
        <v>114924483</v>
      </c>
      <c r="I91" s="129">
        <v>-850000</v>
      </c>
      <c r="J91" s="129">
        <v>0</v>
      </c>
      <c r="K91" s="129">
        <v>-850000</v>
      </c>
      <c r="L91" s="129">
        <v>-3402000</v>
      </c>
      <c r="M91" s="129">
        <v>0</v>
      </c>
      <c r="N91" s="129">
        <v>-3402000</v>
      </c>
      <c r="O91" s="129">
        <v>110093199</v>
      </c>
      <c r="P91" s="129">
        <v>579284</v>
      </c>
      <c r="Q91" s="129">
        <v>110672483</v>
      </c>
      <c r="R91" s="129">
        <v>5269225</v>
      </c>
      <c r="S91" s="129">
        <v>0</v>
      </c>
      <c r="T91" s="129">
        <v>5269225</v>
      </c>
      <c r="U91" s="129">
        <v>0</v>
      </c>
      <c r="V91" s="129">
        <v>0</v>
      </c>
      <c r="W91" s="129">
        <v>0</v>
      </c>
      <c r="X91" s="129">
        <v>0</v>
      </c>
      <c r="Y91" s="129">
        <v>146006</v>
      </c>
      <c r="Z91" s="129">
        <v>466132</v>
      </c>
      <c r="AA91" s="129">
        <v>466132</v>
      </c>
      <c r="AB91" s="129">
        <v>0</v>
      </c>
      <c r="AC91" s="129">
        <v>0</v>
      </c>
      <c r="AD91" s="129">
        <v>0</v>
      </c>
      <c r="AE91" s="129">
        <v>41727</v>
      </c>
      <c r="AF91" s="129">
        <v>0</v>
      </c>
      <c r="AG91" s="129">
        <v>41727</v>
      </c>
      <c r="AH91" s="129">
        <v>0</v>
      </c>
      <c r="AI91" s="129">
        <v>0</v>
      </c>
      <c r="AJ91" s="129">
        <v>41727</v>
      </c>
      <c r="AK91" s="129">
        <v>0</v>
      </c>
      <c r="AL91" s="129">
        <v>41727</v>
      </c>
      <c r="AM91" s="662" t="s">
        <v>537</v>
      </c>
      <c r="AN91" s="324" t="s">
        <v>486</v>
      </c>
      <c r="AO91" s="663" t="s">
        <v>538</v>
      </c>
      <c r="AP91" s="529" t="s">
        <v>1298</v>
      </c>
    </row>
    <row r="92" spans="1:42" ht="12.75" x14ac:dyDescent="0.2">
      <c r="A92" s="664">
        <v>85</v>
      </c>
      <c r="B92" s="665" t="s">
        <v>58</v>
      </c>
      <c r="C92" s="666" t="s">
        <v>1201</v>
      </c>
      <c r="D92" s="667" t="s">
        <v>1228</v>
      </c>
      <c r="E92" s="668" t="s">
        <v>57</v>
      </c>
      <c r="F92" s="129">
        <v>59704878</v>
      </c>
      <c r="G92" s="129">
        <v>0</v>
      </c>
      <c r="H92" s="129">
        <v>59704878</v>
      </c>
      <c r="I92" s="129">
        <v>-697000</v>
      </c>
      <c r="J92" s="129">
        <v>0</v>
      </c>
      <c r="K92" s="129">
        <v>-697000</v>
      </c>
      <c r="L92" s="129">
        <v>-3104250</v>
      </c>
      <c r="M92" s="129">
        <v>0</v>
      </c>
      <c r="N92" s="129">
        <v>-3104250</v>
      </c>
      <c r="O92" s="129">
        <v>55903628</v>
      </c>
      <c r="P92" s="129">
        <v>0</v>
      </c>
      <c r="Q92" s="129">
        <v>55903628</v>
      </c>
      <c r="R92" s="129">
        <v>0</v>
      </c>
      <c r="S92" s="129">
        <v>0</v>
      </c>
      <c r="T92" s="129">
        <v>0</v>
      </c>
      <c r="U92" s="129">
        <v>0</v>
      </c>
      <c r="V92" s="129">
        <v>0</v>
      </c>
      <c r="W92" s="129">
        <v>0</v>
      </c>
      <c r="X92" s="129">
        <v>0</v>
      </c>
      <c r="Y92" s="129">
        <v>0</v>
      </c>
      <c r="Z92" s="129">
        <v>0</v>
      </c>
      <c r="AA92" s="129">
        <v>0</v>
      </c>
      <c r="AB92" s="129">
        <v>0</v>
      </c>
      <c r="AC92" s="129">
        <v>0</v>
      </c>
      <c r="AD92" s="129">
        <v>0</v>
      </c>
      <c r="AE92" s="129">
        <v>0</v>
      </c>
      <c r="AF92" s="129">
        <v>0</v>
      </c>
      <c r="AG92" s="129">
        <v>0</v>
      </c>
      <c r="AH92" s="129">
        <v>0</v>
      </c>
      <c r="AI92" s="129">
        <v>0</v>
      </c>
      <c r="AJ92" s="129">
        <v>0</v>
      </c>
      <c r="AK92" s="129">
        <v>0</v>
      </c>
      <c r="AL92" s="129">
        <v>0</v>
      </c>
      <c r="AM92" s="662" t="s">
        <v>57</v>
      </c>
      <c r="AN92" s="324" t="s">
        <v>564</v>
      </c>
      <c r="AO92" s="663" t="s">
        <v>1917</v>
      </c>
      <c r="AP92" s="529" t="s">
        <v>1299</v>
      </c>
    </row>
    <row r="93" spans="1:42" ht="12.75" x14ac:dyDescent="0.2">
      <c r="A93" s="664">
        <v>86</v>
      </c>
      <c r="B93" s="665" t="s">
        <v>1021</v>
      </c>
      <c r="C93" s="666" t="s">
        <v>1201</v>
      </c>
      <c r="D93" s="667" t="s">
        <v>1211</v>
      </c>
      <c r="E93" s="668" t="s">
        <v>1020</v>
      </c>
      <c r="F93" s="129">
        <v>97883028</v>
      </c>
      <c r="G93" s="129">
        <v>540898</v>
      </c>
      <c r="H93" s="129">
        <v>98423926</v>
      </c>
      <c r="I93" s="129">
        <v>-1160196</v>
      </c>
      <c r="J93" s="129">
        <v>0</v>
      </c>
      <c r="K93" s="129">
        <v>-1160196</v>
      </c>
      <c r="L93" s="129">
        <v>-3430170</v>
      </c>
      <c r="M93" s="129">
        <v>0</v>
      </c>
      <c r="N93" s="129">
        <v>-3430170</v>
      </c>
      <c r="O93" s="129">
        <v>93292662</v>
      </c>
      <c r="P93" s="129">
        <v>540898</v>
      </c>
      <c r="Q93" s="129">
        <v>93833560</v>
      </c>
      <c r="R93" s="129">
        <v>1128621</v>
      </c>
      <c r="S93" s="129">
        <v>0</v>
      </c>
      <c r="T93" s="129">
        <v>1128621</v>
      </c>
      <c r="U93" s="129">
        <v>0</v>
      </c>
      <c r="V93" s="129">
        <v>0</v>
      </c>
      <c r="W93" s="129">
        <v>0</v>
      </c>
      <c r="X93" s="129">
        <v>0</v>
      </c>
      <c r="Y93" s="129">
        <v>45875</v>
      </c>
      <c r="Z93" s="129">
        <v>495023</v>
      </c>
      <c r="AA93" s="129">
        <v>495023</v>
      </c>
      <c r="AB93" s="129">
        <v>0</v>
      </c>
      <c r="AC93" s="129">
        <v>0</v>
      </c>
      <c r="AD93" s="129">
        <v>0</v>
      </c>
      <c r="AE93" s="129">
        <v>0</v>
      </c>
      <c r="AF93" s="129">
        <v>4790</v>
      </c>
      <c r="AG93" s="129">
        <v>4790</v>
      </c>
      <c r="AH93" s="129">
        <v>0</v>
      </c>
      <c r="AI93" s="129">
        <v>0</v>
      </c>
      <c r="AJ93" s="129">
        <v>0</v>
      </c>
      <c r="AK93" s="129">
        <v>4790</v>
      </c>
      <c r="AL93" s="129">
        <v>4790</v>
      </c>
      <c r="AM93" s="662" t="s">
        <v>1020</v>
      </c>
      <c r="AN93" s="324" t="s">
        <v>565</v>
      </c>
      <c r="AO93" s="663" t="s">
        <v>512</v>
      </c>
      <c r="AP93" s="529" t="s">
        <v>1300</v>
      </c>
    </row>
    <row r="94" spans="1:42" ht="12.75" x14ac:dyDescent="0.2">
      <c r="A94" s="664">
        <v>87</v>
      </c>
      <c r="B94" s="665" t="s">
        <v>60</v>
      </c>
      <c r="C94" s="666" t="s">
        <v>1201</v>
      </c>
      <c r="D94" s="667" t="s">
        <v>1202</v>
      </c>
      <c r="E94" s="668" t="s">
        <v>59</v>
      </c>
      <c r="F94" s="129">
        <v>38405906</v>
      </c>
      <c r="G94" s="129">
        <v>0</v>
      </c>
      <c r="H94" s="129">
        <v>38405906</v>
      </c>
      <c r="I94" s="129">
        <v>-400000</v>
      </c>
      <c r="J94" s="129">
        <v>0</v>
      </c>
      <c r="K94" s="129">
        <v>-400000</v>
      </c>
      <c r="L94" s="129">
        <v>-300000</v>
      </c>
      <c r="M94" s="129">
        <v>0</v>
      </c>
      <c r="N94" s="129">
        <v>-300000</v>
      </c>
      <c r="O94" s="129">
        <v>37705906</v>
      </c>
      <c r="P94" s="129">
        <v>0</v>
      </c>
      <c r="Q94" s="129">
        <v>37705906</v>
      </c>
      <c r="R94" s="129">
        <v>0</v>
      </c>
      <c r="S94" s="129">
        <v>0</v>
      </c>
      <c r="T94" s="129">
        <v>0</v>
      </c>
      <c r="U94" s="129">
        <v>0</v>
      </c>
      <c r="V94" s="129">
        <v>0</v>
      </c>
      <c r="W94" s="129">
        <v>0</v>
      </c>
      <c r="X94" s="129">
        <v>0</v>
      </c>
      <c r="Y94" s="129">
        <v>0</v>
      </c>
      <c r="Z94" s="129">
        <v>0</v>
      </c>
      <c r="AA94" s="129">
        <v>0</v>
      </c>
      <c r="AB94" s="129">
        <v>0</v>
      </c>
      <c r="AC94" s="129">
        <v>0</v>
      </c>
      <c r="AD94" s="129">
        <v>0</v>
      </c>
      <c r="AE94" s="129">
        <v>0</v>
      </c>
      <c r="AF94" s="129">
        <v>0</v>
      </c>
      <c r="AG94" s="129">
        <v>0</v>
      </c>
      <c r="AH94" s="129">
        <v>0</v>
      </c>
      <c r="AI94" s="129">
        <v>0</v>
      </c>
      <c r="AJ94" s="129">
        <v>0</v>
      </c>
      <c r="AK94" s="129">
        <v>0</v>
      </c>
      <c r="AL94" s="129">
        <v>0</v>
      </c>
      <c r="AM94" s="662" t="s">
        <v>59</v>
      </c>
      <c r="AN94" s="324" t="s">
        <v>525</v>
      </c>
      <c r="AO94" s="663" t="s">
        <v>524</v>
      </c>
      <c r="AP94" s="529" t="s">
        <v>1301</v>
      </c>
    </row>
    <row r="95" spans="1:42" ht="12.75" x14ac:dyDescent="0.2">
      <c r="A95" s="664">
        <v>88</v>
      </c>
      <c r="B95" s="665" t="s">
        <v>62</v>
      </c>
      <c r="C95" s="666" t="s">
        <v>1201</v>
      </c>
      <c r="D95" s="667" t="s">
        <v>1202</v>
      </c>
      <c r="E95" s="668" t="s">
        <v>61</v>
      </c>
      <c r="F95" s="129">
        <v>63124704</v>
      </c>
      <c r="G95" s="129">
        <v>0</v>
      </c>
      <c r="H95" s="129">
        <v>63124704</v>
      </c>
      <c r="I95" s="129">
        <v>-1262494</v>
      </c>
      <c r="J95" s="129">
        <v>0</v>
      </c>
      <c r="K95" s="129">
        <v>-1262494</v>
      </c>
      <c r="L95" s="129">
        <v>-1388743</v>
      </c>
      <c r="M95" s="129">
        <v>0</v>
      </c>
      <c r="N95" s="129">
        <v>-1388743</v>
      </c>
      <c r="O95" s="129">
        <v>60473467</v>
      </c>
      <c r="P95" s="129">
        <v>0</v>
      </c>
      <c r="Q95" s="129">
        <v>60473467</v>
      </c>
      <c r="R95" s="129">
        <v>0</v>
      </c>
      <c r="S95" s="129">
        <v>0</v>
      </c>
      <c r="T95" s="129">
        <v>0</v>
      </c>
      <c r="U95" s="129">
        <v>0</v>
      </c>
      <c r="V95" s="129">
        <v>0</v>
      </c>
      <c r="W95" s="129">
        <v>0</v>
      </c>
      <c r="X95" s="129">
        <v>0</v>
      </c>
      <c r="Y95" s="129">
        <v>0</v>
      </c>
      <c r="Z95" s="129">
        <v>0</v>
      </c>
      <c r="AA95" s="129">
        <v>0</v>
      </c>
      <c r="AB95" s="129">
        <v>0</v>
      </c>
      <c r="AC95" s="129">
        <v>0</v>
      </c>
      <c r="AD95" s="129">
        <v>0</v>
      </c>
      <c r="AE95" s="129">
        <v>0</v>
      </c>
      <c r="AF95" s="129">
        <v>0</v>
      </c>
      <c r="AG95" s="129">
        <v>0</v>
      </c>
      <c r="AH95" s="129">
        <v>0</v>
      </c>
      <c r="AI95" s="129">
        <v>0</v>
      </c>
      <c r="AJ95" s="129">
        <v>0</v>
      </c>
      <c r="AK95" s="129">
        <v>0</v>
      </c>
      <c r="AL95" s="129">
        <v>0</v>
      </c>
      <c r="AM95" s="662" t="s">
        <v>61</v>
      </c>
      <c r="AN95" s="324" t="s">
        <v>532</v>
      </c>
      <c r="AO95" s="663" t="s">
        <v>1914</v>
      </c>
      <c r="AP95" s="529" t="s">
        <v>1302</v>
      </c>
    </row>
    <row r="96" spans="1:42" ht="14.25" x14ac:dyDescent="0.2">
      <c r="A96" s="664">
        <v>89</v>
      </c>
      <c r="B96" s="665" t="s">
        <v>64</v>
      </c>
      <c r="C96" s="666" t="s">
        <v>1201</v>
      </c>
      <c r="D96" s="667" t="s">
        <v>1204</v>
      </c>
      <c r="E96" s="668" t="s">
        <v>1868</v>
      </c>
      <c r="F96" s="129">
        <v>23199800</v>
      </c>
      <c r="G96" s="129">
        <v>0</v>
      </c>
      <c r="H96" s="129">
        <v>23199800</v>
      </c>
      <c r="I96" s="129">
        <v>-347997</v>
      </c>
      <c r="J96" s="129">
        <v>0</v>
      </c>
      <c r="K96" s="129">
        <v>-347997</v>
      </c>
      <c r="L96" s="129">
        <v>-463996</v>
      </c>
      <c r="M96" s="129">
        <v>0</v>
      </c>
      <c r="N96" s="129">
        <v>-463996</v>
      </c>
      <c r="O96" s="129">
        <v>22387807</v>
      </c>
      <c r="P96" s="129">
        <v>0</v>
      </c>
      <c r="Q96" s="129">
        <v>22387807</v>
      </c>
      <c r="R96" s="129">
        <v>15347</v>
      </c>
      <c r="S96" s="129">
        <v>0</v>
      </c>
      <c r="T96" s="129">
        <v>15347</v>
      </c>
      <c r="U96" s="129">
        <v>0</v>
      </c>
      <c r="V96" s="129">
        <v>0</v>
      </c>
      <c r="W96" s="129">
        <v>0</v>
      </c>
      <c r="X96" s="129">
        <v>0</v>
      </c>
      <c r="Y96" s="129">
        <v>0</v>
      </c>
      <c r="Z96" s="129">
        <v>0</v>
      </c>
      <c r="AA96" s="129">
        <v>0</v>
      </c>
      <c r="AB96" s="129">
        <v>0</v>
      </c>
      <c r="AC96" s="129">
        <v>0</v>
      </c>
      <c r="AD96" s="129">
        <v>0</v>
      </c>
      <c r="AE96" s="129">
        <v>0</v>
      </c>
      <c r="AF96" s="129">
        <v>0</v>
      </c>
      <c r="AG96" s="129">
        <v>0</v>
      </c>
      <c r="AH96" s="129">
        <v>0</v>
      </c>
      <c r="AI96" s="129">
        <v>0</v>
      </c>
      <c r="AJ96" s="129">
        <v>0</v>
      </c>
      <c r="AK96" s="129">
        <v>0</v>
      </c>
      <c r="AL96" s="129">
        <v>0</v>
      </c>
      <c r="AM96" s="662" t="s">
        <v>63</v>
      </c>
      <c r="AN96" s="324" t="s">
        <v>513</v>
      </c>
      <c r="AO96" s="663" t="s">
        <v>512</v>
      </c>
      <c r="AP96" s="529" t="s">
        <v>1303</v>
      </c>
    </row>
    <row r="97" spans="1:42" ht="12.75" x14ac:dyDescent="0.2">
      <c r="A97" s="664">
        <v>90</v>
      </c>
      <c r="B97" s="665" t="s">
        <v>66</v>
      </c>
      <c r="C97" s="666" t="s">
        <v>1201</v>
      </c>
      <c r="D97" s="667" t="s">
        <v>1202</v>
      </c>
      <c r="E97" s="668" t="s">
        <v>65</v>
      </c>
      <c r="F97" s="129">
        <v>67021537</v>
      </c>
      <c r="G97" s="129">
        <v>0</v>
      </c>
      <c r="H97" s="129">
        <v>67021537</v>
      </c>
      <c r="I97" s="129">
        <v>-600000</v>
      </c>
      <c r="J97" s="129">
        <v>0</v>
      </c>
      <c r="K97" s="129">
        <v>-600000</v>
      </c>
      <c r="L97" s="129">
        <v>-2345754</v>
      </c>
      <c r="M97" s="129">
        <v>0</v>
      </c>
      <c r="N97" s="129">
        <v>-2345754</v>
      </c>
      <c r="O97" s="129">
        <v>64075783</v>
      </c>
      <c r="P97" s="129">
        <v>0</v>
      </c>
      <c r="Q97" s="129">
        <v>64075783</v>
      </c>
      <c r="R97" s="129">
        <v>14845</v>
      </c>
      <c r="S97" s="129">
        <v>0</v>
      </c>
      <c r="T97" s="129">
        <v>14845</v>
      </c>
      <c r="U97" s="129">
        <v>0</v>
      </c>
      <c r="V97" s="129">
        <v>0</v>
      </c>
      <c r="W97" s="129">
        <v>0</v>
      </c>
      <c r="X97" s="129">
        <v>0</v>
      </c>
      <c r="Y97" s="129">
        <v>0</v>
      </c>
      <c r="Z97" s="129">
        <v>0</v>
      </c>
      <c r="AA97" s="129">
        <v>0</v>
      </c>
      <c r="AB97" s="129">
        <v>0</v>
      </c>
      <c r="AC97" s="129">
        <v>0</v>
      </c>
      <c r="AD97" s="129">
        <v>0</v>
      </c>
      <c r="AE97" s="129">
        <v>0</v>
      </c>
      <c r="AF97" s="129">
        <v>0</v>
      </c>
      <c r="AG97" s="129">
        <v>0</v>
      </c>
      <c r="AH97" s="129">
        <v>0</v>
      </c>
      <c r="AI97" s="129">
        <v>0</v>
      </c>
      <c r="AJ97" s="129">
        <v>0</v>
      </c>
      <c r="AK97" s="129">
        <v>0</v>
      </c>
      <c r="AL97" s="129">
        <v>0</v>
      </c>
      <c r="AM97" s="662" t="s">
        <v>65</v>
      </c>
      <c r="AN97" s="324" t="s">
        <v>566</v>
      </c>
      <c r="AO97" s="663" t="s">
        <v>512</v>
      </c>
      <c r="AP97" s="529" t="s">
        <v>1304</v>
      </c>
    </row>
    <row r="98" spans="1:42" ht="12.75" x14ac:dyDescent="0.2">
      <c r="A98" s="664">
        <v>91</v>
      </c>
      <c r="B98" s="665" t="s">
        <v>68</v>
      </c>
      <c r="C98" s="666" t="s">
        <v>1213</v>
      </c>
      <c r="D98" s="667" t="s">
        <v>1214</v>
      </c>
      <c r="E98" s="668" t="s">
        <v>67</v>
      </c>
      <c r="F98" s="129">
        <v>122001055</v>
      </c>
      <c r="G98" s="129">
        <v>0</v>
      </c>
      <c r="H98" s="129">
        <v>122001055</v>
      </c>
      <c r="I98" s="129">
        <v>-13662373</v>
      </c>
      <c r="J98" s="129">
        <v>0</v>
      </c>
      <c r="K98" s="129">
        <v>-13662373</v>
      </c>
      <c r="L98" s="129">
        <v>-2660308</v>
      </c>
      <c r="M98" s="129">
        <v>0</v>
      </c>
      <c r="N98" s="129">
        <v>-2660308</v>
      </c>
      <c r="O98" s="129">
        <v>105678374</v>
      </c>
      <c r="P98" s="129">
        <v>0</v>
      </c>
      <c r="Q98" s="129">
        <v>105678374</v>
      </c>
      <c r="R98" s="129">
        <v>0</v>
      </c>
      <c r="S98" s="129">
        <v>0</v>
      </c>
      <c r="T98" s="129">
        <v>0</v>
      </c>
      <c r="U98" s="129">
        <v>0</v>
      </c>
      <c r="V98" s="129">
        <v>0</v>
      </c>
      <c r="W98" s="129">
        <v>0</v>
      </c>
      <c r="X98" s="129">
        <v>0</v>
      </c>
      <c r="Y98" s="129">
        <v>0</v>
      </c>
      <c r="Z98" s="129">
        <v>0</v>
      </c>
      <c r="AA98" s="129">
        <v>0</v>
      </c>
      <c r="AB98" s="129">
        <v>0</v>
      </c>
      <c r="AC98" s="129">
        <v>0</v>
      </c>
      <c r="AD98" s="129">
        <v>0</v>
      </c>
      <c r="AE98" s="129">
        <v>0</v>
      </c>
      <c r="AF98" s="129">
        <v>0</v>
      </c>
      <c r="AG98" s="129">
        <v>0</v>
      </c>
      <c r="AH98" s="129">
        <v>0</v>
      </c>
      <c r="AI98" s="129">
        <v>0</v>
      </c>
      <c r="AJ98" s="129">
        <v>0</v>
      </c>
      <c r="AK98" s="129">
        <v>0</v>
      </c>
      <c r="AL98" s="129">
        <v>0</v>
      </c>
      <c r="AM98" s="662" t="s">
        <v>67</v>
      </c>
      <c r="AN98" s="324" t="s">
        <v>576</v>
      </c>
      <c r="AO98" s="669" t="s">
        <v>485</v>
      </c>
      <c r="AP98" s="529" t="s">
        <v>1305</v>
      </c>
    </row>
    <row r="99" spans="1:42" ht="12.75" x14ac:dyDescent="0.2">
      <c r="A99" s="664">
        <v>92</v>
      </c>
      <c r="B99" s="665" t="s">
        <v>70</v>
      </c>
      <c r="C99" s="666" t="s">
        <v>1201</v>
      </c>
      <c r="D99" s="667" t="s">
        <v>1211</v>
      </c>
      <c r="E99" s="668" t="s">
        <v>69</v>
      </c>
      <c r="F99" s="129">
        <v>38743643</v>
      </c>
      <c r="G99" s="129">
        <v>0</v>
      </c>
      <c r="H99" s="129">
        <v>38743643</v>
      </c>
      <c r="I99" s="129">
        <v>-581000</v>
      </c>
      <c r="J99" s="129">
        <v>0</v>
      </c>
      <c r="K99" s="129">
        <v>-581000</v>
      </c>
      <c r="L99" s="129">
        <v>-2325000</v>
      </c>
      <c r="M99" s="129">
        <v>0</v>
      </c>
      <c r="N99" s="129">
        <v>-2325000</v>
      </c>
      <c r="O99" s="129">
        <v>35837643</v>
      </c>
      <c r="P99" s="129">
        <v>0</v>
      </c>
      <c r="Q99" s="129">
        <v>35837643</v>
      </c>
      <c r="R99" s="129">
        <v>0</v>
      </c>
      <c r="S99" s="129">
        <v>0</v>
      </c>
      <c r="T99" s="129">
        <v>0</v>
      </c>
      <c r="U99" s="129">
        <v>0</v>
      </c>
      <c r="V99" s="129">
        <v>0</v>
      </c>
      <c r="W99" s="129">
        <v>0</v>
      </c>
      <c r="X99" s="129">
        <v>0</v>
      </c>
      <c r="Y99" s="129">
        <v>0</v>
      </c>
      <c r="Z99" s="129">
        <v>0</v>
      </c>
      <c r="AA99" s="129">
        <v>0</v>
      </c>
      <c r="AB99" s="129">
        <v>0</v>
      </c>
      <c r="AC99" s="129">
        <v>0</v>
      </c>
      <c r="AD99" s="129">
        <v>0</v>
      </c>
      <c r="AE99" s="129">
        <v>0</v>
      </c>
      <c r="AF99" s="129">
        <v>0</v>
      </c>
      <c r="AG99" s="129">
        <v>0</v>
      </c>
      <c r="AH99" s="129">
        <v>0</v>
      </c>
      <c r="AI99" s="129">
        <v>0</v>
      </c>
      <c r="AJ99" s="129">
        <v>0</v>
      </c>
      <c r="AK99" s="129">
        <v>0</v>
      </c>
      <c r="AL99" s="129">
        <v>0</v>
      </c>
      <c r="AM99" s="662" t="s">
        <v>69</v>
      </c>
      <c r="AN99" s="324" t="s">
        <v>528</v>
      </c>
      <c r="AO99" s="663" t="s">
        <v>1913</v>
      </c>
      <c r="AP99" s="529" t="s">
        <v>1306</v>
      </c>
    </row>
    <row r="100" spans="1:42" ht="12.75" x14ac:dyDescent="0.2">
      <c r="A100" s="664">
        <v>93</v>
      </c>
      <c r="B100" s="665" t="s">
        <v>71</v>
      </c>
      <c r="C100" s="666" t="s">
        <v>1201</v>
      </c>
      <c r="D100" s="667" t="s">
        <v>1202</v>
      </c>
      <c r="E100" s="668" t="s">
        <v>822</v>
      </c>
      <c r="F100" s="129">
        <v>26279294</v>
      </c>
      <c r="G100" s="129">
        <v>0</v>
      </c>
      <c r="H100" s="129">
        <v>26279294</v>
      </c>
      <c r="I100" s="129">
        <v>-523464</v>
      </c>
      <c r="J100" s="129">
        <v>0</v>
      </c>
      <c r="K100" s="129">
        <v>-523464</v>
      </c>
      <c r="L100" s="129">
        <v>-196299</v>
      </c>
      <c r="M100" s="129">
        <v>0</v>
      </c>
      <c r="N100" s="129">
        <v>-196299</v>
      </c>
      <c r="O100" s="129">
        <v>25559531</v>
      </c>
      <c r="P100" s="129">
        <v>0</v>
      </c>
      <c r="Q100" s="129">
        <v>25559531</v>
      </c>
      <c r="R100" s="129">
        <v>0</v>
      </c>
      <c r="S100" s="129">
        <v>0</v>
      </c>
      <c r="T100" s="129">
        <v>0</v>
      </c>
      <c r="U100" s="129">
        <v>0</v>
      </c>
      <c r="V100" s="129">
        <v>0</v>
      </c>
      <c r="W100" s="129">
        <v>0</v>
      </c>
      <c r="X100" s="129">
        <v>0</v>
      </c>
      <c r="Y100" s="129">
        <v>0</v>
      </c>
      <c r="Z100" s="129">
        <v>0</v>
      </c>
      <c r="AA100" s="129">
        <v>0</v>
      </c>
      <c r="AB100" s="129">
        <v>0</v>
      </c>
      <c r="AC100" s="129">
        <v>0</v>
      </c>
      <c r="AD100" s="129">
        <v>0</v>
      </c>
      <c r="AE100" s="129">
        <v>0</v>
      </c>
      <c r="AF100" s="129">
        <v>0</v>
      </c>
      <c r="AG100" s="129">
        <v>0</v>
      </c>
      <c r="AH100" s="129">
        <v>0</v>
      </c>
      <c r="AI100" s="129">
        <v>0</v>
      </c>
      <c r="AJ100" s="129">
        <v>0</v>
      </c>
      <c r="AK100" s="129">
        <v>0</v>
      </c>
      <c r="AL100" s="129">
        <v>0</v>
      </c>
      <c r="AM100" s="662" t="s">
        <v>822</v>
      </c>
      <c r="AN100" s="324" t="s">
        <v>566</v>
      </c>
      <c r="AO100" s="663" t="s">
        <v>512</v>
      </c>
      <c r="AP100" s="529" t="s">
        <v>1307</v>
      </c>
    </row>
    <row r="101" spans="1:42" ht="12.75" x14ac:dyDescent="0.2">
      <c r="A101" s="664">
        <v>94</v>
      </c>
      <c r="B101" s="665" t="s">
        <v>73</v>
      </c>
      <c r="C101" s="666" t="s">
        <v>1201</v>
      </c>
      <c r="D101" s="667" t="s">
        <v>1206</v>
      </c>
      <c r="E101" s="668" t="s">
        <v>72</v>
      </c>
      <c r="F101" s="129">
        <v>26170083</v>
      </c>
      <c r="G101" s="129">
        <v>0</v>
      </c>
      <c r="H101" s="129">
        <v>26170083</v>
      </c>
      <c r="I101" s="129">
        <v>-660000</v>
      </c>
      <c r="J101" s="129">
        <v>0</v>
      </c>
      <c r="K101" s="129">
        <v>-660000</v>
      </c>
      <c r="L101" s="129">
        <v>-1000000</v>
      </c>
      <c r="M101" s="129">
        <v>0</v>
      </c>
      <c r="N101" s="129">
        <v>-1000000</v>
      </c>
      <c r="O101" s="129">
        <v>24510083</v>
      </c>
      <c r="P101" s="129">
        <v>0</v>
      </c>
      <c r="Q101" s="129">
        <v>24510083</v>
      </c>
      <c r="R101" s="129">
        <v>0</v>
      </c>
      <c r="S101" s="129">
        <v>0</v>
      </c>
      <c r="T101" s="129">
        <v>0</v>
      </c>
      <c r="U101" s="129">
        <v>0</v>
      </c>
      <c r="V101" s="129">
        <v>0</v>
      </c>
      <c r="W101" s="129">
        <v>0</v>
      </c>
      <c r="X101" s="129">
        <v>0</v>
      </c>
      <c r="Y101" s="129">
        <v>0</v>
      </c>
      <c r="Z101" s="129">
        <v>0</v>
      </c>
      <c r="AA101" s="129">
        <v>0</v>
      </c>
      <c r="AB101" s="129">
        <v>0</v>
      </c>
      <c r="AC101" s="129">
        <v>0</v>
      </c>
      <c r="AD101" s="129">
        <v>0</v>
      </c>
      <c r="AE101" s="129">
        <v>0</v>
      </c>
      <c r="AF101" s="129">
        <v>0</v>
      </c>
      <c r="AG101" s="129">
        <v>0</v>
      </c>
      <c r="AH101" s="129">
        <v>0</v>
      </c>
      <c r="AI101" s="129">
        <v>0</v>
      </c>
      <c r="AJ101" s="129">
        <v>0</v>
      </c>
      <c r="AK101" s="129">
        <v>0</v>
      </c>
      <c r="AL101" s="129">
        <v>0</v>
      </c>
      <c r="AM101" s="662" t="s">
        <v>72</v>
      </c>
      <c r="AN101" s="324" t="s">
        <v>516</v>
      </c>
      <c r="AO101" s="663" t="s">
        <v>515</v>
      </c>
      <c r="AP101" s="529" t="s">
        <v>1308</v>
      </c>
    </row>
    <row r="102" spans="1:42" ht="12.75" x14ac:dyDescent="0.2">
      <c r="A102" s="664">
        <v>95</v>
      </c>
      <c r="B102" s="665" t="s">
        <v>75</v>
      </c>
      <c r="C102" s="666" t="s">
        <v>1201</v>
      </c>
      <c r="D102" s="667" t="s">
        <v>1224</v>
      </c>
      <c r="E102" s="668" t="s">
        <v>74</v>
      </c>
      <c r="F102" s="129">
        <v>84696704</v>
      </c>
      <c r="G102" s="129">
        <v>0</v>
      </c>
      <c r="H102" s="129">
        <v>84696704</v>
      </c>
      <c r="I102" s="129">
        <v>-500000</v>
      </c>
      <c r="J102" s="129">
        <v>0</v>
      </c>
      <c r="K102" s="129">
        <v>-500000</v>
      </c>
      <c r="L102" s="129">
        <v>-3000000</v>
      </c>
      <c r="M102" s="129">
        <v>0</v>
      </c>
      <c r="N102" s="129">
        <v>-3000000</v>
      </c>
      <c r="O102" s="129">
        <v>81196704</v>
      </c>
      <c r="P102" s="129">
        <v>0</v>
      </c>
      <c r="Q102" s="129">
        <v>81196704</v>
      </c>
      <c r="R102" s="129">
        <v>0</v>
      </c>
      <c r="S102" s="129">
        <v>0</v>
      </c>
      <c r="T102" s="129">
        <v>0</v>
      </c>
      <c r="U102" s="129">
        <v>0</v>
      </c>
      <c r="V102" s="129">
        <v>0</v>
      </c>
      <c r="W102" s="129">
        <v>0</v>
      </c>
      <c r="X102" s="129">
        <v>0</v>
      </c>
      <c r="Y102" s="129">
        <v>0</v>
      </c>
      <c r="Z102" s="129">
        <v>0</v>
      </c>
      <c r="AA102" s="129">
        <v>0</v>
      </c>
      <c r="AB102" s="129">
        <v>0</v>
      </c>
      <c r="AC102" s="129">
        <v>0</v>
      </c>
      <c r="AD102" s="129">
        <v>0</v>
      </c>
      <c r="AE102" s="129">
        <v>0</v>
      </c>
      <c r="AF102" s="129">
        <v>0</v>
      </c>
      <c r="AG102" s="129">
        <v>0</v>
      </c>
      <c r="AH102" s="129">
        <v>0</v>
      </c>
      <c r="AI102" s="129">
        <v>0</v>
      </c>
      <c r="AJ102" s="129">
        <v>0</v>
      </c>
      <c r="AK102" s="129">
        <v>0</v>
      </c>
      <c r="AL102" s="129">
        <v>0</v>
      </c>
      <c r="AM102" s="662" t="s">
        <v>74</v>
      </c>
      <c r="AN102" s="324" t="s">
        <v>521</v>
      </c>
      <c r="AO102" s="663" t="s">
        <v>519</v>
      </c>
      <c r="AP102" s="529" t="s">
        <v>1309</v>
      </c>
    </row>
    <row r="103" spans="1:42" ht="12.75" x14ac:dyDescent="0.2">
      <c r="A103" s="664">
        <v>96</v>
      </c>
      <c r="B103" s="665" t="s">
        <v>77</v>
      </c>
      <c r="C103" s="666" t="s">
        <v>1201</v>
      </c>
      <c r="D103" s="667" t="s">
        <v>1202</v>
      </c>
      <c r="E103" s="668" t="s">
        <v>76</v>
      </c>
      <c r="F103" s="129">
        <v>43648713</v>
      </c>
      <c r="G103" s="129">
        <v>336734</v>
      </c>
      <c r="H103" s="129">
        <v>43985447</v>
      </c>
      <c r="I103" s="129">
        <v>-654731</v>
      </c>
      <c r="J103" s="129">
        <v>-5051</v>
      </c>
      <c r="K103" s="129">
        <v>-659782</v>
      </c>
      <c r="L103" s="129">
        <v>-1201807</v>
      </c>
      <c r="M103" s="129">
        <v>-19456</v>
      </c>
      <c r="N103" s="129">
        <v>-1221263</v>
      </c>
      <c r="O103" s="129">
        <v>41792175</v>
      </c>
      <c r="P103" s="129">
        <v>312227</v>
      </c>
      <c r="Q103" s="129">
        <v>42104402</v>
      </c>
      <c r="R103" s="129">
        <v>80950</v>
      </c>
      <c r="S103" s="129">
        <v>0</v>
      </c>
      <c r="T103" s="129">
        <v>80950</v>
      </c>
      <c r="U103" s="129">
        <v>0</v>
      </c>
      <c r="V103" s="129">
        <v>0</v>
      </c>
      <c r="W103" s="129">
        <v>0</v>
      </c>
      <c r="X103" s="129">
        <v>0</v>
      </c>
      <c r="Y103" s="129">
        <v>115871</v>
      </c>
      <c r="Z103" s="129">
        <v>196356</v>
      </c>
      <c r="AA103" s="129">
        <v>196356</v>
      </c>
      <c r="AB103" s="129">
        <v>0</v>
      </c>
      <c r="AC103" s="129">
        <v>0</v>
      </c>
      <c r="AD103" s="129">
        <v>0</v>
      </c>
      <c r="AE103" s="129">
        <v>0</v>
      </c>
      <c r="AF103" s="129">
        <v>179919</v>
      </c>
      <c r="AG103" s="129">
        <v>179919</v>
      </c>
      <c r="AH103" s="129">
        <v>0</v>
      </c>
      <c r="AI103" s="129">
        <v>0</v>
      </c>
      <c r="AJ103" s="129">
        <v>0</v>
      </c>
      <c r="AK103" s="129">
        <v>179919</v>
      </c>
      <c r="AL103" s="129">
        <v>179919</v>
      </c>
      <c r="AM103" s="662" t="s">
        <v>76</v>
      </c>
      <c r="AN103" s="324" t="s">
        <v>532</v>
      </c>
      <c r="AO103" s="663" t="s">
        <v>1914</v>
      </c>
      <c r="AP103" s="529" t="s">
        <v>1310</v>
      </c>
    </row>
    <row r="104" spans="1:42" ht="12.75" x14ac:dyDescent="0.2">
      <c r="A104" s="664">
        <v>97</v>
      </c>
      <c r="B104" s="665" t="s">
        <v>79</v>
      </c>
      <c r="C104" s="666" t="s">
        <v>1201</v>
      </c>
      <c r="D104" s="667" t="s">
        <v>1211</v>
      </c>
      <c r="E104" s="668" t="s">
        <v>78</v>
      </c>
      <c r="F104" s="129">
        <v>26604504</v>
      </c>
      <c r="G104" s="129">
        <v>0</v>
      </c>
      <c r="H104" s="129">
        <v>26604504</v>
      </c>
      <c r="I104" s="129">
        <v>-200000</v>
      </c>
      <c r="J104" s="129">
        <v>0</v>
      </c>
      <c r="K104" s="129">
        <v>-200000</v>
      </c>
      <c r="L104" s="129">
        <v>-1129676</v>
      </c>
      <c r="M104" s="129">
        <v>0</v>
      </c>
      <c r="N104" s="129">
        <v>-1129676</v>
      </c>
      <c r="O104" s="129">
        <v>25274828</v>
      </c>
      <c r="P104" s="129">
        <v>0</v>
      </c>
      <c r="Q104" s="129">
        <v>25274828</v>
      </c>
      <c r="R104" s="129">
        <v>361646</v>
      </c>
      <c r="S104" s="129">
        <v>0</v>
      </c>
      <c r="T104" s="129">
        <v>361646</v>
      </c>
      <c r="U104" s="129">
        <v>0</v>
      </c>
      <c r="V104" s="129">
        <v>0</v>
      </c>
      <c r="W104" s="129">
        <v>0</v>
      </c>
      <c r="X104" s="129">
        <v>0</v>
      </c>
      <c r="Y104" s="129">
        <v>0</v>
      </c>
      <c r="Z104" s="129">
        <v>0</v>
      </c>
      <c r="AA104" s="129">
        <v>0</v>
      </c>
      <c r="AB104" s="129">
        <v>0</v>
      </c>
      <c r="AC104" s="129">
        <v>0</v>
      </c>
      <c r="AD104" s="129">
        <v>0</v>
      </c>
      <c r="AE104" s="129">
        <v>0</v>
      </c>
      <c r="AF104" s="129">
        <v>0</v>
      </c>
      <c r="AG104" s="129">
        <v>0</v>
      </c>
      <c r="AH104" s="129">
        <v>0</v>
      </c>
      <c r="AI104" s="129">
        <v>0</v>
      </c>
      <c r="AJ104" s="129">
        <v>0</v>
      </c>
      <c r="AK104" s="129">
        <v>0</v>
      </c>
      <c r="AL104" s="129">
        <v>0</v>
      </c>
      <c r="AM104" s="662" t="s">
        <v>78</v>
      </c>
      <c r="AN104" s="324" t="s">
        <v>503</v>
      </c>
      <c r="AO104" s="663" t="s">
        <v>502</v>
      </c>
      <c r="AP104" s="529" t="s">
        <v>1311</v>
      </c>
    </row>
    <row r="105" spans="1:42" ht="12.75" x14ac:dyDescent="0.2">
      <c r="A105" s="664">
        <v>98</v>
      </c>
      <c r="B105" s="665" t="s">
        <v>322</v>
      </c>
      <c r="C105" s="666" t="s">
        <v>1201</v>
      </c>
      <c r="D105" s="667" t="s">
        <v>1211</v>
      </c>
      <c r="E105" s="668" t="s">
        <v>1016</v>
      </c>
      <c r="F105" s="129">
        <v>31524119</v>
      </c>
      <c r="G105" s="129">
        <v>0</v>
      </c>
      <c r="H105" s="129">
        <v>31524119</v>
      </c>
      <c r="I105" s="129">
        <v>-415241</v>
      </c>
      <c r="J105" s="129">
        <v>0</v>
      </c>
      <c r="K105" s="129">
        <v>-415241</v>
      </c>
      <c r="L105" s="129">
        <v>-1278070</v>
      </c>
      <c r="M105" s="129">
        <v>0</v>
      </c>
      <c r="N105" s="129">
        <v>-1278070</v>
      </c>
      <c r="O105" s="129">
        <v>29830808</v>
      </c>
      <c r="P105" s="129">
        <v>0</v>
      </c>
      <c r="Q105" s="129">
        <v>29830808</v>
      </c>
      <c r="R105" s="129">
        <v>0</v>
      </c>
      <c r="S105" s="129">
        <v>0</v>
      </c>
      <c r="T105" s="129">
        <v>0</v>
      </c>
      <c r="U105" s="129">
        <v>0</v>
      </c>
      <c r="V105" s="129">
        <v>0</v>
      </c>
      <c r="W105" s="129">
        <v>0</v>
      </c>
      <c r="X105" s="129">
        <v>0</v>
      </c>
      <c r="Y105" s="129">
        <v>0</v>
      </c>
      <c r="Z105" s="129">
        <v>0</v>
      </c>
      <c r="AA105" s="129">
        <v>0</v>
      </c>
      <c r="AB105" s="129">
        <v>0</v>
      </c>
      <c r="AC105" s="129">
        <v>0</v>
      </c>
      <c r="AD105" s="129">
        <v>0</v>
      </c>
      <c r="AE105" s="129">
        <v>0</v>
      </c>
      <c r="AF105" s="129">
        <v>0</v>
      </c>
      <c r="AG105" s="129">
        <v>0</v>
      </c>
      <c r="AH105" s="129">
        <v>0</v>
      </c>
      <c r="AI105" s="129">
        <v>0</v>
      </c>
      <c r="AJ105" s="129">
        <v>0</v>
      </c>
      <c r="AK105" s="129">
        <v>0</v>
      </c>
      <c r="AL105" s="129">
        <v>0</v>
      </c>
      <c r="AM105" s="662" t="s">
        <v>1016</v>
      </c>
      <c r="AN105" s="324" t="s">
        <v>565</v>
      </c>
      <c r="AO105" s="663" t="s">
        <v>542</v>
      </c>
      <c r="AP105" s="529" t="s">
        <v>1312</v>
      </c>
    </row>
    <row r="106" spans="1:42" ht="12.75" x14ac:dyDescent="0.2">
      <c r="A106" s="664">
        <v>99</v>
      </c>
      <c r="B106" s="665" t="s">
        <v>81</v>
      </c>
      <c r="C106" s="666" t="s">
        <v>1201</v>
      </c>
      <c r="D106" s="667" t="s">
        <v>1224</v>
      </c>
      <c r="E106" s="668" t="s">
        <v>80</v>
      </c>
      <c r="F106" s="129">
        <v>13885374</v>
      </c>
      <c r="G106" s="129">
        <v>0</v>
      </c>
      <c r="H106" s="129">
        <v>13885374</v>
      </c>
      <c r="I106" s="129">
        <v>-50000</v>
      </c>
      <c r="J106" s="129">
        <v>0</v>
      </c>
      <c r="K106" s="129">
        <v>-50000</v>
      </c>
      <c r="L106" s="129">
        <v>-120000</v>
      </c>
      <c r="M106" s="129">
        <v>0</v>
      </c>
      <c r="N106" s="129">
        <v>-120000</v>
      </c>
      <c r="O106" s="129">
        <v>13715374</v>
      </c>
      <c r="P106" s="129">
        <v>0</v>
      </c>
      <c r="Q106" s="129">
        <v>13715374</v>
      </c>
      <c r="R106" s="129">
        <v>164700</v>
      </c>
      <c r="S106" s="129">
        <v>0</v>
      </c>
      <c r="T106" s="129">
        <v>164700</v>
      </c>
      <c r="U106" s="129">
        <v>0</v>
      </c>
      <c r="V106" s="129">
        <v>0</v>
      </c>
      <c r="W106" s="129">
        <v>0</v>
      </c>
      <c r="X106" s="129">
        <v>0</v>
      </c>
      <c r="Y106" s="129">
        <v>0</v>
      </c>
      <c r="Z106" s="129">
        <v>0</v>
      </c>
      <c r="AA106" s="129">
        <v>0</v>
      </c>
      <c r="AB106" s="129">
        <v>0</v>
      </c>
      <c r="AC106" s="129">
        <v>0</v>
      </c>
      <c r="AD106" s="129">
        <v>0</v>
      </c>
      <c r="AE106" s="129">
        <v>0</v>
      </c>
      <c r="AF106" s="129">
        <v>0</v>
      </c>
      <c r="AG106" s="129">
        <v>0</v>
      </c>
      <c r="AH106" s="129">
        <v>0</v>
      </c>
      <c r="AI106" s="129">
        <v>0</v>
      </c>
      <c r="AJ106" s="129">
        <v>0</v>
      </c>
      <c r="AK106" s="129">
        <v>0</v>
      </c>
      <c r="AL106" s="129">
        <v>0</v>
      </c>
      <c r="AM106" s="662" t="s">
        <v>80</v>
      </c>
      <c r="AN106" s="324" t="s">
        <v>529</v>
      </c>
      <c r="AO106" s="663" t="s">
        <v>512</v>
      </c>
      <c r="AP106" s="529" t="s">
        <v>1313</v>
      </c>
    </row>
    <row r="107" spans="1:42" ht="12.75" x14ac:dyDescent="0.2">
      <c r="A107" s="664">
        <v>100</v>
      </c>
      <c r="B107" s="665" t="s">
        <v>83</v>
      </c>
      <c r="C107" s="666" t="s">
        <v>1201</v>
      </c>
      <c r="D107" s="667" t="s">
        <v>1204</v>
      </c>
      <c r="E107" s="668" t="s">
        <v>82</v>
      </c>
      <c r="F107" s="129">
        <v>25167435</v>
      </c>
      <c r="G107" s="129">
        <v>2850936</v>
      </c>
      <c r="H107" s="129">
        <v>28018371</v>
      </c>
      <c r="I107" s="129">
        <v>-450000</v>
      </c>
      <c r="J107" s="129">
        <v>-50000</v>
      </c>
      <c r="K107" s="129">
        <v>-500000</v>
      </c>
      <c r="L107" s="129">
        <v>-931195</v>
      </c>
      <c r="M107" s="129">
        <v>-105485</v>
      </c>
      <c r="N107" s="129">
        <v>-1036680</v>
      </c>
      <c r="O107" s="129">
        <v>23786240</v>
      </c>
      <c r="P107" s="129">
        <v>2695451</v>
      </c>
      <c r="Q107" s="129">
        <v>26481691</v>
      </c>
      <c r="R107" s="129">
        <v>58133</v>
      </c>
      <c r="S107" s="129">
        <v>0</v>
      </c>
      <c r="T107" s="129">
        <v>58133</v>
      </c>
      <c r="U107" s="129">
        <v>26368</v>
      </c>
      <c r="V107" s="129">
        <v>0</v>
      </c>
      <c r="W107" s="129">
        <v>26368</v>
      </c>
      <c r="X107" s="129">
        <v>-14205</v>
      </c>
      <c r="Y107" s="129">
        <v>3066412</v>
      </c>
      <c r="Z107" s="129">
        <v>0</v>
      </c>
      <c r="AA107" s="129">
        <v>0</v>
      </c>
      <c r="AB107" s="129">
        <v>0</v>
      </c>
      <c r="AC107" s="129">
        <v>0</v>
      </c>
      <c r="AD107" s="129">
        <v>0</v>
      </c>
      <c r="AE107" s="129">
        <v>0</v>
      </c>
      <c r="AF107" s="129">
        <v>231083</v>
      </c>
      <c r="AG107" s="129">
        <v>231083</v>
      </c>
      <c r="AH107" s="129">
        <v>0</v>
      </c>
      <c r="AI107" s="129">
        <v>0</v>
      </c>
      <c r="AJ107" s="129">
        <v>0</v>
      </c>
      <c r="AK107" s="129">
        <v>231083</v>
      </c>
      <c r="AL107" s="129">
        <v>231083</v>
      </c>
      <c r="AM107" s="662" t="s">
        <v>82</v>
      </c>
      <c r="AN107" s="324" t="s">
        <v>547</v>
      </c>
      <c r="AO107" s="663" t="s">
        <v>545</v>
      </c>
      <c r="AP107" s="529" t="s">
        <v>1314</v>
      </c>
    </row>
    <row r="108" spans="1:42" ht="12.75" x14ac:dyDescent="0.2">
      <c r="A108" s="664">
        <v>101</v>
      </c>
      <c r="B108" s="665" t="s">
        <v>85</v>
      </c>
      <c r="C108" s="666" t="s">
        <v>1217</v>
      </c>
      <c r="D108" s="667" t="s">
        <v>1283</v>
      </c>
      <c r="E108" s="668" t="s">
        <v>84</v>
      </c>
      <c r="F108" s="129">
        <v>92989917</v>
      </c>
      <c r="G108" s="129">
        <v>2918293</v>
      </c>
      <c r="H108" s="129">
        <v>95908210</v>
      </c>
      <c r="I108" s="129">
        <v>-3399000</v>
      </c>
      <c r="J108" s="129">
        <v>-1000</v>
      </c>
      <c r="K108" s="129">
        <v>-3400000</v>
      </c>
      <c r="L108" s="129">
        <v>-6593870</v>
      </c>
      <c r="M108" s="129">
        <v>-106130</v>
      </c>
      <c r="N108" s="129">
        <v>-6700000</v>
      </c>
      <c r="O108" s="129">
        <v>82997047</v>
      </c>
      <c r="P108" s="129">
        <v>2811163</v>
      </c>
      <c r="Q108" s="129">
        <v>85808210</v>
      </c>
      <c r="R108" s="129">
        <v>3656</v>
      </c>
      <c r="S108" s="129">
        <v>0</v>
      </c>
      <c r="T108" s="129">
        <v>3656</v>
      </c>
      <c r="U108" s="129">
        <v>0</v>
      </c>
      <c r="V108" s="129">
        <v>0</v>
      </c>
      <c r="W108" s="129">
        <v>0</v>
      </c>
      <c r="X108" s="129">
        <v>-3282</v>
      </c>
      <c r="Y108" s="129">
        <v>1434114</v>
      </c>
      <c r="Z108" s="129">
        <v>1373767</v>
      </c>
      <c r="AA108" s="129">
        <v>1373767</v>
      </c>
      <c r="AB108" s="129">
        <v>0</v>
      </c>
      <c r="AC108" s="129">
        <v>0</v>
      </c>
      <c r="AD108" s="129">
        <v>0</v>
      </c>
      <c r="AE108" s="129">
        <v>0</v>
      </c>
      <c r="AF108" s="129">
        <v>91694</v>
      </c>
      <c r="AG108" s="129">
        <v>91694</v>
      </c>
      <c r="AH108" s="129">
        <v>0</v>
      </c>
      <c r="AI108" s="129">
        <v>0</v>
      </c>
      <c r="AJ108" s="129">
        <v>0</v>
      </c>
      <c r="AK108" s="129">
        <v>91694</v>
      </c>
      <c r="AL108" s="129">
        <v>91694</v>
      </c>
      <c r="AM108" s="662" t="s">
        <v>84</v>
      </c>
      <c r="AN108" s="324" t="s">
        <v>570</v>
      </c>
      <c r="AO108" s="663" t="s">
        <v>573</v>
      </c>
      <c r="AP108" s="529" t="s">
        <v>1315</v>
      </c>
    </row>
    <row r="109" spans="1:42" ht="12.75" x14ac:dyDescent="0.2">
      <c r="A109" s="664">
        <v>102</v>
      </c>
      <c r="B109" s="665" t="s">
        <v>87</v>
      </c>
      <c r="C109" s="666" t="s">
        <v>1201</v>
      </c>
      <c r="D109" s="667" t="s">
        <v>1206</v>
      </c>
      <c r="E109" s="668" t="s">
        <v>86</v>
      </c>
      <c r="F109" s="129">
        <v>24362656</v>
      </c>
      <c r="G109" s="129">
        <v>0</v>
      </c>
      <c r="H109" s="129">
        <v>24362656</v>
      </c>
      <c r="I109" s="129">
        <v>-53598</v>
      </c>
      <c r="J109" s="129">
        <v>0</v>
      </c>
      <c r="K109" s="129">
        <v>-53598</v>
      </c>
      <c r="L109" s="129">
        <v>-573676</v>
      </c>
      <c r="M109" s="129">
        <v>0</v>
      </c>
      <c r="N109" s="129">
        <v>-573676</v>
      </c>
      <c r="O109" s="129">
        <v>23735382</v>
      </c>
      <c r="P109" s="129">
        <v>0</v>
      </c>
      <c r="Q109" s="129">
        <v>23735382</v>
      </c>
      <c r="R109" s="129">
        <v>200072</v>
      </c>
      <c r="S109" s="129">
        <v>0</v>
      </c>
      <c r="T109" s="129">
        <v>200072</v>
      </c>
      <c r="U109" s="129">
        <v>0</v>
      </c>
      <c r="V109" s="129">
        <v>0</v>
      </c>
      <c r="W109" s="129">
        <v>0</v>
      </c>
      <c r="X109" s="129">
        <v>0</v>
      </c>
      <c r="Y109" s="129">
        <v>0</v>
      </c>
      <c r="Z109" s="129">
        <v>0</v>
      </c>
      <c r="AA109" s="129">
        <v>0</v>
      </c>
      <c r="AB109" s="129">
        <v>0</v>
      </c>
      <c r="AC109" s="129">
        <v>0</v>
      </c>
      <c r="AD109" s="129">
        <v>0</v>
      </c>
      <c r="AE109" s="129">
        <v>0</v>
      </c>
      <c r="AF109" s="129">
        <v>0</v>
      </c>
      <c r="AG109" s="129">
        <v>0</v>
      </c>
      <c r="AH109" s="129">
        <v>0</v>
      </c>
      <c r="AI109" s="129">
        <v>0</v>
      </c>
      <c r="AJ109" s="129">
        <v>0</v>
      </c>
      <c r="AK109" s="129">
        <v>0</v>
      </c>
      <c r="AL109" s="129">
        <v>0</v>
      </c>
      <c r="AM109" s="662" t="s">
        <v>86</v>
      </c>
      <c r="AN109" s="324" t="s">
        <v>559</v>
      </c>
      <c r="AO109" s="663" t="s">
        <v>558</v>
      </c>
      <c r="AP109" s="529" t="s">
        <v>1316</v>
      </c>
    </row>
    <row r="110" spans="1:42" ht="12.75" x14ac:dyDescent="0.2">
      <c r="A110" s="664">
        <v>103</v>
      </c>
      <c r="B110" s="665" t="s">
        <v>89</v>
      </c>
      <c r="C110" s="666" t="s">
        <v>1201</v>
      </c>
      <c r="D110" s="667" t="s">
        <v>1224</v>
      </c>
      <c r="E110" s="668" t="s">
        <v>88</v>
      </c>
      <c r="F110" s="129">
        <v>57191547</v>
      </c>
      <c r="G110" s="129">
        <v>0</v>
      </c>
      <c r="H110" s="129">
        <v>57191547</v>
      </c>
      <c r="I110" s="129">
        <v>-571915</v>
      </c>
      <c r="J110" s="129">
        <v>0</v>
      </c>
      <c r="K110" s="129">
        <v>-571915</v>
      </c>
      <c r="L110" s="129">
        <v>-1429788</v>
      </c>
      <c r="M110" s="129">
        <v>0</v>
      </c>
      <c r="N110" s="129">
        <v>-1429788</v>
      </c>
      <c r="O110" s="129">
        <v>55189844</v>
      </c>
      <c r="P110" s="129">
        <v>0</v>
      </c>
      <c r="Q110" s="129">
        <v>55189844</v>
      </c>
      <c r="R110" s="129">
        <v>0</v>
      </c>
      <c r="S110" s="129">
        <v>0</v>
      </c>
      <c r="T110" s="129">
        <v>0</v>
      </c>
      <c r="U110" s="129">
        <v>0</v>
      </c>
      <c r="V110" s="129">
        <v>0</v>
      </c>
      <c r="W110" s="129">
        <v>0</v>
      </c>
      <c r="X110" s="129">
        <v>0</v>
      </c>
      <c r="Y110" s="129">
        <v>0</v>
      </c>
      <c r="Z110" s="129">
        <v>0</v>
      </c>
      <c r="AA110" s="129">
        <v>0</v>
      </c>
      <c r="AB110" s="129">
        <v>0</v>
      </c>
      <c r="AC110" s="129">
        <v>0</v>
      </c>
      <c r="AD110" s="129">
        <v>0</v>
      </c>
      <c r="AE110" s="129">
        <v>0</v>
      </c>
      <c r="AF110" s="129">
        <v>0</v>
      </c>
      <c r="AG110" s="129">
        <v>0</v>
      </c>
      <c r="AH110" s="129">
        <v>0</v>
      </c>
      <c r="AI110" s="129">
        <v>0</v>
      </c>
      <c r="AJ110" s="129">
        <v>0</v>
      </c>
      <c r="AK110" s="129">
        <v>0</v>
      </c>
      <c r="AL110" s="129">
        <v>0</v>
      </c>
      <c r="AM110" s="662" t="s">
        <v>88</v>
      </c>
      <c r="AN110" s="324" t="s">
        <v>529</v>
      </c>
      <c r="AO110" s="663" t="s">
        <v>512</v>
      </c>
      <c r="AP110" s="529" t="s">
        <v>1317</v>
      </c>
    </row>
    <row r="111" spans="1:42" ht="12.75" x14ac:dyDescent="0.2">
      <c r="A111" s="664">
        <v>104</v>
      </c>
      <c r="B111" s="665" t="s">
        <v>91</v>
      </c>
      <c r="C111" s="666" t="s">
        <v>1201</v>
      </c>
      <c r="D111" s="667" t="s">
        <v>1202</v>
      </c>
      <c r="E111" s="668" t="s">
        <v>90</v>
      </c>
      <c r="F111" s="129">
        <v>17153349</v>
      </c>
      <c r="G111" s="129">
        <v>438580</v>
      </c>
      <c r="H111" s="129">
        <v>17591929</v>
      </c>
      <c r="I111" s="129">
        <v>-257321</v>
      </c>
      <c r="J111" s="129">
        <v>-6579</v>
      </c>
      <c r="K111" s="129">
        <v>-263900</v>
      </c>
      <c r="L111" s="129">
        <v>-806187</v>
      </c>
      <c r="M111" s="129">
        <v>-20613</v>
      </c>
      <c r="N111" s="129">
        <v>-826800</v>
      </c>
      <c r="O111" s="129">
        <v>16089841</v>
      </c>
      <c r="P111" s="129">
        <v>411388</v>
      </c>
      <c r="Q111" s="129">
        <v>16501229</v>
      </c>
      <c r="R111" s="129">
        <v>0</v>
      </c>
      <c r="S111" s="129">
        <v>0</v>
      </c>
      <c r="T111" s="129">
        <v>0</v>
      </c>
      <c r="U111" s="129">
        <v>0</v>
      </c>
      <c r="V111" s="129">
        <v>0</v>
      </c>
      <c r="W111" s="129">
        <v>0</v>
      </c>
      <c r="X111" s="129">
        <v>0</v>
      </c>
      <c r="Y111" s="129">
        <v>425046</v>
      </c>
      <c r="Z111" s="129">
        <v>0</v>
      </c>
      <c r="AA111" s="129">
        <v>0</v>
      </c>
      <c r="AB111" s="129">
        <v>0</v>
      </c>
      <c r="AC111" s="129">
        <v>0</v>
      </c>
      <c r="AD111" s="129">
        <v>0</v>
      </c>
      <c r="AE111" s="129">
        <v>0</v>
      </c>
      <c r="AF111" s="129">
        <v>370804</v>
      </c>
      <c r="AG111" s="129">
        <v>370804</v>
      </c>
      <c r="AH111" s="129">
        <v>0</v>
      </c>
      <c r="AI111" s="129">
        <v>0</v>
      </c>
      <c r="AJ111" s="129">
        <v>0</v>
      </c>
      <c r="AK111" s="129">
        <v>370804</v>
      </c>
      <c r="AL111" s="129">
        <v>370804</v>
      </c>
      <c r="AM111" s="662" t="s">
        <v>90</v>
      </c>
      <c r="AN111" s="324" t="s">
        <v>532</v>
      </c>
      <c r="AO111" s="663" t="s">
        <v>1914</v>
      </c>
      <c r="AP111" s="529" t="s">
        <v>1318</v>
      </c>
    </row>
    <row r="112" spans="1:42" ht="12.75" x14ac:dyDescent="0.2">
      <c r="A112" s="664">
        <v>105</v>
      </c>
      <c r="B112" s="665" t="s">
        <v>93</v>
      </c>
      <c r="C112" s="666" t="s">
        <v>1201</v>
      </c>
      <c r="D112" s="667" t="s">
        <v>1202</v>
      </c>
      <c r="E112" s="668" t="s">
        <v>92</v>
      </c>
      <c r="F112" s="129">
        <v>25810256</v>
      </c>
      <c r="G112" s="129">
        <v>333750</v>
      </c>
      <c r="H112" s="129">
        <v>26144006</v>
      </c>
      <c r="I112" s="129">
        <v>-258500</v>
      </c>
      <c r="J112" s="129">
        <v>0</v>
      </c>
      <c r="K112" s="129">
        <v>-258500</v>
      </c>
      <c r="L112" s="129">
        <v>-1414000</v>
      </c>
      <c r="M112" s="129">
        <v>0</v>
      </c>
      <c r="N112" s="129">
        <v>-1414000</v>
      </c>
      <c r="O112" s="129">
        <v>24137756</v>
      </c>
      <c r="P112" s="129">
        <v>333750</v>
      </c>
      <c r="Q112" s="129">
        <v>24471506</v>
      </c>
      <c r="R112" s="129">
        <v>0</v>
      </c>
      <c r="S112" s="129">
        <v>0</v>
      </c>
      <c r="T112" s="129">
        <v>0</v>
      </c>
      <c r="U112" s="129">
        <v>0</v>
      </c>
      <c r="V112" s="129">
        <v>0</v>
      </c>
      <c r="W112" s="129">
        <v>0</v>
      </c>
      <c r="X112" s="129">
        <v>0</v>
      </c>
      <c r="Y112" s="129">
        <v>0</v>
      </c>
      <c r="Z112" s="129">
        <v>333750</v>
      </c>
      <c r="AA112" s="129">
        <v>333750</v>
      </c>
      <c r="AB112" s="129">
        <v>0</v>
      </c>
      <c r="AC112" s="129">
        <v>0</v>
      </c>
      <c r="AD112" s="129">
        <v>0</v>
      </c>
      <c r="AE112" s="129">
        <v>0</v>
      </c>
      <c r="AF112" s="129">
        <v>41250</v>
      </c>
      <c r="AG112" s="129">
        <v>41250</v>
      </c>
      <c r="AH112" s="129">
        <v>0</v>
      </c>
      <c r="AI112" s="129">
        <v>0</v>
      </c>
      <c r="AJ112" s="129">
        <v>0</v>
      </c>
      <c r="AK112" s="129">
        <v>41250</v>
      </c>
      <c r="AL112" s="129">
        <v>41250</v>
      </c>
      <c r="AM112" s="662" t="s">
        <v>92</v>
      </c>
      <c r="AN112" s="324" t="s">
        <v>543</v>
      </c>
      <c r="AO112" s="663" t="s">
        <v>542</v>
      </c>
      <c r="AP112" s="529" t="s">
        <v>1319</v>
      </c>
    </row>
    <row r="113" spans="1:42" ht="12.75" x14ac:dyDescent="0.2">
      <c r="A113" s="664">
        <v>106</v>
      </c>
      <c r="B113" s="665" t="s">
        <v>95</v>
      </c>
      <c r="C113" s="666" t="s">
        <v>1201</v>
      </c>
      <c r="D113" s="667" t="s">
        <v>1211</v>
      </c>
      <c r="E113" s="668" t="s">
        <v>94</v>
      </c>
      <c r="F113" s="129">
        <v>30938542</v>
      </c>
      <c r="G113" s="129">
        <v>1418028</v>
      </c>
      <c r="H113" s="129">
        <v>32356570</v>
      </c>
      <c r="I113" s="129">
        <v>-1237542</v>
      </c>
      <c r="J113" s="129">
        <v>0</v>
      </c>
      <c r="K113" s="129">
        <v>-1237542</v>
      </c>
      <c r="L113" s="129">
        <v>-1454111</v>
      </c>
      <c r="M113" s="129">
        <v>0</v>
      </c>
      <c r="N113" s="129">
        <v>-1454111</v>
      </c>
      <c r="O113" s="129">
        <v>28246889</v>
      </c>
      <c r="P113" s="129">
        <v>1418028</v>
      </c>
      <c r="Q113" s="129">
        <v>29664917</v>
      </c>
      <c r="R113" s="129">
        <v>62425</v>
      </c>
      <c r="S113" s="129">
        <v>0</v>
      </c>
      <c r="T113" s="129">
        <v>62425</v>
      </c>
      <c r="U113" s="129">
        <v>0</v>
      </c>
      <c r="V113" s="129">
        <v>0</v>
      </c>
      <c r="W113" s="129">
        <v>0</v>
      </c>
      <c r="X113" s="129">
        <v>248</v>
      </c>
      <c r="Y113" s="129">
        <v>326669</v>
      </c>
      <c r="Z113" s="129">
        <v>1096773</v>
      </c>
      <c r="AA113" s="129">
        <v>1096773</v>
      </c>
      <c r="AB113" s="129">
        <v>0</v>
      </c>
      <c r="AC113" s="129">
        <v>0</v>
      </c>
      <c r="AD113" s="129">
        <v>0</v>
      </c>
      <c r="AE113" s="129">
        <v>0</v>
      </c>
      <c r="AF113" s="129">
        <v>279800</v>
      </c>
      <c r="AG113" s="129">
        <v>279800</v>
      </c>
      <c r="AH113" s="129">
        <v>0</v>
      </c>
      <c r="AI113" s="129">
        <v>0</v>
      </c>
      <c r="AJ113" s="129">
        <v>0</v>
      </c>
      <c r="AK113" s="129">
        <v>279800</v>
      </c>
      <c r="AL113" s="129">
        <v>279800</v>
      </c>
      <c r="AM113" s="662" t="s">
        <v>94</v>
      </c>
      <c r="AN113" s="324" t="s">
        <v>553</v>
      </c>
      <c r="AO113" s="663" t="s">
        <v>512</v>
      </c>
      <c r="AP113" s="529" t="s">
        <v>1320</v>
      </c>
    </row>
    <row r="114" spans="1:42" ht="12.75" x14ac:dyDescent="0.2">
      <c r="A114" s="664">
        <v>107</v>
      </c>
      <c r="B114" s="665" t="s">
        <v>97</v>
      </c>
      <c r="C114" s="666" t="s">
        <v>1257</v>
      </c>
      <c r="D114" s="667" t="s">
        <v>1214</v>
      </c>
      <c r="E114" s="668" t="s">
        <v>96</v>
      </c>
      <c r="F114" s="129">
        <v>102788479</v>
      </c>
      <c r="G114" s="129">
        <v>0</v>
      </c>
      <c r="H114" s="129">
        <v>102788479</v>
      </c>
      <c r="I114" s="129">
        <v>-3600000</v>
      </c>
      <c r="J114" s="129">
        <v>0</v>
      </c>
      <c r="K114" s="129">
        <v>-3600000</v>
      </c>
      <c r="L114" s="129">
        <v>-3726000</v>
      </c>
      <c r="M114" s="129">
        <v>0</v>
      </c>
      <c r="N114" s="129">
        <v>-3726000</v>
      </c>
      <c r="O114" s="129">
        <v>95462479</v>
      </c>
      <c r="P114" s="129">
        <v>0</v>
      </c>
      <c r="Q114" s="129">
        <v>95462479</v>
      </c>
      <c r="R114" s="129">
        <v>0</v>
      </c>
      <c r="S114" s="129">
        <v>0</v>
      </c>
      <c r="T114" s="129">
        <v>0</v>
      </c>
      <c r="U114" s="129">
        <v>0</v>
      </c>
      <c r="V114" s="129">
        <v>0</v>
      </c>
      <c r="W114" s="129">
        <v>0</v>
      </c>
      <c r="X114" s="129">
        <v>0</v>
      </c>
      <c r="Y114" s="129">
        <v>0</v>
      </c>
      <c r="Z114" s="129">
        <v>0</v>
      </c>
      <c r="AA114" s="129">
        <v>0</v>
      </c>
      <c r="AB114" s="129">
        <v>0</v>
      </c>
      <c r="AC114" s="129">
        <v>0</v>
      </c>
      <c r="AD114" s="129">
        <v>0</v>
      </c>
      <c r="AE114" s="129">
        <v>0</v>
      </c>
      <c r="AF114" s="129">
        <v>0</v>
      </c>
      <c r="AG114" s="129">
        <v>0</v>
      </c>
      <c r="AH114" s="129">
        <v>0</v>
      </c>
      <c r="AI114" s="129">
        <v>0</v>
      </c>
      <c r="AJ114" s="129">
        <v>0</v>
      </c>
      <c r="AK114" s="129">
        <v>0</v>
      </c>
      <c r="AL114" s="129">
        <v>0</v>
      </c>
      <c r="AM114" s="662" t="s">
        <v>96</v>
      </c>
      <c r="AN114" s="324" t="s">
        <v>576</v>
      </c>
      <c r="AO114" s="669" t="s">
        <v>485</v>
      </c>
      <c r="AP114" s="529" t="s">
        <v>1321</v>
      </c>
    </row>
    <row r="115" spans="1:42" ht="12.75" x14ac:dyDescent="0.2">
      <c r="A115" s="664">
        <v>108</v>
      </c>
      <c r="B115" s="665" t="s">
        <v>99</v>
      </c>
      <c r="C115" s="666" t="s">
        <v>1201</v>
      </c>
      <c r="D115" s="667" t="s">
        <v>1202</v>
      </c>
      <c r="E115" s="668" t="s">
        <v>98</v>
      </c>
      <c r="F115" s="129">
        <v>88106081</v>
      </c>
      <c r="G115" s="129">
        <v>0</v>
      </c>
      <c r="H115" s="129">
        <v>88106081</v>
      </c>
      <c r="I115" s="129">
        <v>-704849</v>
      </c>
      <c r="J115" s="129">
        <v>0</v>
      </c>
      <c r="K115" s="129">
        <v>-704849</v>
      </c>
      <c r="L115" s="129">
        <v>-2927000</v>
      </c>
      <c r="M115" s="129">
        <v>0</v>
      </c>
      <c r="N115" s="129">
        <v>-2927000</v>
      </c>
      <c r="O115" s="129">
        <v>84474232</v>
      </c>
      <c r="P115" s="129">
        <v>0</v>
      </c>
      <c r="Q115" s="129">
        <v>84474232</v>
      </c>
      <c r="R115" s="129">
        <v>0</v>
      </c>
      <c r="S115" s="129">
        <v>0</v>
      </c>
      <c r="T115" s="129">
        <v>0</v>
      </c>
      <c r="U115" s="129">
        <v>0</v>
      </c>
      <c r="V115" s="129">
        <v>0</v>
      </c>
      <c r="W115" s="129">
        <v>0</v>
      </c>
      <c r="X115" s="129">
        <v>0</v>
      </c>
      <c r="Y115" s="129">
        <v>0</v>
      </c>
      <c r="Z115" s="129">
        <v>0</v>
      </c>
      <c r="AA115" s="129">
        <v>0</v>
      </c>
      <c r="AB115" s="129">
        <v>0</v>
      </c>
      <c r="AC115" s="129">
        <v>0</v>
      </c>
      <c r="AD115" s="129">
        <v>0</v>
      </c>
      <c r="AE115" s="129">
        <v>0</v>
      </c>
      <c r="AF115" s="129">
        <v>0</v>
      </c>
      <c r="AG115" s="129">
        <v>0</v>
      </c>
      <c r="AH115" s="129">
        <v>0</v>
      </c>
      <c r="AI115" s="129">
        <v>0</v>
      </c>
      <c r="AJ115" s="129">
        <v>0</v>
      </c>
      <c r="AK115" s="129">
        <v>0</v>
      </c>
      <c r="AL115" s="129">
        <v>0</v>
      </c>
      <c r="AM115" s="662" t="s">
        <v>98</v>
      </c>
      <c r="AN115" s="324" t="s">
        <v>566</v>
      </c>
      <c r="AO115" s="663" t="s">
        <v>512</v>
      </c>
      <c r="AP115" s="529" t="s">
        <v>1322</v>
      </c>
    </row>
    <row r="116" spans="1:42" ht="12.75" x14ac:dyDescent="0.2">
      <c r="A116" s="664">
        <v>109</v>
      </c>
      <c r="B116" s="665" t="s">
        <v>101</v>
      </c>
      <c r="C116" s="666" t="s">
        <v>1257</v>
      </c>
      <c r="D116" s="667" t="s">
        <v>1214</v>
      </c>
      <c r="E116" s="668" t="s">
        <v>100</v>
      </c>
      <c r="F116" s="129">
        <v>157040886</v>
      </c>
      <c r="G116" s="129">
        <v>0</v>
      </c>
      <c r="H116" s="129">
        <v>157040886</v>
      </c>
      <c r="I116" s="129">
        <v>-13075925</v>
      </c>
      <c r="J116" s="129">
        <v>0</v>
      </c>
      <c r="K116" s="129">
        <v>-13075925</v>
      </c>
      <c r="L116" s="129">
        <v>-2000000</v>
      </c>
      <c r="M116" s="129">
        <v>0</v>
      </c>
      <c r="N116" s="129">
        <v>-2000000</v>
      </c>
      <c r="O116" s="129">
        <v>141964961</v>
      </c>
      <c r="P116" s="129">
        <v>0</v>
      </c>
      <c r="Q116" s="129">
        <v>141964961</v>
      </c>
      <c r="R116" s="129">
        <v>0</v>
      </c>
      <c r="S116" s="129">
        <v>0</v>
      </c>
      <c r="T116" s="129">
        <v>0</v>
      </c>
      <c r="U116" s="129">
        <v>0</v>
      </c>
      <c r="V116" s="129">
        <v>0</v>
      </c>
      <c r="W116" s="129">
        <v>0</v>
      </c>
      <c r="X116" s="129">
        <v>0</v>
      </c>
      <c r="Y116" s="129">
        <v>0</v>
      </c>
      <c r="Z116" s="129">
        <v>0</v>
      </c>
      <c r="AA116" s="129">
        <v>0</v>
      </c>
      <c r="AB116" s="129">
        <v>0</v>
      </c>
      <c r="AC116" s="129">
        <v>0</v>
      </c>
      <c r="AD116" s="129">
        <v>0</v>
      </c>
      <c r="AE116" s="129">
        <v>0</v>
      </c>
      <c r="AF116" s="129">
        <v>0</v>
      </c>
      <c r="AG116" s="129">
        <v>0</v>
      </c>
      <c r="AH116" s="129">
        <v>0</v>
      </c>
      <c r="AI116" s="129">
        <v>0</v>
      </c>
      <c r="AJ116" s="129">
        <v>0</v>
      </c>
      <c r="AK116" s="129">
        <v>0</v>
      </c>
      <c r="AL116" s="129">
        <v>0</v>
      </c>
      <c r="AM116" s="662" t="s">
        <v>100</v>
      </c>
      <c r="AN116" s="324" t="s">
        <v>576</v>
      </c>
      <c r="AO116" s="669" t="s">
        <v>485</v>
      </c>
      <c r="AP116" s="529" t="s">
        <v>1323</v>
      </c>
    </row>
    <row r="117" spans="1:42" ht="12.75" x14ac:dyDescent="0.2">
      <c r="A117" s="664">
        <v>110</v>
      </c>
      <c r="B117" s="665" t="s">
        <v>103</v>
      </c>
      <c r="C117" s="666" t="s">
        <v>486</v>
      </c>
      <c r="D117" s="667" t="s">
        <v>1204</v>
      </c>
      <c r="E117" s="668" t="s">
        <v>504</v>
      </c>
      <c r="F117" s="129">
        <v>58109641</v>
      </c>
      <c r="G117" s="129">
        <v>245835</v>
      </c>
      <c r="H117" s="129">
        <v>58355476</v>
      </c>
      <c r="I117" s="129">
        <v>-750000</v>
      </c>
      <c r="J117" s="129">
        <v>0</v>
      </c>
      <c r="K117" s="129">
        <v>-750000</v>
      </c>
      <c r="L117" s="129">
        <v>-1640000</v>
      </c>
      <c r="M117" s="129">
        <v>0</v>
      </c>
      <c r="N117" s="129">
        <v>-1640000</v>
      </c>
      <c r="O117" s="129">
        <v>55719641</v>
      </c>
      <c r="P117" s="129">
        <v>245835</v>
      </c>
      <c r="Q117" s="129">
        <v>55965476</v>
      </c>
      <c r="R117" s="129">
        <v>0</v>
      </c>
      <c r="S117" s="129">
        <v>0</v>
      </c>
      <c r="T117" s="129">
        <v>0</v>
      </c>
      <c r="U117" s="129">
        <v>0</v>
      </c>
      <c r="V117" s="129">
        <v>0</v>
      </c>
      <c r="W117" s="129">
        <v>0</v>
      </c>
      <c r="X117" s="129">
        <v>0</v>
      </c>
      <c r="Y117" s="129">
        <v>34568</v>
      </c>
      <c r="Z117" s="129">
        <v>211267</v>
      </c>
      <c r="AA117" s="129">
        <v>211267</v>
      </c>
      <c r="AB117" s="129">
        <v>19712</v>
      </c>
      <c r="AC117" s="129">
        <v>189625</v>
      </c>
      <c r="AD117" s="129">
        <v>209337</v>
      </c>
      <c r="AE117" s="129">
        <v>0</v>
      </c>
      <c r="AF117" s="129">
        <v>0</v>
      </c>
      <c r="AG117" s="129">
        <v>0</v>
      </c>
      <c r="AH117" s="129">
        <v>0</v>
      </c>
      <c r="AI117" s="129">
        <v>0</v>
      </c>
      <c r="AJ117" s="129">
        <v>0</v>
      </c>
      <c r="AK117" s="129">
        <v>0</v>
      </c>
      <c r="AL117" s="129">
        <v>0</v>
      </c>
      <c r="AM117" s="662" t="s">
        <v>504</v>
      </c>
      <c r="AN117" s="324" t="s">
        <v>486</v>
      </c>
      <c r="AO117" s="663" t="s">
        <v>505</v>
      </c>
      <c r="AP117" s="529" t="s">
        <v>1324</v>
      </c>
    </row>
    <row r="118" spans="1:42" ht="12.75" x14ac:dyDescent="0.2">
      <c r="A118" s="664">
        <v>111</v>
      </c>
      <c r="B118" s="665" t="s">
        <v>105</v>
      </c>
      <c r="C118" s="666" t="s">
        <v>1201</v>
      </c>
      <c r="D118" s="667" t="s">
        <v>1218</v>
      </c>
      <c r="E118" s="668" t="s">
        <v>104</v>
      </c>
      <c r="F118" s="129">
        <v>30225912</v>
      </c>
      <c r="G118" s="129">
        <v>0</v>
      </c>
      <c r="H118" s="129">
        <v>30225912</v>
      </c>
      <c r="I118" s="129">
        <v>-909090</v>
      </c>
      <c r="J118" s="129">
        <v>0</v>
      </c>
      <c r="K118" s="129">
        <v>-909090</v>
      </c>
      <c r="L118" s="129">
        <v>-517329</v>
      </c>
      <c r="M118" s="129">
        <v>0</v>
      </c>
      <c r="N118" s="129">
        <v>-517329</v>
      </c>
      <c r="O118" s="129">
        <v>28799493</v>
      </c>
      <c r="P118" s="129">
        <v>0</v>
      </c>
      <c r="Q118" s="129">
        <v>28799493</v>
      </c>
      <c r="R118" s="129">
        <v>155459</v>
      </c>
      <c r="S118" s="129">
        <v>0</v>
      </c>
      <c r="T118" s="129">
        <v>155459</v>
      </c>
      <c r="U118" s="129">
        <v>0</v>
      </c>
      <c r="V118" s="129">
        <v>0</v>
      </c>
      <c r="W118" s="129">
        <v>0</v>
      </c>
      <c r="X118" s="129">
        <v>0</v>
      </c>
      <c r="Y118" s="129">
        <v>0</v>
      </c>
      <c r="Z118" s="129">
        <v>0</v>
      </c>
      <c r="AA118" s="129">
        <v>0</v>
      </c>
      <c r="AB118" s="129">
        <v>0</v>
      </c>
      <c r="AC118" s="129">
        <v>0</v>
      </c>
      <c r="AD118" s="129">
        <v>0</v>
      </c>
      <c r="AE118" s="129">
        <v>0</v>
      </c>
      <c r="AF118" s="129">
        <v>0</v>
      </c>
      <c r="AG118" s="129">
        <v>0</v>
      </c>
      <c r="AH118" s="129">
        <v>0</v>
      </c>
      <c r="AI118" s="129">
        <v>0</v>
      </c>
      <c r="AJ118" s="129">
        <v>0</v>
      </c>
      <c r="AK118" s="129">
        <v>0</v>
      </c>
      <c r="AL118" s="129">
        <v>0</v>
      </c>
      <c r="AM118" s="662" t="s">
        <v>104</v>
      </c>
      <c r="AN118" s="324" t="s">
        <v>556</v>
      </c>
      <c r="AO118" s="663" t="s">
        <v>555</v>
      </c>
      <c r="AP118" s="529" t="s">
        <v>1325</v>
      </c>
    </row>
    <row r="119" spans="1:42" ht="12.75" x14ac:dyDescent="0.2">
      <c r="A119" s="664">
        <v>112</v>
      </c>
      <c r="B119" s="665" t="s">
        <v>107</v>
      </c>
      <c r="C119" s="666" t="s">
        <v>1257</v>
      </c>
      <c r="D119" s="667" t="s">
        <v>1214</v>
      </c>
      <c r="E119" s="668" t="s">
        <v>106</v>
      </c>
      <c r="F119" s="129">
        <v>276881592</v>
      </c>
      <c r="G119" s="129">
        <v>0</v>
      </c>
      <c r="H119" s="129">
        <v>276881592</v>
      </c>
      <c r="I119" s="129">
        <v>-27688160</v>
      </c>
      <c r="J119" s="129">
        <v>0</v>
      </c>
      <c r="K119" s="129">
        <v>-27688160</v>
      </c>
      <c r="L119" s="129">
        <v>-21933126</v>
      </c>
      <c r="M119" s="129">
        <v>0</v>
      </c>
      <c r="N119" s="129">
        <v>-21933126</v>
      </c>
      <c r="O119" s="129">
        <v>227260306</v>
      </c>
      <c r="P119" s="129">
        <v>0</v>
      </c>
      <c r="Q119" s="129">
        <v>227260306</v>
      </c>
      <c r="R119" s="129">
        <v>0</v>
      </c>
      <c r="S119" s="129">
        <v>0</v>
      </c>
      <c r="T119" s="129">
        <v>0</v>
      </c>
      <c r="U119" s="129">
        <v>0</v>
      </c>
      <c r="V119" s="129">
        <v>0</v>
      </c>
      <c r="W119" s="129">
        <v>0</v>
      </c>
      <c r="X119" s="129">
        <v>0</v>
      </c>
      <c r="Y119" s="129">
        <v>0</v>
      </c>
      <c r="Z119" s="129">
        <v>0</v>
      </c>
      <c r="AA119" s="129">
        <v>0</v>
      </c>
      <c r="AB119" s="129">
        <v>0</v>
      </c>
      <c r="AC119" s="129">
        <v>0</v>
      </c>
      <c r="AD119" s="129">
        <v>0</v>
      </c>
      <c r="AE119" s="129">
        <v>0</v>
      </c>
      <c r="AF119" s="129">
        <v>0</v>
      </c>
      <c r="AG119" s="129">
        <v>0</v>
      </c>
      <c r="AH119" s="129">
        <v>0</v>
      </c>
      <c r="AI119" s="129">
        <v>0</v>
      </c>
      <c r="AJ119" s="129">
        <v>0</v>
      </c>
      <c r="AK119" s="129">
        <v>0</v>
      </c>
      <c r="AL119" s="129">
        <v>0</v>
      </c>
      <c r="AM119" s="662" t="s">
        <v>106</v>
      </c>
      <c r="AN119" s="324" t="s">
        <v>576</v>
      </c>
      <c r="AO119" s="669" t="s">
        <v>485</v>
      </c>
      <c r="AP119" s="529" t="s">
        <v>1326</v>
      </c>
    </row>
    <row r="120" spans="1:42" ht="12.75" x14ac:dyDescent="0.2">
      <c r="A120" s="664">
        <v>113</v>
      </c>
      <c r="B120" s="665" t="s">
        <v>109</v>
      </c>
      <c r="C120" s="666" t="s">
        <v>1201</v>
      </c>
      <c r="D120" s="667" t="s">
        <v>1206</v>
      </c>
      <c r="E120" s="668" t="s">
        <v>108</v>
      </c>
      <c r="F120" s="129">
        <v>48097935</v>
      </c>
      <c r="G120" s="129">
        <v>0</v>
      </c>
      <c r="H120" s="129">
        <v>48097935</v>
      </c>
      <c r="I120" s="129">
        <v>-100000</v>
      </c>
      <c r="J120" s="129">
        <v>0</v>
      </c>
      <c r="K120" s="129">
        <v>-100000</v>
      </c>
      <c r="L120" s="129">
        <v>-1000000</v>
      </c>
      <c r="M120" s="129">
        <v>0</v>
      </c>
      <c r="N120" s="129">
        <v>-1000000</v>
      </c>
      <c r="O120" s="129">
        <v>46997935</v>
      </c>
      <c r="P120" s="129">
        <v>0</v>
      </c>
      <c r="Q120" s="129">
        <v>46997935</v>
      </c>
      <c r="R120" s="129">
        <v>31008</v>
      </c>
      <c r="S120" s="129">
        <v>0</v>
      </c>
      <c r="T120" s="129">
        <v>31008</v>
      </c>
      <c r="U120" s="129">
        <v>0</v>
      </c>
      <c r="V120" s="129">
        <v>0</v>
      </c>
      <c r="W120" s="129">
        <v>0</v>
      </c>
      <c r="X120" s="129">
        <v>0</v>
      </c>
      <c r="Y120" s="129">
        <v>0</v>
      </c>
      <c r="Z120" s="129">
        <v>0</v>
      </c>
      <c r="AA120" s="129">
        <v>0</v>
      </c>
      <c r="AB120" s="129">
        <v>0</v>
      </c>
      <c r="AC120" s="129">
        <v>0</v>
      </c>
      <c r="AD120" s="129">
        <v>0</v>
      </c>
      <c r="AE120" s="129">
        <v>0</v>
      </c>
      <c r="AF120" s="129">
        <v>0</v>
      </c>
      <c r="AG120" s="129">
        <v>0</v>
      </c>
      <c r="AH120" s="129">
        <v>0</v>
      </c>
      <c r="AI120" s="129">
        <v>0</v>
      </c>
      <c r="AJ120" s="129">
        <v>0</v>
      </c>
      <c r="AK120" s="129">
        <v>0</v>
      </c>
      <c r="AL120" s="129">
        <v>0</v>
      </c>
      <c r="AM120" s="662" t="s">
        <v>108</v>
      </c>
      <c r="AN120" s="324" t="s">
        <v>551</v>
      </c>
      <c r="AO120" s="663" t="s">
        <v>549</v>
      </c>
      <c r="AP120" s="529" t="s">
        <v>1327</v>
      </c>
    </row>
    <row r="121" spans="1:42" ht="12.75" x14ac:dyDescent="0.2">
      <c r="A121" s="664">
        <v>114</v>
      </c>
      <c r="B121" s="665" t="s">
        <v>111</v>
      </c>
      <c r="C121" s="666" t="s">
        <v>1213</v>
      </c>
      <c r="D121" s="667" t="s">
        <v>1214</v>
      </c>
      <c r="E121" s="668" t="s">
        <v>110</v>
      </c>
      <c r="F121" s="129">
        <v>82563241</v>
      </c>
      <c r="G121" s="129">
        <v>0</v>
      </c>
      <c r="H121" s="129">
        <v>82563241</v>
      </c>
      <c r="I121" s="129">
        <v>-4953794</v>
      </c>
      <c r="J121" s="129">
        <v>0</v>
      </c>
      <c r="K121" s="129">
        <v>-4953794</v>
      </c>
      <c r="L121" s="129">
        <v>-3562364</v>
      </c>
      <c r="M121" s="129">
        <v>0</v>
      </c>
      <c r="N121" s="129">
        <v>-3562364</v>
      </c>
      <c r="O121" s="129">
        <v>74047083</v>
      </c>
      <c r="P121" s="129">
        <v>0</v>
      </c>
      <c r="Q121" s="129">
        <v>74047083</v>
      </c>
      <c r="R121" s="129">
        <v>0</v>
      </c>
      <c r="S121" s="129">
        <v>0</v>
      </c>
      <c r="T121" s="129">
        <v>0</v>
      </c>
      <c r="U121" s="129">
        <v>0</v>
      </c>
      <c r="V121" s="129">
        <v>0</v>
      </c>
      <c r="W121" s="129">
        <v>0</v>
      </c>
      <c r="X121" s="129">
        <v>0</v>
      </c>
      <c r="Y121" s="129">
        <v>0</v>
      </c>
      <c r="Z121" s="129">
        <v>0</v>
      </c>
      <c r="AA121" s="129">
        <v>0</v>
      </c>
      <c r="AB121" s="129">
        <v>0</v>
      </c>
      <c r="AC121" s="129">
        <v>0</v>
      </c>
      <c r="AD121" s="129">
        <v>0</v>
      </c>
      <c r="AE121" s="129">
        <v>0</v>
      </c>
      <c r="AF121" s="129">
        <v>0</v>
      </c>
      <c r="AG121" s="129">
        <v>0</v>
      </c>
      <c r="AH121" s="129">
        <v>0</v>
      </c>
      <c r="AI121" s="129">
        <v>0</v>
      </c>
      <c r="AJ121" s="129">
        <v>0</v>
      </c>
      <c r="AK121" s="129">
        <v>0</v>
      </c>
      <c r="AL121" s="129">
        <v>0</v>
      </c>
      <c r="AM121" s="662" t="s">
        <v>110</v>
      </c>
      <c r="AN121" s="324" t="s">
        <v>576</v>
      </c>
      <c r="AO121" s="669" t="s">
        <v>485</v>
      </c>
      <c r="AP121" s="529" t="s">
        <v>1328</v>
      </c>
    </row>
    <row r="122" spans="1:42" ht="12.75" x14ac:dyDescent="0.2">
      <c r="A122" s="664">
        <v>115</v>
      </c>
      <c r="B122" s="665" t="s">
        <v>113</v>
      </c>
      <c r="C122" s="666" t="s">
        <v>1201</v>
      </c>
      <c r="D122" s="667" t="s">
        <v>1211</v>
      </c>
      <c r="E122" s="668" t="s">
        <v>112</v>
      </c>
      <c r="F122" s="129">
        <v>42765838</v>
      </c>
      <c r="G122" s="129">
        <v>4790565</v>
      </c>
      <c r="H122" s="129">
        <v>47556403</v>
      </c>
      <c r="I122" s="129">
        <v>-500000</v>
      </c>
      <c r="J122" s="129">
        <v>-250000</v>
      </c>
      <c r="K122" s="129">
        <v>-750000</v>
      </c>
      <c r="L122" s="129">
        <v>1728060</v>
      </c>
      <c r="M122" s="129">
        <v>-73602</v>
      </c>
      <c r="N122" s="129">
        <v>1654458</v>
      </c>
      <c r="O122" s="129">
        <v>43993898</v>
      </c>
      <c r="P122" s="129">
        <v>4466963</v>
      </c>
      <c r="Q122" s="129">
        <v>48460861</v>
      </c>
      <c r="R122" s="129">
        <v>0</v>
      </c>
      <c r="S122" s="129">
        <v>0</v>
      </c>
      <c r="T122" s="129">
        <v>0</v>
      </c>
      <c r="U122" s="129">
        <v>0</v>
      </c>
      <c r="V122" s="129">
        <v>0</v>
      </c>
      <c r="W122" s="129">
        <v>0</v>
      </c>
      <c r="X122" s="129">
        <v>65</v>
      </c>
      <c r="Y122" s="129">
        <v>3394318</v>
      </c>
      <c r="Z122" s="129">
        <v>1072710</v>
      </c>
      <c r="AA122" s="129">
        <v>1072710</v>
      </c>
      <c r="AB122" s="129">
        <v>0</v>
      </c>
      <c r="AC122" s="129">
        <v>0</v>
      </c>
      <c r="AD122" s="129">
        <v>0</v>
      </c>
      <c r="AE122" s="129">
        <v>0</v>
      </c>
      <c r="AF122" s="129">
        <v>0</v>
      </c>
      <c r="AG122" s="129">
        <v>0</v>
      </c>
      <c r="AH122" s="129">
        <v>0</v>
      </c>
      <c r="AI122" s="129">
        <v>0</v>
      </c>
      <c r="AJ122" s="129">
        <v>0</v>
      </c>
      <c r="AK122" s="129">
        <v>0</v>
      </c>
      <c r="AL122" s="129">
        <v>0</v>
      </c>
      <c r="AM122" s="662" t="s">
        <v>112</v>
      </c>
      <c r="AN122" s="324" t="s">
        <v>528</v>
      </c>
      <c r="AO122" s="663" t="s">
        <v>1913</v>
      </c>
      <c r="AP122" s="529" t="s">
        <v>1329</v>
      </c>
    </row>
    <row r="123" spans="1:42" ht="12.75" x14ac:dyDescent="0.2">
      <c r="A123" s="664">
        <v>116</v>
      </c>
      <c r="B123" s="665" t="s">
        <v>115</v>
      </c>
      <c r="C123" s="666" t="s">
        <v>1201</v>
      </c>
      <c r="D123" s="667" t="s">
        <v>1218</v>
      </c>
      <c r="E123" s="668" t="s">
        <v>114</v>
      </c>
      <c r="F123" s="129">
        <v>67365809</v>
      </c>
      <c r="G123" s="129">
        <v>0</v>
      </c>
      <c r="H123" s="129">
        <v>67365809</v>
      </c>
      <c r="I123" s="129">
        <v>-660000</v>
      </c>
      <c r="J123" s="129">
        <v>0</v>
      </c>
      <c r="K123" s="129">
        <v>-660000</v>
      </c>
      <c r="L123" s="129">
        <v>-3170000</v>
      </c>
      <c r="M123" s="129">
        <v>0</v>
      </c>
      <c r="N123" s="129">
        <v>-3170000</v>
      </c>
      <c r="O123" s="129">
        <v>63535809</v>
      </c>
      <c r="P123" s="129">
        <v>0</v>
      </c>
      <c r="Q123" s="129">
        <v>63535809</v>
      </c>
      <c r="R123" s="129">
        <v>227840</v>
      </c>
      <c r="S123" s="129">
        <v>0</v>
      </c>
      <c r="T123" s="129">
        <v>227840</v>
      </c>
      <c r="U123" s="129">
        <v>0</v>
      </c>
      <c r="V123" s="129">
        <v>0</v>
      </c>
      <c r="W123" s="129">
        <v>0</v>
      </c>
      <c r="X123" s="129">
        <v>0</v>
      </c>
      <c r="Y123" s="129">
        <v>0</v>
      </c>
      <c r="Z123" s="129">
        <v>0</v>
      </c>
      <c r="AA123" s="129">
        <v>0</v>
      </c>
      <c r="AB123" s="129">
        <v>0</v>
      </c>
      <c r="AC123" s="129">
        <v>0</v>
      </c>
      <c r="AD123" s="129">
        <v>0</v>
      </c>
      <c r="AE123" s="129">
        <v>0</v>
      </c>
      <c r="AF123" s="129">
        <v>0</v>
      </c>
      <c r="AG123" s="129">
        <v>0</v>
      </c>
      <c r="AH123" s="129">
        <v>0</v>
      </c>
      <c r="AI123" s="129">
        <v>0</v>
      </c>
      <c r="AJ123" s="129">
        <v>0</v>
      </c>
      <c r="AK123" s="129">
        <v>0</v>
      </c>
      <c r="AL123" s="129">
        <v>0</v>
      </c>
      <c r="AM123" s="662" t="s">
        <v>114</v>
      </c>
      <c r="AN123" s="324" t="s">
        <v>556</v>
      </c>
      <c r="AO123" s="663" t="s">
        <v>555</v>
      </c>
      <c r="AP123" s="529" t="s">
        <v>1330</v>
      </c>
    </row>
    <row r="124" spans="1:42" ht="12.75" x14ac:dyDescent="0.2">
      <c r="A124" s="664">
        <v>117</v>
      </c>
      <c r="B124" s="665" t="s">
        <v>117</v>
      </c>
      <c r="C124" s="666" t="s">
        <v>1213</v>
      </c>
      <c r="D124" s="667" t="s">
        <v>1214</v>
      </c>
      <c r="E124" s="668" t="s">
        <v>116</v>
      </c>
      <c r="F124" s="129">
        <v>54961958</v>
      </c>
      <c r="G124" s="129">
        <v>0</v>
      </c>
      <c r="H124" s="129">
        <v>54961958</v>
      </c>
      <c r="I124" s="129">
        <v>-1100000</v>
      </c>
      <c r="J124" s="129">
        <v>0</v>
      </c>
      <c r="K124" s="129">
        <v>-1100000</v>
      </c>
      <c r="L124" s="129">
        <v>-2420000</v>
      </c>
      <c r="M124" s="129">
        <v>0</v>
      </c>
      <c r="N124" s="129">
        <v>-2420000</v>
      </c>
      <c r="O124" s="129">
        <v>51441958</v>
      </c>
      <c r="P124" s="129">
        <v>0</v>
      </c>
      <c r="Q124" s="129">
        <v>51441958</v>
      </c>
      <c r="R124" s="129">
        <v>0</v>
      </c>
      <c r="S124" s="129">
        <v>0</v>
      </c>
      <c r="T124" s="129">
        <v>0</v>
      </c>
      <c r="U124" s="129">
        <v>0</v>
      </c>
      <c r="V124" s="129">
        <v>0</v>
      </c>
      <c r="W124" s="129">
        <v>0</v>
      </c>
      <c r="X124" s="129">
        <v>0</v>
      </c>
      <c r="Y124" s="129">
        <v>0</v>
      </c>
      <c r="Z124" s="129">
        <v>0</v>
      </c>
      <c r="AA124" s="129">
        <v>0</v>
      </c>
      <c r="AB124" s="129">
        <v>0</v>
      </c>
      <c r="AC124" s="129">
        <v>0</v>
      </c>
      <c r="AD124" s="129">
        <v>0</v>
      </c>
      <c r="AE124" s="129">
        <v>0</v>
      </c>
      <c r="AF124" s="129">
        <v>0</v>
      </c>
      <c r="AG124" s="129">
        <v>0</v>
      </c>
      <c r="AH124" s="129">
        <v>0</v>
      </c>
      <c r="AI124" s="129">
        <v>0</v>
      </c>
      <c r="AJ124" s="129">
        <v>0</v>
      </c>
      <c r="AK124" s="129">
        <v>0</v>
      </c>
      <c r="AL124" s="129">
        <v>0</v>
      </c>
      <c r="AM124" s="662" t="s">
        <v>116</v>
      </c>
      <c r="AN124" s="324" t="s">
        <v>576</v>
      </c>
      <c r="AO124" s="669" t="s">
        <v>485</v>
      </c>
      <c r="AP124" s="529" t="s">
        <v>1331</v>
      </c>
    </row>
    <row r="125" spans="1:42" ht="12.75" x14ac:dyDescent="0.2">
      <c r="A125" s="664">
        <v>118</v>
      </c>
      <c r="B125" s="665" t="s">
        <v>119</v>
      </c>
      <c r="C125" s="666" t="s">
        <v>1201</v>
      </c>
      <c r="D125" s="667" t="s">
        <v>1202</v>
      </c>
      <c r="E125" s="668" t="s">
        <v>118</v>
      </c>
      <c r="F125" s="129">
        <v>31551053</v>
      </c>
      <c r="G125" s="129">
        <v>0</v>
      </c>
      <c r="H125" s="129">
        <v>31551053</v>
      </c>
      <c r="I125" s="129">
        <v>-399049</v>
      </c>
      <c r="J125" s="129">
        <v>0</v>
      </c>
      <c r="K125" s="129">
        <v>-399049</v>
      </c>
      <c r="L125" s="129">
        <v>-158623</v>
      </c>
      <c r="M125" s="129">
        <v>0</v>
      </c>
      <c r="N125" s="129">
        <v>-158623</v>
      </c>
      <c r="O125" s="129">
        <v>30993381</v>
      </c>
      <c r="P125" s="129">
        <v>0</v>
      </c>
      <c r="Q125" s="129">
        <v>30993381</v>
      </c>
      <c r="R125" s="129">
        <v>0</v>
      </c>
      <c r="S125" s="129">
        <v>0</v>
      </c>
      <c r="T125" s="129">
        <v>0</v>
      </c>
      <c r="U125" s="129">
        <v>0</v>
      </c>
      <c r="V125" s="129">
        <v>0</v>
      </c>
      <c r="W125" s="129">
        <v>0</v>
      </c>
      <c r="X125" s="129">
        <v>0</v>
      </c>
      <c r="Y125" s="129">
        <v>0</v>
      </c>
      <c r="Z125" s="129">
        <v>0</v>
      </c>
      <c r="AA125" s="129">
        <v>0</v>
      </c>
      <c r="AB125" s="129">
        <v>0</v>
      </c>
      <c r="AC125" s="129">
        <v>0</v>
      </c>
      <c r="AD125" s="129">
        <v>0</v>
      </c>
      <c r="AE125" s="129">
        <v>0</v>
      </c>
      <c r="AF125" s="129">
        <v>0</v>
      </c>
      <c r="AG125" s="129">
        <v>0</v>
      </c>
      <c r="AH125" s="129">
        <v>0</v>
      </c>
      <c r="AI125" s="129">
        <v>0</v>
      </c>
      <c r="AJ125" s="129">
        <v>0</v>
      </c>
      <c r="AK125" s="129">
        <v>0</v>
      </c>
      <c r="AL125" s="129">
        <v>0</v>
      </c>
      <c r="AM125" s="662" t="s">
        <v>118</v>
      </c>
      <c r="AN125" s="324" t="s">
        <v>532</v>
      </c>
      <c r="AO125" s="663" t="s">
        <v>1914</v>
      </c>
      <c r="AP125" s="529" t="s">
        <v>1332</v>
      </c>
    </row>
    <row r="126" spans="1:42" ht="12.75" x14ac:dyDescent="0.2">
      <c r="A126" s="664">
        <v>119</v>
      </c>
      <c r="B126" s="665" t="s">
        <v>121</v>
      </c>
      <c r="C126" s="666" t="s">
        <v>486</v>
      </c>
      <c r="D126" s="667" t="s">
        <v>1283</v>
      </c>
      <c r="E126" s="668" t="s">
        <v>508</v>
      </c>
      <c r="F126" s="129">
        <v>33958060</v>
      </c>
      <c r="G126" s="129">
        <v>167569</v>
      </c>
      <c r="H126" s="129">
        <v>34125629</v>
      </c>
      <c r="I126" s="129">
        <v>-339643</v>
      </c>
      <c r="J126" s="129">
        <v>0</v>
      </c>
      <c r="K126" s="129">
        <v>-339643</v>
      </c>
      <c r="L126" s="129">
        <v>-994085</v>
      </c>
      <c r="M126" s="129">
        <v>0</v>
      </c>
      <c r="N126" s="129">
        <v>-994085</v>
      </c>
      <c r="O126" s="129">
        <v>32624332</v>
      </c>
      <c r="P126" s="129">
        <v>167569</v>
      </c>
      <c r="Q126" s="129">
        <v>32791901</v>
      </c>
      <c r="R126" s="129">
        <v>290777</v>
      </c>
      <c r="S126" s="129">
        <v>0</v>
      </c>
      <c r="T126" s="129">
        <v>290777</v>
      </c>
      <c r="U126" s="129">
        <v>0</v>
      </c>
      <c r="V126" s="129">
        <v>0</v>
      </c>
      <c r="W126" s="129">
        <v>0</v>
      </c>
      <c r="X126" s="129">
        <v>604</v>
      </c>
      <c r="Y126" s="129">
        <v>0</v>
      </c>
      <c r="Z126" s="129">
        <v>168173</v>
      </c>
      <c r="AA126" s="129">
        <v>168173</v>
      </c>
      <c r="AB126" s="129">
        <v>0</v>
      </c>
      <c r="AC126" s="129">
        <v>0</v>
      </c>
      <c r="AD126" s="129">
        <v>0</v>
      </c>
      <c r="AE126" s="129">
        <v>3144</v>
      </c>
      <c r="AF126" s="129">
        <v>0</v>
      </c>
      <c r="AG126" s="129">
        <v>3144</v>
      </c>
      <c r="AH126" s="129">
        <v>0</v>
      </c>
      <c r="AI126" s="129">
        <v>0</v>
      </c>
      <c r="AJ126" s="129">
        <v>3144</v>
      </c>
      <c r="AK126" s="129">
        <v>0</v>
      </c>
      <c r="AL126" s="129">
        <v>3144</v>
      </c>
      <c r="AM126" s="662" t="s">
        <v>508</v>
      </c>
      <c r="AN126" s="324" t="s">
        <v>486</v>
      </c>
      <c r="AO126" s="663" t="s">
        <v>509</v>
      </c>
      <c r="AP126" s="529" t="s">
        <v>1333</v>
      </c>
    </row>
    <row r="127" spans="1:42" ht="12.75" x14ac:dyDescent="0.2">
      <c r="A127" s="664">
        <v>120</v>
      </c>
      <c r="B127" s="665" t="s">
        <v>123</v>
      </c>
      <c r="C127" s="666" t="s">
        <v>1201</v>
      </c>
      <c r="D127" s="667" t="s">
        <v>1202</v>
      </c>
      <c r="E127" s="668" t="s">
        <v>122</v>
      </c>
      <c r="F127" s="129">
        <v>24253230</v>
      </c>
      <c r="G127" s="129">
        <v>0</v>
      </c>
      <c r="H127" s="129">
        <v>24253230</v>
      </c>
      <c r="I127" s="129">
        <v>-323460</v>
      </c>
      <c r="J127" s="129">
        <v>0</v>
      </c>
      <c r="K127" s="129">
        <v>-323460</v>
      </c>
      <c r="L127" s="129">
        <v>-840056</v>
      </c>
      <c r="M127" s="129">
        <v>0</v>
      </c>
      <c r="N127" s="129">
        <v>-840056</v>
      </c>
      <c r="O127" s="129">
        <v>23089714</v>
      </c>
      <c r="P127" s="129">
        <v>0</v>
      </c>
      <c r="Q127" s="129">
        <v>23089714</v>
      </c>
      <c r="R127" s="129">
        <v>0</v>
      </c>
      <c r="S127" s="129">
        <v>0</v>
      </c>
      <c r="T127" s="129">
        <v>0</v>
      </c>
      <c r="U127" s="129">
        <v>0</v>
      </c>
      <c r="V127" s="129">
        <v>0</v>
      </c>
      <c r="W127" s="129">
        <v>0</v>
      </c>
      <c r="X127" s="129">
        <v>0</v>
      </c>
      <c r="Y127" s="129">
        <v>0</v>
      </c>
      <c r="Z127" s="129">
        <v>0</v>
      </c>
      <c r="AA127" s="129">
        <v>0</v>
      </c>
      <c r="AB127" s="129">
        <v>0</v>
      </c>
      <c r="AC127" s="129">
        <v>0</v>
      </c>
      <c r="AD127" s="129">
        <v>0</v>
      </c>
      <c r="AE127" s="129">
        <v>0</v>
      </c>
      <c r="AF127" s="129">
        <v>0</v>
      </c>
      <c r="AG127" s="129">
        <v>0</v>
      </c>
      <c r="AH127" s="129">
        <v>0</v>
      </c>
      <c r="AI127" s="129">
        <v>0</v>
      </c>
      <c r="AJ127" s="129">
        <v>0</v>
      </c>
      <c r="AK127" s="129">
        <v>0</v>
      </c>
      <c r="AL127" s="129">
        <v>0</v>
      </c>
      <c r="AM127" s="662" t="s">
        <v>122</v>
      </c>
      <c r="AN127" s="324" t="s">
        <v>525</v>
      </c>
      <c r="AO127" s="663" t="s">
        <v>524</v>
      </c>
      <c r="AP127" s="529" t="s">
        <v>1334</v>
      </c>
    </row>
    <row r="128" spans="1:42" ht="14.25" x14ac:dyDescent="0.2">
      <c r="A128" s="664">
        <v>121</v>
      </c>
      <c r="B128" s="665" t="s">
        <v>125</v>
      </c>
      <c r="C128" s="666" t="s">
        <v>1201</v>
      </c>
      <c r="D128" s="667" t="s">
        <v>1202</v>
      </c>
      <c r="E128" s="668" t="s">
        <v>1922</v>
      </c>
      <c r="F128" s="129">
        <v>36118234</v>
      </c>
      <c r="G128" s="129">
        <v>0</v>
      </c>
      <c r="H128" s="129">
        <v>36118234</v>
      </c>
      <c r="I128" s="129">
        <v>-607535</v>
      </c>
      <c r="J128" s="129">
        <v>0</v>
      </c>
      <c r="K128" s="129">
        <v>-607535</v>
      </c>
      <c r="L128" s="129">
        <v>0</v>
      </c>
      <c r="M128" s="129">
        <v>0</v>
      </c>
      <c r="N128" s="129">
        <v>0</v>
      </c>
      <c r="O128" s="129">
        <v>35510699</v>
      </c>
      <c r="P128" s="129">
        <v>0</v>
      </c>
      <c r="Q128" s="129">
        <v>35510699</v>
      </c>
      <c r="R128" s="129">
        <v>0</v>
      </c>
      <c r="S128" s="129">
        <v>0</v>
      </c>
      <c r="T128" s="129">
        <v>0</v>
      </c>
      <c r="U128" s="129">
        <v>0</v>
      </c>
      <c r="V128" s="129">
        <v>0</v>
      </c>
      <c r="W128" s="129">
        <v>0</v>
      </c>
      <c r="X128" s="129">
        <v>0</v>
      </c>
      <c r="Y128" s="129">
        <v>0</v>
      </c>
      <c r="Z128" s="129">
        <v>0</v>
      </c>
      <c r="AA128" s="129">
        <v>0</v>
      </c>
      <c r="AB128" s="129">
        <v>0</v>
      </c>
      <c r="AC128" s="129">
        <v>0</v>
      </c>
      <c r="AD128" s="129">
        <v>0</v>
      </c>
      <c r="AE128" s="129">
        <v>0</v>
      </c>
      <c r="AF128" s="129">
        <v>0</v>
      </c>
      <c r="AG128" s="129">
        <v>0</v>
      </c>
      <c r="AH128" s="129">
        <v>0</v>
      </c>
      <c r="AI128" s="129">
        <v>0</v>
      </c>
      <c r="AJ128" s="129">
        <v>0</v>
      </c>
      <c r="AK128" s="129">
        <v>0</v>
      </c>
      <c r="AL128" s="129">
        <v>0</v>
      </c>
      <c r="AM128" s="662" t="s">
        <v>124</v>
      </c>
      <c r="AN128" s="324" t="s">
        <v>532</v>
      </c>
      <c r="AO128" s="663" t="s">
        <v>1920</v>
      </c>
      <c r="AP128" s="529" t="s">
        <v>1335</v>
      </c>
    </row>
    <row r="129" spans="1:42" ht="12.75" x14ac:dyDescent="0.2">
      <c r="A129" s="664">
        <v>122</v>
      </c>
      <c r="B129" s="665" t="s">
        <v>127</v>
      </c>
      <c r="C129" s="666" t="s">
        <v>1213</v>
      </c>
      <c r="D129" s="667" t="s">
        <v>1214</v>
      </c>
      <c r="E129" s="668" t="s">
        <v>126</v>
      </c>
      <c r="F129" s="129">
        <v>85830735</v>
      </c>
      <c r="G129" s="129">
        <v>0</v>
      </c>
      <c r="H129" s="129">
        <v>85830735</v>
      </c>
      <c r="I129" s="129">
        <v>-858307</v>
      </c>
      <c r="J129" s="129">
        <v>0</v>
      </c>
      <c r="K129" s="129">
        <v>-858307</v>
      </c>
      <c r="L129" s="129">
        <v>-5049545</v>
      </c>
      <c r="M129" s="129">
        <v>0</v>
      </c>
      <c r="N129" s="129">
        <v>-5049545</v>
      </c>
      <c r="O129" s="129">
        <v>79922883</v>
      </c>
      <c r="P129" s="129">
        <v>0</v>
      </c>
      <c r="Q129" s="129">
        <v>79922883</v>
      </c>
      <c r="R129" s="129">
        <v>0</v>
      </c>
      <c r="S129" s="129">
        <v>0</v>
      </c>
      <c r="T129" s="129">
        <v>0</v>
      </c>
      <c r="U129" s="129">
        <v>0</v>
      </c>
      <c r="V129" s="129">
        <v>0</v>
      </c>
      <c r="W129" s="129">
        <v>0</v>
      </c>
      <c r="X129" s="129">
        <v>0</v>
      </c>
      <c r="Y129" s="129">
        <v>0</v>
      </c>
      <c r="Z129" s="129">
        <v>0</v>
      </c>
      <c r="AA129" s="129">
        <v>0</v>
      </c>
      <c r="AB129" s="129">
        <v>0</v>
      </c>
      <c r="AC129" s="129">
        <v>0</v>
      </c>
      <c r="AD129" s="129">
        <v>0</v>
      </c>
      <c r="AE129" s="129">
        <v>0</v>
      </c>
      <c r="AF129" s="129">
        <v>0</v>
      </c>
      <c r="AG129" s="129">
        <v>0</v>
      </c>
      <c r="AH129" s="129">
        <v>0</v>
      </c>
      <c r="AI129" s="129">
        <v>0</v>
      </c>
      <c r="AJ129" s="129">
        <v>0</v>
      </c>
      <c r="AK129" s="129">
        <v>0</v>
      </c>
      <c r="AL129" s="129">
        <v>0</v>
      </c>
      <c r="AM129" s="662" t="s">
        <v>126</v>
      </c>
      <c r="AN129" s="324" t="s">
        <v>576</v>
      </c>
      <c r="AO129" s="669" t="s">
        <v>485</v>
      </c>
      <c r="AP129" s="529" t="s">
        <v>1336</v>
      </c>
    </row>
    <row r="130" spans="1:42" ht="12.75" x14ac:dyDescent="0.2">
      <c r="A130" s="664">
        <v>123</v>
      </c>
      <c r="B130" s="665" t="s">
        <v>129</v>
      </c>
      <c r="C130" s="666" t="s">
        <v>486</v>
      </c>
      <c r="D130" s="667" t="s">
        <v>1228</v>
      </c>
      <c r="E130" s="668" t="s">
        <v>533</v>
      </c>
      <c r="F130" s="129">
        <v>49183261</v>
      </c>
      <c r="G130" s="129">
        <v>479632</v>
      </c>
      <c r="H130" s="129">
        <v>49662893</v>
      </c>
      <c r="I130" s="129">
        <v>-1000000</v>
      </c>
      <c r="J130" s="129">
        <v>0</v>
      </c>
      <c r="K130" s="129">
        <v>-1000000</v>
      </c>
      <c r="L130" s="129">
        <v>-2300000</v>
      </c>
      <c r="M130" s="129">
        <v>0</v>
      </c>
      <c r="N130" s="129">
        <v>-2300000</v>
      </c>
      <c r="O130" s="129">
        <v>45883261</v>
      </c>
      <c r="P130" s="129">
        <v>479632</v>
      </c>
      <c r="Q130" s="129">
        <v>46362893</v>
      </c>
      <c r="R130" s="129">
        <v>245000</v>
      </c>
      <c r="S130" s="129">
        <v>0</v>
      </c>
      <c r="T130" s="129">
        <v>245000</v>
      </c>
      <c r="U130" s="129">
        <v>0</v>
      </c>
      <c r="V130" s="129">
        <v>0</v>
      </c>
      <c r="W130" s="129">
        <v>0</v>
      </c>
      <c r="X130" s="129">
        <v>427</v>
      </c>
      <c r="Y130" s="129">
        <v>253818</v>
      </c>
      <c r="Z130" s="129">
        <v>226241</v>
      </c>
      <c r="AA130" s="129">
        <v>226241</v>
      </c>
      <c r="AB130" s="129">
        <v>0</v>
      </c>
      <c r="AC130" s="129">
        <v>0</v>
      </c>
      <c r="AD130" s="129">
        <v>0</v>
      </c>
      <c r="AE130" s="129">
        <v>0</v>
      </c>
      <c r="AF130" s="129">
        <v>345410</v>
      </c>
      <c r="AG130" s="129">
        <v>345410</v>
      </c>
      <c r="AH130" s="129">
        <v>0</v>
      </c>
      <c r="AI130" s="129">
        <v>0</v>
      </c>
      <c r="AJ130" s="129">
        <v>0</v>
      </c>
      <c r="AK130" s="129">
        <v>345410</v>
      </c>
      <c r="AL130" s="129">
        <v>345410</v>
      </c>
      <c r="AM130" s="662" t="s">
        <v>533</v>
      </c>
      <c r="AN130" s="324" t="s">
        <v>486</v>
      </c>
      <c r="AO130" s="663" t="s">
        <v>534</v>
      </c>
      <c r="AP130" s="529" t="s">
        <v>1337</v>
      </c>
    </row>
    <row r="131" spans="1:42" ht="12.75" x14ac:dyDescent="0.2">
      <c r="A131" s="664">
        <v>124</v>
      </c>
      <c r="B131" s="665" t="s">
        <v>131</v>
      </c>
      <c r="C131" s="666" t="s">
        <v>1201</v>
      </c>
      <c r="D131" s="667" t="s">
        <v>1211</v>
      </c>
      <c r="E131" s="668" t="s">
        <v>130</v>
      </c>
      <c r="F131" s="129">
        <v>50592769</v>
      </c>
      <c r="G131" s="129">
        <v>0</v>
      </c>
      <c r="H131" s="129">
        <v>50592769</v>
      </c>
      <c r="I131" s="129">
        <v>-350000</v>
      </c>
      <c r="J131" s="129">
        <v>0</v>
      </c>
      <c r="K131" s="129">
        <v>-350000</v>
      </c>
      <c r="L131" s="129">
        <v>-1467190</v>
      </c>
      <c r="M131" s="129">
        <v>0</v>
      </c>
      <c r="N131" s="129">
        <v>-1467190</v>
      </c>
      <c r="O131" s="129">
        <v>48775579</v>
      </c>
      <c r="P131" s="129">
        <v>0</v>
      </c>
      <c r="Q131" s="129">
        <v>48775579</v>
      </c>
      <c r="R131" s="129">
        <v>0</v>
      </c>
      <c r="S131" s="129">
        <v>0</v>
      </c>
      <c r="T131" s="129">
        <v>0</v>
      </c>
      <c r="U131" s="129">
        <v>0</v>
      </c>
      <c r="V131" s="129">
        <v>0</v>
      </c>
      <c r="W131" s="129">
        <v>0</v>
      </c>
      <c r="X131" s="129">
        <v>0</v>
      </c>
      <c r="Y131" s="129">
        <v>0</v>
      </c>
      <c r="Z131" s="129">
        <v>0</v>
      </c>
      <c r="AA131" s="129">
        <v>0</v>
      </c>
      <c r="AB131" s="129">
        <v>0</v>
      </c>
      <c r="AC131" s="129">
        <v>0</v>
      </c>
      <c r="AD131" s="129">
        <v>0</v>
      </c>
      <c r="AE131" s="129">
        <v>0</v>
      </c>
      <c r="AF131" s="129">
        <v>0</v>
      </c>
      <c r="AG131" s="129">
        <v>0</v>
      </c>
      <c r="AH131" s="129">
        <v>0</v>
      </c>
      <c r="AI131" s="129">
        <v>0</v>
      </c>
      <c r="AJ131" s="129">
        <v>0</v>
      </c>
      <c r="AK131" s="129">
        <v>0</v>
      </c>
      <c r="AL131" s="129">
        <v>0</v>
      </c>
      <c r="AM131" s="662" t="s">
        <v>130</v>
      </c>
      <c r="AN131" s="324" t="s">
        <v>536</v>
      </c>
      <c r="AO131" s="663" t="s">
        <v>512</v>
      </c>
      <c r="AP131" s="529" t="s">
        <v>1338</v>
      </c>
    </row>
    <row r="132" spans="1:42" ht="12.75" x14ac:dyDescent="0.2">
      <c r="A132" s="664">
        <v>125</v>
      </c>
      <c r="B132" s="665" t="s">
        <v>133</v>
      </c>
      <c r="C132" s="666" t="s">
        <v>1201</v>
      </c>
      <c r="D132" s="667" t="s">
        <v>1206</v>
      </c>
      <c r="E132" s="668" t="s">
        <v>132</v>
      </c>
      <c r="F132" s="129">
        <v>28034408</v>
      </c>
      <c r="G132" s="129">
        <v>0</v>
      </c>
      <c r="H132" s="129">
        <v>28034408</v>
      </c>
      <c r="I132" s="129">
        <v>-280344</v>
      </c>
      <c r="J132" s="129">
        <v>0</v>
      </c>
      <c r="K132" s="129">
        <v>-280344</v>
      </c>
      <c r="L132" s="129">
        <v>-1054094</v>
      </c>
      <c r="M132" s="129">
        <v>0</v>
      </c>
      <c r="N132" s="129">
        <v>-1054094</v>
      </c>
      <c r="O132" s="129">
        <v>26699970</v>
      </c>
      <c r="P132" s="129">
        <v>0</v>
      </c>
      <c r="Q132" s="129">
        <v>26699970</v>
      </c>
      <c r="R132" s="129">
        <v>0</v>
      </c>
      <c r="S132" s="129">
        <v>0</v>
      </c>
      <c r="T132" s="129">
        <v>0</v>
      </c>
      <c r="U132" s="129">
        <v>0</v>
      </c>
      <c r="V132" s="129">
        <v>0</v>
      </c>
      <c r="W132" s="129">
        <v>0</v>
      </c>
      <c r="X132" s="129">
        <v>0</v>
      </c>
      <c r="Y132" s="129">
        <v>0</v>
      </c>
      <c r="Z132" s="129">
        <v>0</v>
      </c>
      <c r="AA132" s="129">
        <v>0</v>
      </c>
      <c r="AB132" s="129">
        <v>0</v>
      </c>
      <c r="AC132" s="129">
        <v>0</v>
      </c>
      <c r="AD132" s="129">
        <v>0</v>
      </c>
      <c r="AE132" s="129">
        <v>0</v>
      </c>
      <c r="AF132" s="129">
        <v>0</v>
      </c>
      <c r="AG132" s="129">
        <v>0</v>
      </c>
      <c r="AH132" s="129">
        <v>0</v>
      </c>
      <c r="AI132" s="129">
        <v>0</v>
      </c>
      <c r="AJ132" s="129">
        <v>0</v>
      </c>
      <c r="AK132" s="129">
        <v>0</v>
      </c>
      <c r="AL132" s="129">
        <v>0</v>
      </c>
      <c r="AM132" s="662" t="s">
        <v>132</v>
      </c>
      <c r="AN132" s="324" t="s">
        <v>516</v>
      </c>
      <c r="AO132" s="663" t="s">
        <v>515</v>
      </c>
      <c r="AP132" s="529" t="s">
        <v>1339</v>
      </c>
    </row>
    <row r="133" spans="1:42" ht="12.75" x14ac:dyDescent="0.2">
      <c r="A133" s="664">
        <v>126</v>
      </c>
      <c r="B133" s="665" t="s">
        <v>135</v>
      </c>
      <c r="C133" s="666" t="s">
        <v>1213</v>
      </c>
      <c r="D133" s="667" t="s">
        <v>1214</v>
      </c>
      <c r="E133" s="668" t="s">
        <v>134</v>
      </c>
      <c r="F133" s="129">
        <v>373359000</v>
      </c>
      <c r="G133" s="129">
        <v>0</v>
      </c>
      <c r="H133" s="129">
        <v>373359000</v>
      </c>
      <c r="I133" s="129">
        <v>-2000000</v>
      </c>
      <c r="J133" s="129">
        <v>0</v>
      </c>
      <c r="K133" s="129">
        <v>-2000000</v>
      </c>
      <c r="L133" s="129">
        <v>-2400000</v>
      </c>
      <c r="M133" s="129">
        <v>0</v>
      </c>
      <c r="N133" s="129">
        <v>-2400000</v>
      </c>
      <c r="O133" s="129">
        <v>368959000</v>
      </c>
      <c r="P133" s="129">
        <v>0</v>
      </c>
      <c r="Q133" s="129">
        <v>368959000</v>
      </c>
      <c r="R133" s="129">
        <v>0</v>
      </c>
      <c r="S133" s="129">
        <v>0</v>
      </c>
      <c r="T133" s="129">
        <v>0</v>
      </c>
      <c r="U133" s="129">
        <v>0</v>
      </c>
      <c r="V133" s="129">
        <v>0</v>
      </c>
      <c r="W133" s="129">
        <v>0</v>
      </c>
      <c r="X133" s="129">
        <v>0</v>
      </c>
      <c r="Y133" s="129">
        <v>0</v>
      </c>
      <c r="Z133" s="129">
        <v>0</v>
      </c>
      <c r="AA133" s="129">
        <v>0</v>
      </c>
      <c r="AB133" s="129">
        <v>0</v>
      </c>
      <c r="AC133" s="129">
        <v>0</v>
      </c>
      <c r="AD133" s="129">
        <v>0</v>
      </c>
      <c r="AE133" s="129">
        <v>0</v>
      </c>
      <c r="AF133" s="129">
        <v>0</v>
      </c>
      <c r="AG133" s="129">
        <v>0</v>
      </c>
      <c r="AH133" s="129">
        <v>0</v>
      </c>
      <c r="AI133" s="129">
        <v>0</v>
      </c>
      <c r="AJ133" s="129">
        <v>0</v>
      </c>
      <c r="AK133" s="129">
        <v>0</v>
      </c>
      <c r="AL133" s="129">
        <v>0</v>
      </c>
      <c r="AM133" s="662" t="s">
        <v>134</v>
      </c>
      <c r="AN133" s="324" t="s">
        <v>576</v>
      </c>
      <c r="AO133" s="669" t="s">
        <v>485</v>
      </c>
      <c r="AP133" s="529" t="s">
        <v>1340</v>
      </c>
    </row>
    <row r="134" spans="1:42" ht="12.75" x14ac:dyDescent="0.2">
      <c r="A134" s="664">
        <v>127</v>
      </c>
      <c r="B134" s="665" t="s">
        <v>137</v>
      </c>
      <c r="C134" s="666" t="s">
        <v>1201</v>
      </c>
      <c r="D134" s="667" t="s">
        <v>1206</v>
      </c>
      <c r="E134" s="668" t="s">
        <v>136</v>
      </c>
      <c r="F134" s="129">
        <v>34981343</v>
      </c>
      <c r="G134" s="129">
        <v>1216428</v>
      </c>
      <c r="H134" s="129">
        <v>36197771</v>
      </c>
      <c r="I134" s="129">
        <v>-344186</v>
      </c>
      <c r="J134" s="129">
        <v>-12164</v>
      </c>
      <c r="K134" s="129">
        <v>-356350</v>
      </c>
      <c r="L134" s="129">
        <v>-1032559</v>
      </c>
      <c r="M134" s="129">
        <v>-36493</v>
      </c>
      <c r="N134" s="129">
        <v>-1069052</v>
      </c>
      <c r="O134" s="129">
        <v>33604598</v>
      </c>
      <c r="P134" s="129">
        <v>1167771</v>
      </c>
      <c r="Q134" s="129">
        <v>34772369</v>
      </c>
      <c r="R134" s="129">
        <v>97617</v>
      </c>
      <c r="S134" s="129">
        <v>0</v>
      </c>
      <c r="T134" s="129">
        <v>97617</v>
      </c>
      <c r="U134" s="129">
        <v>0</v>
      </c>
      <c r="V134" s="129">
        <v>0</v>
      </c>
      <c r="W134" s="129">
        <v>0</v>
      </c>
      <c r="X134" s="129">
        <v>0</v>
      </c>
      <c r="Y134" s="129">
        <v>903679</v>
      </c>
      <c r="Z134" s="129">
        <v>264092</v>
      </c>
      <c r="AA134" s="129">
        <v>264092</v>
      </c>
      <c r="AB134" s="129">
        <v>0</v>
      </c>
      <c r="AC134" s="129">
        <v>0</v>
      </c>
      <c r="AD134" s="129">
        <v>0</v>
      </c>
      <c r="AE134" s="129">
        <v>0</v>
      </c>
      <c r="AF134" s="129">
        <v>80299</v>
      </c>
      <c r="AG134" s="129">
        <v>80299</v>
      </c>
      <c r="AH134" s="129">
        <v>0</v>
      </c>
      <c r="AI134" s="129">
        <v>0</v>
      </c>
      <c r="AJ134" s="129">
        <v>0</v>
      </c>
      <c r="AK134" s="129">
        <v>80299</v>
      </c>
      <c r="AL134" s="129">
        <v>80299</v>
      </c>
      <c r="AM134" s="662" t="s">
        <v>136</v>
      </c>
      <c r="AN134" s="324" t="s">
        <v>551</v>
      </c>
      <c r="AO134" s="663" t="s">
        <v>549</v>
      </c>
      <c r="AP134" s="529" t="s">
        <v>1341</v>
      </c>
    </row>
    <row r="135" spans="1:42" ht="12.75" x14ac:dyDescent="0.2">
      <c r="A135" s="664">
        <v>128</v>
      </c>
      <c r="B135" s="665" t="s">
        <v>139</v>
      </c>
      <c r="C135" s="666" t="s">
        <v>1201</v>
      </c>
      <c r="D135" s="667" t="s">
        <v>1202</v>
      </c>
      <c r="E135" s="668" t="s">
        <v>138</v>
      </c>
      <c r="F135" s="129">
        <v>47307410</v>
      </c>
      <c r="G135" s="129">
        <v>0</v>
      </c>
      <c r="H135" s="129">
        <v>47307410</v>
      </c>
      <c r="I135" s="129">
        <v>-700000</v>
      </c>
      <c r="J135" s="129">
        <v>0</v>
      </c>
      <c r="K135" s="129">
        <v>-700000</v>
      </c>
      <c r="L135" s="129">
        <v>-2740026</v>
      </c>
      <c r="M135" s="129">
        <v>0</v>
      </c>
      <c r="N135" s="129">
        <v>-2740026</v>
      </c>
      <c r="O135" s="129">
        <v>43867384</v>
      </c>
      <c r="P135" s="129">
        <v>0</v>
      </c>
      <c r="Q135" s="129">
        <v>43867384</v>
      </c>
      <c r="R135" s="129">
        <v>94681</v>
      </c>
      <c r="S135" s="129">
        <v>0</v>
      </c>
      <c r="T135" s="129">
        <v>94681</v>
      </c>
      <c r="U135" s="129">
        <v>0</v>
      </c>
      <c r="V135" s="129">
        <v>0</v>
      </c>
      <c r="W135" s="129">
        <v>0</v>
      </c>
      <c r="X135" s="129">
        <v>0</v>
      </c>
      <c r="Y135" s="129">
        <v>0</v>
      </c>
      <c r="Z135" s="129">
        <v>0</v>
      </c>
      <c r="AA135" s="129">
        <v>0</v>
      </c>
      <c r="AB135" s="129">
        <v>0</v>
      </c>
      <c r="AC135" s="129">
        <v>0</v>
      </c>
      <c r="AD135" s="129">
        <v>0</v>
      </c>
      <c r="AE135" s="129">
        <v>0</v>
      </c>
      <c r="AF135" s="129">
        <v>0</v>
      </c>
      <c r="AG135" s="129">
        <v>0</v>
      </c>
      <c r="AH135" s="129">
        <v>0</v>
      </c>
      <c r="AI135" s="129">
        <v>0</v>
      </c>
      <c r="AJ135" s="129">
        <v>0</v>
      </c>
      <c r="AK135" s="129">
        <v>0</v>
      </c>
      <c r="AL135" s="129">
        <v>0</v>
      </c>
      <c r="AM135" s="662" t="s">
        <v>138</v>
      </c>
      <c r="AN135" s="324" t="s">
        <v>568</v>
      </c>
      <c r="AO135" s="663" t="s">
        <v>512</v>
      </c>
      <c r="AP135" s="529" t="s">
        <v>1342</v>
      </c>
    </row>
    <row r="136" spans="1:42" ht="12.75" x14ac:dyDescent="0.2">
      <c r="A136" s="664">
        <v>129</v>
      </c>
      <c r="B136" s="665" t="s">
        <v>141</v>
      </c>
      <c r="C136" s="666" t="s">
        <v>1213</v>
      </c>
      <c r="D136" s="667" t="s">
        <v>1214</v>
      </c>
      <c r="E136" s="668" t="s">
        <v>140</v>
      </c>
      <c r="F136" s="129">
        <v>201622261</v>
      </c>
      <c r="G136" s="129">
        <v>0</v>
      </c>
      <c r="H136" s="129">
        <v>201622261</v>
      </c>
      <c r="I136" s="129">
        <v>-3000000</v>
      </c>
      <c r="J136" s="129">
        <v>0</v>
      </c>
      <c r="K136" s="129">
        <v>-3000000</v>
      </c>
      <c r="L136" s="129">
        <v>-13300000</v>
      </c>
      <c r="M136" s="129">
        <v>0</v>
      </c>
      <c r="N136" s="129">
        <v>-13300000</v>
      </c>
      <c r="O136" s="129">
        <v>185322261</v>
      </c>
      <c r="P136" s="129">
        <v>0</v>
      </c>
      <c r="Q136" s="129">
        <v>185322261</v>
      </c>
      <c r="R136" s="129">
        <v>0</v>
      </c>
      <c r="S136" s="129">
        <v>0</v>
      </c>
      <c r="T136" s="129">
        <v>0</v>
      </c>
      <c r="U136" s="129">
        <v>0</v>
      </c>
      <c r="V136" s="129">
        <v>0</v>
      </c>
      <c r="W136" s="129">
        <v>0</v>
      </c>
      <c r="X136" s="129">
        <v>0</v>
      </c>
      <c r="Y136" s="129">
        <v>0</v>
      </c>
      <c r="Z136" s="129">
        <v>0</v>
      </c>
      <c r="AA136" s="129">
        <v>0</v>
      </c>
      <c r="AB136" s="129">
        <v>0</v>
      </c>
      <c r="AC136" s="129">
        <v>0</v>
      </c>
      <c r="AD136" s="129">
        <v>0</v>
      </c>
      <c r="AE136" s="129">
        <v>0</v>
      </c>
      <c r="AF136" s="129">
        <v>0</v>
      </c>
      <c r="AG136" s="129">
        <v>0</v>
      </c>
      <c r="AH136" s="129">
        <v>0</v>
      </c>
      <c r="AI136" s="129">
        <v>0</v>
      </c>
      <c r="AJ136" s="129">
        <v>0</v>
      </c>
      <c r="AK136" s="129">
        <v>0</v>
      </c>
      <c r="AL136" s="129">
        <v>0</v>
      </c>
      <c r="AM136" s="662" t="s">
        <v>140</v>
      </c>
      <c r="AN136" s="324" t="s">
        <v>576</v>
      </c>
      <c r="AO136" s="669" t="s">
        <v>485</v>
      </c>
      <c r="AP136" s="529" t="s">
        <v>1343</v>
      </c>
    </row>
    <row r="137" spans="1:42" ht="12.75" x14ac:dyDescent="0.2">
      <c r="A137" s="664">
        <v>130</v>
      </c>
      <c r="B137" s="665" t="s">
        <v>143</v>
      </c>
      <c r="C137" s="666" t="s">
        <v>1201</v>
      </c>
      <c r="D137" s="667" t="s">
        <v>1211</v>
      </c>
      <c r="E137" s="668" t="s">
        <v>142</v>
      </c>
      <c r="F137" s="129">
        <v>63689379</v>
      </c>
      <c r="G137" s="129">
        <v>1799961</v>
      </c>
      <c r="H137" s="129">
        <v>65489340</v>
      </c>
      <c r="I137" s="129">
        <v>-300000</v>
      </c>
      <c r="J137" s="129">
        <v>0</v>
      </c>
      <c r="K137" s="129">
        <v>-300000</v>
      </c>
      <c r="L137" s="129">
        <v>-500000</v>
      </c>
      <c r="M137" s="129">
        <v>0</v>
      </c>
      <c r="N137" s="129">
        <v>-500000</v>
      </c>
      <c r="O137" s="129">
        <v>62889379</v>
      </c>
      <c r="P137" s="129">
        <v>1799961</v>
      </c>
      <c r="Q137" s="129">
        <v>64689340</v>
      </c>
      <c r="R137" s="129">
        <v>996214</v>
      </c>
      <c r="S137" s="129">
        <v>0</v>
      </c>
      <c r="T137" s="129">
        <v>996214</v>
      </c>
      <c r="U137" s="129">
        <v>0</v>
      </c>
      <c r="V137" s="129">
        <v>0</v>
      </c>
      <c r="W137" s="129">
        <v>0</v>
      </c>
      <c r="X137" s="129">
        <v>0</v>
      </c>
      <c r="Y137" s="129">
        <v>787871</v>
      </c>
      <c r="Z137" s="129">
        <v>1012090</v>
      </c>
      <c r="AA137" s="129">
        <v>1012090</v>
      </c>
      <c r="AB137" s="129">
        <v>0</v>
      </c>
      <c r="AC137" s="129">
        <v>0</v>
      </c>
      <c r="AD137" s="129">
        <v>0</v>
      </c>
      <c r="AE137" s="129">
        <v>0</v>
      </c>
      <c r="AF137" s="129">
        <v>155930</v>
      </c>
      <c r="AG137" s="129">
        <v>155930</v>
      </c>
      <c r="AH137" s="129">
        <v>0</v>
      </c>
      <c r="AI137" s="129">
        <v>0</v>
      </c>
      <c r="AJ137" s="129">
        <v>0</v>
      </c>
      <c r="AK137" s="129">
        <v>155930</v>
      </c>
      <c r="AL137" s="129">
        <v>155930</v>
      </c>
      <c r="AM137" s="662" t="s">
        <v>142</v>
      </c>
      <c r="AN137" s="324" t="s">
        <v>503</v>
      </c>
      <c r="AO137" s="663" t="s">
        <v>502</v>
      </c>
      <c r="AP137" s="529" t="s">
        <v>1344</v>
      </c>
    </row>
    <row r="138" spans="1:42" ht="12.75" x14ac:dyDescent="0.2">
      <c r="A138" s="664">
        <v>131</v>
      </c>
      <c r="B138" s="665" t="s">
        <v>145</v>
      </c>
      <c r="C138" s="666" t="s">
        <v>1201</v>
      </c>
      <c r="D138" s="667" t="s">
        <v>1204</v>
      </c>
      <c r="E138" s="668" t="s">
        <v>144</v>
      </c>
      <c r="F138" s="129">
        <v>20127823</v>
      </c>
      <c r="G138" s="129">
        <v>0</v>
      </c>
      <c r="H138" s="129">
        <v>20127823</v>
      </c>
      <c r="I138" s="129">
        <v>-1207669</v>
      </c>
      <c r="J138" s="129">
        <v>0</v>
      </c>
      <c r="K138" s="129">
        <v>-1207669</v>
      </c>
      <c r="L138" s="129">
        <v>-2214056</v>
      </c>
      <c r="M138" s="129">
        <v>0</v>
      </c>
      <c r="N138" s="129">
        <v>-2214056</v>
      </c>
      <c r="O138" s="129">
        <v>16706098</v>
      </c>
      <c r="P138" s="129">
        <v>0</v>
      </c>
      <c r="Q138" s="129">
        <v>16706098</v>
      </c>
      <c r="R138" s="129">
        <v>0</v>
      </c>
      <c r="S138" s="129">
        <v>0</v>
      </c>
      <c r="T138" s="129">
        <v>0</v>
      </c>
      <c r="U138" s="129">
        <v>0</v>
      </c>
      <c r="V138" s="129">
        <v>0</v>
      </c>
      <c r="W138" s="129">
        <v>0</v>
      </c>
      <c r="X138" s="129">
        <v>0</v>
      </c>
      <c r="Y138" s="129">
        <v>0</v>
      </c>
      <c r="Z138" s="129">
        <v>0</v>
      </c>
      <c r="AA138" s="129">
        <v>0</v>
      </c>
      <c r="AB138" s="129">
        <v>0</v>
      </c>
      <c r="AC138" s="129">
        <v>0</v>
      </c>
      <c r="AD138" s="129">
        <v>0</v>
      </c>
      <c r="AE138" s="129">
        <v>0</v>
      </c>
      <c r="AF138" s="129">
        <v>0</v>
      </c>
      <c r="AG138" s="129">
        <v>0</v>
      </c>
      <c r="AH138" s="129">
        <v>0</v>
      </c>
      <c r="AI138" s="129">
        <v>0</v>
      </c>
      <c r="AJ138" s="129">
        <v>0</v>
      </c>
      <c r="AK138" s="129">
        <v>0</v>
      </c>
      <c r="AL138" s="129">
        <v>0</v>
      </c>
      <c r="AM138" s="662" t="s">
        <v>144</v>
      </c>
      <c r="AN138" s="324" t="s">
        <v>547</v>
      </c>
      <c r="AO138" s="663" t="s">
        <v>545</v>
      </c>
      <c r="AP138" s="529" t="s">
        <v>1345</v>
      </c>
    </row>
    <row r="139" spans="1:42" ht="12.75" x14ac:dyDescent="0.2">
      <c r="A139" s="664">
        <v>132</v>
      </c>
      <c r="B139" s="665" t="s">
        <v>147</v>
      </c>
      <c r="C139" s="666" t="s">
        <v>1201</v>
      </c>
      <c r="D139" s="667" t="s">
        <v>1211</v>
      </c>
      <c r="E139" s="668" t="s">
        <v>146</v>
      </c>
      <c r="F139" s="129">
        <v>57023599</v>
      </c>
      <c r="G139" s="129">
        <v>1241923</v>
      </c>
      <c r="H139" s="129">
        <v>58265522</v>
      </c>
      <c r="I139" s="129">
        <v>-644695</v>
      </c>
      <c r="J139" s="129">
        <v>-14041</v>
      </c>
      <c r="K139" s="129">
        <v>-658736</v>
      </c>
      <c r="L139" s="129">
        <v>-1440957</v>
      </c>
      <c r="M139" s="129">
        <v>-31383</v>
      </c>
      <c r="N139" s="129">
        <v>-1472340</v>
      </c>
      <c r="O139" s="129">
        <v>54937947</v>
      </c>
      <c r="P139" s="129">
        <v>1196499</v>
      </c>
      <c r="Q139" s="129">
        <v>56134446</v>
      </c>
      <c r="R139" s="129">
        <v>8614</v>
      </c>
      <c r="S139" s="129">
        <v>0</v>
      </c>
      <c r="T139" s="129">
        <v>8614</v>
      </c>
      <c r="U139" s="129">
        <v>0</v>
      </c>
      <c r="V139" s="129">
        <v>0</v>
      </c>
      <c r="W139" s="129">
        <v>0</v>
      </c>
      <c r="X139" s="129">
        <v>0</v>
      </c>
      <c r="Y139" s="129">
        <v>206194</v>
      </c>
      <c r="Z139" s="129">
        <v>990305</v>
      </c>
      <c r="AA139" s="129">
        <v>990305</v>
      </c>
      <c r="AB139" s="129">
        <v>0</v>
      </c>
      <c r="AC139" s="129">
        <v>0</v>
      </c>
      <c r="AD139" s="129">
        <v>0</v>
      </c>
      <c r="AE139" s="129">
        <v>0</v>
      </c>
      <c r="AF139" s="129">
        <v>131518</v>
      </c>
      <c r="AG139" s="129">
        <v>131518</v>
      </c>
      <c r="AH139" s="129">
        <v>0</v>
      </c>
      <c r="AI139" s="129">
        <v>0</v>
      </c>
      <c r="AJ139" s="129">
        <v>0</v>
      </c>
      <c r="AK139" s="129">
        <v>131518</v>
      </c>
      <c r="AL139" s="129">
        <v>131518</v>
      </c>
      <c r="AM139" s="662" t="s">
        <v>146</v>
      </c>
      <c r="AN139" s="324" t="s">
        <v>565</v>
      </c>
      <c r="AO139" s="663" t="s">
        <v>512</v>
      </c>
      <c r="AP139" s="529" t="s">
        <v>1346</v>
      </c>
    </row>
    <row r="140" spans="1:42" ht="12.75" x14ac:dyDescent="0.2">
      <c r="A140" s="664">
        <v>133</v>
      </c>
      <c r="B140" s="665" t="s">
        <v>148</v>
      </c>
      <c r="C140" s="666" t="s">
        <v>486</v>
      </c>
      <c r="D140" s="667" t="s">
        <v>1202</v>
      </c>
      <c r="E140" s="668" t="s">
        <v>820</v>
      </c>
      <c r="F140" s="129">
        <v>42371990</v>
      </c>
      <c r="G140" s="129">
        <v>0</v>
      </c>
      <c r="H140" s="129">
        <v>42371990</v>
      </c>
      <c r="I140" s="129">
        <v>-405767</v>
      </c>
      <c r="J140" s="129">
        <v>0</v>
      </c>
      <c r="K140" s="129">
        <v>-405767</v>
      </c>
      <c r="L140" s="129">
        <v>-1795270</v>
      </c>
      <c r="M140" s="129">
        <v>0</v>
      </c>
      <c r="N140" s="129">
        <v>-1795270</v>
      </c>
      <c r="O140" s="129">
        <v>40170953</v>
      </c>
      <c r="P140" s="129">
        <v>0</v>
      </c>
      <c r="Q140" s="129">
        <v>40170953</v>
      </c>
      <c r="R140" s="129">
        <v>328543</v>
      </c>
      <c r="S140" s="129">
        <v>0</v>
      </c>
      <c r="T140" s="129">
        <v>328543</v>
      </c>
      <c r="U140" s="129">
        <v>0</v>
      </c>
      <c r="V140" s="129">
        <v>0</v>
      </c>
      <c r="W140" s="129">
        <v>0</v>
      </c>
      <c r="X140" s="129">
        <v>0</v>
      </c>
      <c r="Y140" s="129">
        <v>0</v>
      </c>
      <c r="Z140" s="129">
        <v>0</v>
      </c>
      <c r="AA140" s="129">
        <v>0</v>
      </c>
      <c r="AB140" s="129">
        <v>0</v>
      </c>
      <c r="AC140" s="129">
        <v>0</v>
      </c>
      <c r="AD140" s="129">
        <v>0</v>
      </c>
      <c r="AE140" s="129">
        <v>0</v>
      </c>
      <c r="AF140" s="129">
        <v>0</v>
      </c>
      <c r="AG140" s="129">
        <v>0</v>
      </c>
      <c r="AH140" s="129">
        <v>0</v>
      </c>
      <c r="AI140" s="129">
        <v>0</v>
      </c>
      <c r="AJ140" s="129">
        <v>0</v>
      </c>
      <c r="AK140" s="129">
        <v>0</v>
      </c>
      <c r="AL140" s="129">
        <v>0</v>
      </c>
      <c r="AM140" s="662" t="s">
        <v>820</v>
      </c>
      <c r="AN140" s="324" t="s">
        <v>486</v>
      </c>
      <c r="AO140" s="663" t="s">
        <v>1914</v>
      </c>
      <c r="AP140" s="529" t="s">
        <v>1347</v>
      </c>
    </row>
    <row r="141" spans="1:42" ht="12.75" x14ac:dyDescent="0.2">
      <c r="A141" s="664">
        <v>134</v>
      </c>
      <c r="B141" s="665" t="s">
        <v>149</v>
      </c>
      <c r="C141" s="666" t="s">
        <v>486</v>
      </c>
      <c r="D141" s="667" t="s">
        <v>1224</v>
      </c>
      <c r="E141" s="668" t="s">
        <v>821</v>
      </c>
      <c r="F141" s="129">
        <v>1587451</v>
      </c>
      <c r="G141" s="129">
        <v>0</v>
      </c>
      <c r="H141" s="129">
        <v>1587451</v>
      </c>
      <c r="I141" s="129">
        <v>0</v>
      </c>
      <c r="J141" s="129">
        <v>0</v>
      </c>
      <c r="K141" s="129">
        <v>0</v>
      </c>
      <c r="L141" s="129">
        <v>0</v>
      </c>
      <c r="M141" s="129">
        <v>0</v>
      </c>
      <c r="N141" s="129">
        <v>0</v>
      </c>
      <c r="O141" s="129">
        <v>1587451</v>
      </c>
      <c r="P141" s="129">
        <v>0</v>
      </c>
      <c r="Q141" s="129">
        <v>1587451</v>
      </c>
      <c r="R141" s="129">
        <v>0</v>
      </c>
      <c r="S141" s="129">
        <v>0</v>
      </c>
      <c r="T141" s="129">
        <v>0</v>
      </c>
      <c r="U141" s="129">
        <v>0</v>
      </c>
      <c r="V141" s="129">
        <v>0</v>
      </c>
      <c r="W141" s="129">
        <v>0</v>
      </c>
      <c r="X141" s="129">
        <v>0</v>
      </c>
      <c r="Y141" s="129">
        <v>0</v>
      </c>
      <c r="Z141" s="129">
        <v>0</v>
      </c>
      <c r="AA141" s="129">
        <v>0</v>
      </c>
      <c r="AB141" s="129">
        <v>0</v>
      </c>
      <c r="AC141" s="129">
        <v>0</v>
      </c>
      <c r="AD141" s="129">
        <v>0</v>
      </c>
      <c r="AE141" s="129">
        <v>0</v>
      </c>
      <c r="AF141" s="129">
        <v>0</v>
      </c>
      <c r="AG141" s="129">
        <v>0</v>
      </c>
      <c r="AH141" s="129">
        <v>0</v>
      </c>
      <c r="AI141" s="129">
        <v>0</v>
      </c>
      <c r="AJ141" s="129">
        <v>0</v>
      </c>
      <c r="AK141" s="129">
        <v>0</v>
      </c>
      <c r="AL141" s="129">
        <v>0</v>
      </c>
      <c r="AM141" s="662" t="s">
        <v>821</v>
      </c>
      <c r="AN141" s="324" t="s">
        <v>486</v>
      </c>
      <c r="AO141" s="663" t="s">
        <v>512</v>
      </c>
      <c r="AP141" s="529" t="s">
        <v>1348</v>
      </c>
    </row>
    <row r="142" spans="1:42" ht="12.75" x14ac:dyDescent="0.2">
      <c r="A142" s="664">
        <v>135</v>
      </c>
      <c r="B142" s="665" t="s">
        <v>151</v>
      </c>
      <c r="C142" s="666" t="s">
        <v>1257</v>
      </c>
      <c r="D142" s="667" t="s">
        <v>1214</v>
      </c>
      <c r="E142" s="668" t="s">
        <v>150</v>
      </c>
      <c r="F142" s="129">
        <v>322838088</v>
      </c>
      <c r="G142" s="129">
        <v>0</v>
      </c>
      <c r="H142" s="129">
        <v>322838088</v>
      </c>
      <c r="I142" s="129">
        <v>-9685142</v>
      </c>
      <c r="J142" s="129">
        <v>0</v>
      </c>
      <c r="K142" s="129">
        <v>-9685142</v>
      </c>
      <c r="L142" s="129">
        <v>-17072762</v>
      </c>
      <c r="M142" s="129">
        <v>0</v>
      </c>
      <c r="N142" s="129">
        <v>-17072762</v>
      </c>
      <c r="O142" s="129">
        <v>296080184</v>
      </c>
      <c r="P142" s="129">
        <v>0</v>
      </c>
      <c r="Q142" s="129">
        <v>296080184</v>
      </c>
      <c r="R142" s="129">
        <v>79278</v>
      </c>
      <c r="S142" s="129">
        <v>0</v>
      </c>
      <c r="T142" s="129">
        <v>79278</v>
      </c>
      <c r="U142" s="129">
        <v>0</v>
      </c>
      <c r="V142" s="129">
        <v>0</v>
      </c>
      <c r="W142" s="129">
        <v>0</v>
      </c>
      <c r="X142" s="129">
        <v>0</v>
      </c>
      <c r="Y142" s="129">
        <v>0</v>
      </c>
      <c r="Z142" s="129">
        <v>0</v>
      </c>
      <c r="AA142" s="129">
        <v>0</v>
      </c>
      <c r="AB142" s="129">
        <v>0</v>
      </c>
      <c r="AC142" s="129">
        <v>0</v>
      </c>
      <c r="AD142" s="129">
        <v>0</v>
      </c>
      <c r="AE142" s="129">
        <v>0</v>
      </c>
      <c r="AF142" s="129">
        <v>0</v>
      </c>
      <c r="AG142" s="129">
        <v>0</v>
      </c>
      <c r="AH142" s="129">
        <v>0</v>
      </c>
      <c r="AI142" s="129">
        <v>0</v>
      </c>
      <c r="AJ142" s="129">
        <v>0</v>
      </c>
      <c r="AK142" s="129">
        <v>0</v>
      </c>
      <c r="AL142" s="129">
        <v>0</v>
      </c>
      <c r="AM142" s="662" t="s">
        <v>150</v>
      </c>
      <c r="AN142" s="324" t="s">
        <v>576</v>
      </c>
      <c r="AO142" s="669" t="s">
        <v>485</v>
      </c>
      <c r="AP142" s="529" t="s">
        <v>1349</v>
      </c>
    </row>
    <row r="143" spans="1:42" ht="12.75" x14ac:dyDescent="0.2">
      <c r="A143" s="664">
        <v>136</v>
      </c>
      <c r="B143" s="665" t="s">
        <v>153</v>
      </c>
      <c r="C143" s="666" t="s">
        <v>1257</v>
      </c>
      <c r="D143" s="667" t="s">
        <v>1214</v>
      </c>
      <c r="E143" s="668" t="s">
        <v>152</v>
      </c>
      <c r="F143" s="129">
        <v>362233371</v>
      </c>
      <c r="G143" s="129">
        <v>0</v>
      </c>
      <c r="H143" s="129">
        <v>362233371</v>
      </c>
      <c r="I143" s="129">
        <v>-1311359</v>
      </c>
      <c r="J143" s="129">
        <v>0</v>
      </c>
      <c r="K143" s="129">
        <v>-1311359</v>
      </c>
      <c r="L143" s="129">
        <v>-9743504</v>
      </c>
      <c r="M143" s="129">
        <v>0</v>
      </c>
      <c r="N143" s="129">
        <v>-9743504</v>
      </c>
      <c r="O143" s="129">
        <v>351178508</v>
      </c>
      <c r="P143" s="129">
        <v>0</v>
      </c>
      <c r="Q143" s="129">
        <v>351178508</v>
      </c>
      <c r="R143" s="129">
        <v>0</v>
      </c>
      <c r="S143" s="129">
        <v>0</v>
      </c>
      <c r="T143" s="129">
        <v>0</v>
      </c>
      <c r="U143" s="129">
        <v>0</v>
      </c>
      <c r="V143" s="129">
        <v>0</v>
      </c>
      <c r="W143" s="129">
        <v>0</v>
      </c>
      <c r="X143" s="129">
        <v>0</v>
      </c>
      <c r="Y143" s="129">
        <v>0</v>
      </c>
      <c r="Z143" s="129">
        <v>0</v>
      </c>
      <c r="AA143" s="129">
        <v>0</v>
      </c>
      <c r="AB143" s="129">
        <v>0</v>
      </c>
      <c r="AC143" s="129">
        <v>0</v>
      </c>
      <c r="AD143" s="129">
        <v>0</v>
      </c>
      <c r="AE143" s="129">
        <v>0</v>
      </c>
      <c r="AF143" s="129">
        <v>0</v>
      </c>
      <c r="AG143" s="129">
        <v>0</v>
      </c>
      <c r="AH143" s="129">
        <v>0</v>
      </c>
      <c r="AI143" s="129">
        <v>0</v>
      </c>
      <c r="AJ143" s="129">
        <v>0</v>
      </c>
      <c r="AK143" s="129">
        <v>0</v>
      </c>
      <c r="AL143" s="129">
        <v>0</v>
      </c>
      <c r="AM143" s="662" t="s">
        <v>152</v>
      </c>
      <c r="AN143" s="324" t="s">
        <v>576</v>
      </c>
      <c r="AO143" s="669" t="s">
        <v>485</v>
      </c>
      <c r="AP143" s="529" t="s">
        <v>1350</v>
      </c>
    </row>
    <row r="144" spans="1:42" ht="12.75" x14ac:dyDescent="0.2">
      <c r="A144" s="664">
        <v>137</v>
      </c>
      <c r="B144" s="665" t="s">
        <v>155</v>
      </c>
      <c r="C144" s="666" t="s">
        <v>1201</v>
      </c>
      <c r="D144" s="667" t="s">
        <v>1211</v>
      </c>
      <c r="E144" s="668" t="s">
        <v>823</v>
      </c>
      <c r="F144" s="129">
        <v>48260310</v>
      </c>
      <c r="G144" s="129">
        <v>16902</v>
      </c>
      <c r="H144" s="129">
        <v>48277212</v>
      </c>
      <c r="I144" s="129">
        <v>-2896633</v>
      </c>
      <c r="J144" s="129">
        <v>0</v>
      </c>
      <c r="K144" s="129">
        <v>-2896633</v>
      </c>
      <c r="L144" s="129">
        <v>-1500205</v>
      </c>
      <c r="M144" s="129">
        <v>0</v>
      </c>
      <c r="N144" s="129">
        <v>-1500205</v>
      </c>
      <c r="O144" s="129">
        <v>43863472</v>
      </c>
      <c r="P144" s="129">
        <v>16902</v>
      </c>
      <c r="Q144" s="129">
        <v>43880374</v>
      </c>
      <c r="R144" s="129">
        <v>2500000</v>
      </c>
      <c r="S144" s="129">
        <v>0</v>
      </c>
      <c r="T144" s="129">
        <v>2500000</v>
      </c>
      <c r="U144" s="129">
        <v>0</v>
      </c>
      <c r="V144" s="129">
        <v>0</v>
      </c>
      <c r="W144" s="129">
        <v>0</v>
      </c>
      <c r="X144" s="129">
        <v>0</v>
      </c>
      <c r="Y144" s="129">
        <v>0</v>
      </c>
      <c r="Z144" s="129">
        <v>16902</v>
      </c>
      <c r="AA144" s="129">
        <v>16902</v>
      </c>
      <c r="AB144" s="129">
        <v>0</v>
      </c>
      <c r="AC144" s="129">
        <v>0</v>
      </c>
      <c r="AD144" s="129">
        <v>0</v>
      </c>
      <c r="AE144" s="129">
        <v>0</v>
      </c>
      <c r="AF144" s="129">
        <v>51594</v>
      </c>
      <c r="AG144" s="129">
        <v>51594</v>
      </c>
      <c r="AH144" s="129">
        <v>0</v>
      </c>
      <c r="AI144" s="129">
        <v>0</v>
      </c>
      <c r="AJ144" s="129">
        <v>0</v>
      </c>
      <c r="AK144" s="129">
        <v>51594</v>
      </c>
      <c r="AL144" s="129">
        <v>51594</v>
      </c>
      <c r="AM144" s="662" t="s">
        <v>823</v>
      </c>
      <c r="AN144" s="324" t="s">
        <v>553</v>
      </c>
      <c r="AO144" s="663" t="s">
        <v>512</v>
      </c>
      <c r="AP144" s="529" t="s">
        <v>1351</v>
      </c>
    </row>
    <row r="145" spans="1:42" ht="12.75" x14ac:dyDescent="0.2">
      <c r="A145" s="664">
        <v>138</v>
      </c>
      <c r="B145" s="665" t="s">
        <v>157</v>
      </c>
      <c r="C145" s="666" t="s">
        <v>486</v>
      </c>
      <c r="D145" s="667" t="s">
        <v>1218</v>
      </c>
      <c r="E145" s="668" t="s">
        <v>819</v>
      </c>
      <c r="F145" s="129">
        <v>79410456</v>
      </c>
      <c r="G145" s="129">
        <v>3724967</v>
      </c>
      <c r="H145" s="129">
        <v>83135423</v>
      </c>
      <c r="I145" s="129">
        <v>-3500000</v>
      </c>
      <c r="J145" s="129">
        <v>0</v>
      </c>
      <c r="K145" s="129">
        <v>-3500000</v>
      </c>
      <c r="L145" s="129">
        <v>-3000000</v>
      </c>
      <c r="M145" s="129">
        <v>0</v>
      </c>
      <c r="N145" s="129">
        <v>-3000000</v>
      </c>
      <c r="O145" s="129">
        <v>72910456</v>
      </c>
      <c r="P145" s="129">
        <v>3724967</v>
      </c>
      <c r="Q145" s="129">
        <v>76635423</v>
      </c>
      <c r="R145" s="129">
        <v>0</v>
      </c>
      <c r="S145" s="129">
        <v>500000</v>
      </c>
      <c r="T145" s="129">
        <v>500000</v>
      </c>
      <c r="U145" s="129">
        <v>0</v>
      </c>
      <c r="V145" s="129">
        <v>0</v>
      </c>
      <c r="W145" s="129">
        <v>0</v>
      </c>
      <c r="X145" s="129">
        <v>0</v>
      </c>
      <c r="Y145" s="129">
        <v>358162</v>
      </c>
      <c r="Z145" s="129">
        <v>2910938</v>
      </c>
      <c r="AA145" s="129">
        <v>2910938</v>
      </c>
      <c r="AB145" s="129">
        <v>0</v>
      </c>
      <c r="AC145" s="129">
        <v>0</v>
      </c>
      <c r="AD145" s="129">
        <v>0</v>
      </c>
      <c r="AE145" s="129">
        <v>0</v>
      </c>
      <c r="AF145" s="129">
        <v>165848</v>
      </c>
      <c r="AG145" s="129">
        <v>165848</v>
      </c>
      <c r="AH145" s="129">
        <v>0</v>
      </c>
      <c r="AI145" s="129">
        <v>0</v>
      </c>
      <c r="AJ145" s="129">
        <v>0</v>
      </c>
      <c r="AK145" s="129">
        <v>165848</v>
      </c>
      <c r="AL145" s="129">
        <v>165848</v>
      </c>
      <c r="AM145" s="662" t="s">
        <v>819</v>
      </c>
      <c r="AN145" s="324" t="s">
        <v>486</v>
      </c>
      <c r="AO145" s="663" t="s">
        <v>538</v>
      </c>
      <c r="AP145" s="529" t="s">
        <v>1352</v>
      </c>
    </row>
    <row r="146" spans="1:42" ht="12.75" x14ac:dyDescent="0.2">
      <c r="A146" s="664">
        <v>139</v>
      </c>
      <c r="B146" s="665" t="s">
        <v>159</v>
      </c>
      <c r="C146" s="666" t="s">
        <v>1213</v>
      </c>
      <c r="D146" s="667" t="s">
        <v>1214</v>
      </c>
      <c r="E146" s="668" t="s">
        <v>158</v>
      </c>
      <c r="F146" s="129">
        <v>87759934</v>
      </c>
      <c r="G146" s="129">
        <v>0</v>
      </c>
      <c r="H146" s="129">
        <v>87759934</v>
      </c>
      <c r="I146" s="129">
        <v>-3963881</v>
      </c>
      <c r="J146" s="129">
        <v>0</v>
      </c>
      <c r="K146" s="129">
        <v>-3963881</v>
      </c>
      <c r="L146" s="129">
        <v>-905194</v>
      </c>
      <c r="M146" s="129">
        <v>0</v>
      </c>
      <c r="N146" s="129">
        <v>-905194</v>
      </c>
      <c r="O146" s="129">
        <v>82890859</v>
      </c>
      <c r="P146" s="129">
        <v>0</v>
      </c>
      <c r="Q146" s="129">
        <v>82890859</v>
      </c>
      <c r="R146" s="129">
        <v>0</v>
      </c>
      <c r="S146" s="129">
        <v>0</v>
      </c>
      <c r="T146" s="129">
        <v>0</v>
      </c>
      <c r="U146" s="129">
        <v>0</v>
      </c>
      <c r="V146" s="129">
        <v>0</v>
      </c>
      <c r="W146" s="129">
        <v>0</v>
      </c>
      <c r="X146" s="129">
        <v>0</v>
      </c>
      <c r="Y146" s="129">
        <v>0</v>
      </c>
      <c r="Z146" s="129">
        <v>0</v>
      </c>
      <c r="AA146" s="129">
        <v>0</v>
      </c>
      <c r="AB146" s="129">
        <v>0</v>
      </c>
      <c r="AC146" s="129">
        <v>0</v>
      </c>
      <c r="AD146" s="129">
        <v>0</v>
      </c>
      <c r="AE146" s="129">
        <v>0</v>
      </c>
      <c r="AF146" s="129">
        <v>0</v>
      </c>
      <c r="AG146" s="129">
        <v>0</v>
      </c>
      <c r="AH146" s="129">
        <v>0</v>
      </c>
      <c r="AI146" s="129">
        <v>0</v>
      </c>
      <c r="AJ146" s="129">
        <v>0</v>
      </c>
      <c r="AK146" s="129">
        <v>0</v>
      </c>
      <c r="AL146" s="129">
        <v>0</v>
      </c>
      <c r="AM146" s="662" t="s">
        <v>158</v>
      </c>
      <c r="AN146" s="324" t="s">
        <v>576</v>
      </c>
      <c r="AO146" s="669" t="s">
        <v>485</v>
      </c>
      <c r="AP146" s="529" t="s">
        <v>1353</v>
      </c>
    </row>
    <row r="147" spans="1:42" ht="12.75" x14ac:dyDescent="0.2">
      <c r="A147" s="664">
        <v>140</v>
      </c>
      <c r="B147" s="665" t="s">
        <v>161</v>
      </c>
      <c r="C147" s="666" t="s">
        <v>1217</v>
      </c>
      <c r="D147" s="667" t="s">
        <v>1218</v>
      </c>
      <c r="E147" s="668" t="s">
        <v>160</v>
      </c>
      <c r="F147" s="129">
        <v>109998821</v>
      </c>
      <c r="G147" s="129">
        <v>302929</v>
      </c>
      <c r="H147" s="129">
        <v>110301750</v>
      </c>
      <c r="I147" s="129">
        <v>-8435000</v>
      </c>
      <c r="J147" s="129">
        <v>0</v>
      </c>
      <c r="K147" s="129">
        <v>-8435000</v>
      </c>
      <c r="L147" s="129">
        <v>-2000000</v>
      </c>
      <c r="M147" s="129">
        <v>0</v>
      </c>
      <c r="N147" s="129">
        <v>-2000000</v>
      </c>
      <c r="O147" s="129">
        <v>99563821</v>
      </c>
      <c r="P147" s="129">
        <v>302929</v>
      </c>
      <c r="Q147" s="129">
        <v>99866750</v>
      </c>
      <c r="R147" s="129">
        <v>0</v>
      </c>
      <c r="S147" s="129">
        <v>0</v>
      </c>
      <c r="T147" s="129">
        <v>0</v>
      </c>
      <c r="U147" s="129">
        <v>0</v>
      </c>
      <c r="V147" s="129">
        <v>0</v>
      </c>
      <c r="W147" s="129">
        <v>0</v>
      </c>
      <c r="X147" s="129">
        <v>0</v>
      </c>
      <c r="Y147" s="129">
        <v>0</v>
      </c>
      <c r="Z147" s="129">
        <v>302929</v>
      </c>
      <c r="AA147" s="129">
        <v>302929</v>
      </c>
      <c r="AB147" s="129">
        <v>0</v>
      </c>
      <c r="AC147" s="129">
        <v>0</v>
      </c>
      <c r="AD147" s="129">
        <v>0</v>
      </c>
      <c r="AE147" s="129">
        <v>0</v>
      </c>
      <c r="AF147" s="129">
        <v>158896</v>
      </c>
      <c r="AG147" s="129">
        <v>158896</v>
      </c>
      <c r="AH147" s="129">
        <v>0</v>
      </c>
      <c r="AI147" s="129">
        <v>0</v>
      </c>
      <c r="AJ147" s="129">
        <v>0</v>
      </c>
      <c r="AK147" s="129">
        <v>158896</v>
      </c>
      <c r="AL147" s="129">
        <v>158896</v>
      </c>
      <c r="AM147" s="662" t="s">
        <v>160</v>
      </c>
      <c r="AN147" s="324" t="s">
        <v>570</v>
      </c>
      <c r="AO147" s="663" t="s">
        <v>575</v>
      </c>
      <c r="AP147" s="529" t="s">
        <v>1354</v>
      </c>
    </row>
    <row r="148" spans="1:42" ht="12.75" x14ac:dyDescent="0.2">
      <c r="A148" s="664">
        <v>141</v>
      </c>
      <c r="B148" s="665" t="s">
        <v>163</v>
      </c>
      <c r="C148" s="666" t="s">
        <v>1217</v>
      </c>
      <c r="D148" s="667" t="s">
        <v>1204</v>
      </c>
      <c r="E148" s="668" t="s">
        <v>162</v>
      </c>
      <c r="F148" s="129">
        <v>48318632</v>
      </c>
      <c r="G148" s="129">
        <v>0</v>
      </c>
      <c r="H148" s="129">
        <v>48318632</v>
      </c>
      <c r="I148" s="129">
        <v>0</v>
      </c>
      <c r="J148" s="129">
        <v>0</v>
      </c>
      <c r="K148" s="129">
        <v>0</v>
      </c>
      <c r="L148" s="129">
        <v>0</v>
      </c>
      <c r="M148" s="129">
        <v>0</v>
      </c>
      <c r="N148" s="129">
        <v>0</v>
      </c>
      <c r="O148" s="129">
        <v>48318632</v>
      </c>
      <c r="P148" s="129">
        <v>0</v>
      </c>
      <c r="Q148" s="129">
        <v>48318632</v>
      </c>
      <c r="R148" s="129">
        <v>0</v>
      </c>
      <c r="S148" s="129">
        <v>0</v>
      </c>
      <c r="T148" s="129">
        <v>0</v>
      </c>
      <c r="U148" s="129">
        <v>0</v>
      </c>
      <c r="V148" s="129">
        <v>0</v>
      </c>
      <c r="W148" s="129">
        <v>0</v>
      </c>
      <c r="X148" s="129">
        <v>0</v>
      </c>
      <c r="Y148" s="129">
        <v>0</v>
      </c>
      <c r="Z148" s="129">
        <v>0</v>
      </c>
      <c r="AA148" s="129">
        <v>0</v>
      </c>
      <c r="AB148" s="129">
        <v>0</v>
      </c>
      <c r="AC148" s="129">
        <v>0</v>
      </c>
      <c r="AD148" s="129">
        <v>0</v>
      </c>
      <c r="AE148" s="129">
        <v>0</v>
      </c>
      <c r="AF148" s="129">
        <v>0</v>
      </c>
      <c r="AG148" s="129">
        <v>0</v>
      </c>
      <c r="AH148" s="129">
        <v>0</v>
      </c>
      <c r="AI148" s="129">
        <v>0</v>
      </c>
      <c r="AJ148" s="129">
        <v>0</v>
      </c>
      <c r="AK148" s="129">
        <v>0</v>
      </c>
      <c r="AL148" s="129">
        <v>0</v>
      </c>
      <c r="AM148" s="662" t="s">
        <v>162</v>
      </c>
      <c r="AN148" s="324" t="s">
        <v>570</v>
      </c>
      <c r="AO148" s="663" t="s">
        <v>571</v>
      </c>
      <c r="AP148" s="529" t="s">
        <v>1355</v>
      </c>
    </row>
    <row r="149" spans="1:42" ht="12.75" x14ac:dyDescent="0.2">
      <c r="A149" s="664">
        <v>142</v>
      </c>
      <c r="B149" s="665" t="s">
        <v>165</v>
      </c>
      <c r="C149" s="666" t="s">
        <v>1257</v>
      </c>
      <c r="D149" s="667" t="s">
        <v>1214</v>
      </c>
      <c r="E149" s="668" t="s">
        <v>164</v>
      </c>
      <c r="F149" s="129">
        <v>188481922</v>
      </c>
      <c r="G149" s="129">
        <v>1811096</v>
      </c>
      <c r="H149" s="129">
        <v>190293018</v>
      </c>
      <c r="I149" s="129">
        <v>-1200000</v>
      </c>
      <c r="J149" s="129">
        <v>0</v>
      </c>
      <c r="K149" s="129">
        <v>-1200000</v>
      </c>
      <c r="L149" s="129">
        <v>-4000000</v>
      </c>
      <c r="M149" s="129">
        <v>0</v>
      </c>
      <c r="N149" s="129">
        <v>-4000000</v>
      </c>
      <c r="O149" s="129">
        <v>183281922</v>
      </c>
      <c r="P149" s="129">
        <v>1811096</v>
      </c>
      <c r="Q149" s="129">
        <v>185093018</v>
      </c>
      <c r="R149" s="129">
        <v>0</v>
      </c>
      <c r="S149" s="129">
        <v>0</v>
      </c>
      <c r="T149" s="129">
        <v>0</v>
      </c>
      <c r="U149" s="129">
        <v>0</v>
      </c>
      <c r="V149" s="129">
        <v>0</v>
      </c>
      <c r="W149" s="129">
        <v>0</v>
      </c>
      <c r="X149" s="129">
        <v>0</v>
      </c>
      <c r="Y149" s="129">
        <v>1719253</v>
      </c>
      <c r="Z149" s="129">
        <v>91843</v>
      </c>
      <c r="AA149" s="129">
        <v>91843</v>
      </c>
      <c r="AB149" s="129">
        <v>0</v>
      </c>
      <c r="AC149" s="129">
        <v>0</v>
      </c>
      <c r="AD149" s="129">
        <v>0</v>
      </c>
      <c r="AE149" s="129">
        <v>0</v>
      </c>
      <c r="AF149" s="129">
        <v>0</v>
      </c>
      <c r="AG149" s="129">
        <v>0</v>
      </c>
      <c r="AH149" s="129">
        <v>0</v>
      </c>
      <c r="AI149" s="129">
        <v>0</v>
      </c>
      <c r="AJ149" s="129">
        <v>0</v>
      </c>
      <c r="AK149" s="129">
        <v>0</v>
      </c>
      <c r="AL149" s="129">
        <v>0</v>
      </c>
      <c r="AM149" s="662" t="s">
        <v>164</v>
      </c>
      <c r="AN149" s="324" t="s">
        <v>576</v>
      </c>
      <c r="AO149" s="669" t="s">
        <v>485</v>
      </c>
      <c r="AP149" s="529" t="s">
        <v>1356</v>
      </c>
    </row>
    <row r="150" spans="1:42" ht="12.75" x14ac:dyDescent="0.2">
      <c r="A150" s="664">
        <v>143</v>
      </c>
      <c r="B150" s="665" t="s">
        <v>167</v>
      </c>
      <c r="C150" s="666" t="s">
        <v>1201</v>
      </c>
      <c r="D150" s="667" t="s">
        <v>1204</v>
      </c>
      <c r="E150" s="668" t="s">
        <v>166</v>
      </c>
      <c r="F150" s="129">
        <v>69758732</v>
      </c>
      <c r="G150" s="129">
        <v>0</v>
      </c>
      <c r="H150" s="129">
        <v>69758732</v>
      </c>
      <c r="I150" s="129">
        <v>-600000</v>
      </c>
      <c r="J150" s="129">
        <v>0</v>
      </c>
      <c r="K150" s="129">
        <v>-600000</v>
      </c>
      <c r="L150" s="129">
        <v>-5580699</v>
      </c>
      <c r="M150" s="129">
        <v>0</v>
      </c>
      <c r="N150" s="129">
        <v>-5580699</v>
      </c>
      <c r="O150" s="129">
        <v>63578033</v>
      </c>
      <c r="P150" s="129">
        <v>0</v>
      </c>
      <c r="Q150" s="129">
        <v>63578033</v>
      </c>
      <c r="R150" s="129">
        <v>3030748</v>
      </c>
      <c r="S150" s="129">
        <v>0</v>
      </c>
      <c r="T150" s="129">
        <v>3030748</v>
      </c>
      <c r="U150" s="129">
        <v>0</v>
      </c>
      <c r="V150" s="129">
        <v>0</v>
      </c>
      <c r="W150" s="129">
        <v>0</v>
      </c>
      <c r="X150" s="129">
        <v>0</v>
      </c>
      <c r="Y150" s="129">
        <v>0</v>
      </c>
      <c r="Z150" s="129">
        <v>0</v>
      </c>
      <c r="AA150" s="129">
        <v>0</v>
      </c>
      <c r="AB150" s="129">
        <v>0</v>
      </c>
      <c r="AC150" s="129">
        <v>0</v>
      </c>
      <c r="AD150" s="129">
        <v>0</v>
      </c>
      <c r="AE150" s="129">
        <v>0</v>
      </c>
      <c r="AF150" s="129">
        <v>0</v>
      </c>
      <c r="AG150" s="129">
        <v>0</v>
      </c>
      <c r="AH150" s="129">
        <v>0</v>
      </c>
      <c r="AI150" s="129">
        <v>0</v>
      </c>
      <c r="AJ150" s="129">
        <v>0</v>
      </c>
      <c r="AK150" s="129">
        <v>0</v>
      </c>
      <c r="AL150" s="129">
        <v>0</v>
      </c>
      <c r="AM150" s="662" t="s">
        <v>166</v>
      </c>
      <c r="AN150" s="324" t="s">
        <v>547</v>
      </c>
      <c r="AO150" s="663" t="s">
        <v>545</v>
      </c>
      <c r="AP150" s="529" t="s">
        <v>1357</v>
      </c>
    </row>
    <row r="151" spans="1:42" ht="12.75" x14ac:dyDescent="0.2">
      <c r="A151" s="664">
        <v>144</v>
      </c>
      <c r="B151" s="665" t="s">
        <v>169</v>
      </c>
      <c r="C151" s="666" t="s">
        <v>1217</v>
      </c>
      <c r="D151" s="667" t="s">
        <v>1218</v>
      </c>
      <c r="E151" s="668" t="s">
        <v>168</v>
      </c>
      <c r="F151" s="129">
        <v>377101176</v>
      </c>
      <c r="G151" s="129">
        <v>3872302</v>
      </c>
      <c r="H151" s="129">
        <v>380973478</v>
      </c>
      <c r="I151" s="129">
        <v>-13198541</v>
      </c>
      <c r="J151" s="129">
        <v>0</v>
      </c>
      <c r="K151" s="129">
        <v>-13198541</v>
      </c>
      <c r="L151" s="129">
        <v>-18500000</v>
      </c>
      <c r="M151" s="129">
        <v>0</v>
      </c>
      <c r="N151" s="129">
        <v>-18500000</v>
      </c>
      <c r="O151" s="129">
        <v>345402635</v>
      </c>
      <c r="P151" s="129">
        <v>3872302</v>
      </c>
      <c r="Q151" s="129">
        <v>349274937</v>
      </c>
      <c r="R151" s="129">
        <v>227096</v>
      </c>
      <c r="S151" s="129">
        <v>0</v>
      </c>
      <c r="T151" s="129">
        <v>227096</v>
      </c>
      <c r="U151" s="129">
        <v>0</v>
      </c>
      <c r="V151" s="129">
        <v>0</v>
      </c>
      <c r="W151" s="129">
        <v>0</v>
      </c>
      <c r="X151" s="129">
        <v>0</v>
      </c>
      <c r="Y151" s="129">
        <v>1051544</v>
      </c>
      <c r="Z151" s="129">
        <v>2820758</v>
      </c>
      <c r="AA151" s="129">
        <v>2820758</v>
      </c>
      <c r="AB151" s="129">
        <v>0</v>
      </c>
      <c r="AC151" s="129">
        <v>0</v>
      </c>
      <c r="AD151" s="129">
        <v>0</v>
      </c>
      <c r="AE151" s="129">
        <v>0</v>
      </c>
      <c r="AF151" s="129">
        <v>58368</v>
      </c>
      <c r="AG151" s="129">
        <v>58368</v>
      </c>
      <c r="AH151" s="129">
        <v>0</v>
      </c>
      <c r="AI151" s="129">
        <v>0</v>
      </c>
      <c r="AJ151" s="129">
        <v>0</v>
      </c>
      <c r="AK151" s="129">
        <v>58368</v>
      </c>
      <c r="AL151" s="129">
        <v>58368</v>
      </c>
      <c r="AM151" s="662" t="s">
        <v>168</v>
      </c>
      <c r="AN151" s="324" t="s">
        <v>570</v>
      </c>
      <c r="AO151" s="663" t="s">
        <v>575</v>
      </c>
      <c r="AP151" s="529" t="s">
        <v>1358</v>
      </c>
    </row>
    <row r="152" spans="1:42" ht="12.75" x14ac:dyDescent="0.2">
      <c r="A152" s="664">
        <v>145</v>
      </c>
      <c r="B152" s="665" t="s">
        <v>171</v>
      </c>
      <c r="C152" s="666" t="s">
        <v>486</v>
      </c>
      <c r="D152" s="667" t="s">
        <v>1206</v>
      </c>
      <c r="E152" s="668" t="s">
        <v>548</v>
      </c>
      <c r="F152" s="129">
        <v>114141058</v>
      </c>
      <c r="G152" s="129">
        <v>2795784</v>
      </c>
      <c r="H152" s="129">
        <v>116936842</v>
      </c>
      <c r="I152" s="129">
        <v>-2063539</v>
      </c>
      <c r="J152" s="129">
        <v>-50324</v>
      </c>
      <c r="K152" s="129">
        <v>-2113863</v>
      </c>
      <c r="L152" s="129">
        <v>-3538840</v>
      </c>
      <c r="M152" s="129">
        <v>-95295</v>
      </c>
      <c r="N152" s="129">
        <v>-3634135</v>
      </c>
      <c r="O152" s="129">
        <v>108538679</v>
      </c>
      <c r="P152" s="129">
        <v>2650165</v>
      </c>
      <c r="Q152" s="129">
        <v>111188844</v>
      </c>
      <c r="R152" s="129">
        <v>0</v>
      </c>
      <c r="S152" s="129">
        <v>0</v>
      </c>
      <c r="T152" s="129">
        <v>0</v>
      </c>
      <c r="U152" s="129">
        <v>0</v>
      </c>
      <c r="V152" s="129">
        <v>0</v>
      </c>
      <c r="W152" s="129">
        <v>0</v>
      </c>
      <c r="X152" s="129">
        <v>7097</v>
      </c>
      <c r="Y152" s="129">
        <v>2499363</v>
      </c>
      <c r="Z152" s="129">
        <v>157899</v>
      </c>
      <c r="AA152" s="129">
        <v>157899</v>
      </c>
      <c r="AB152" s="129">
        <v>0</v>
      </c>
      <c r="AC152" s="129">
        <v>0</v>
      </c>
      <c r="AD152" s="129">
        <v>0</v>
      </c>
      <c r="AE152" s="129">
        <v>0</v>
      </c>
      <c r="AF152" s="129">
        <v>0</v>
      </c>
      <c r="AG152" s="129">
        <v>0</v>
      </c>
      <c r="AH152" s="129">
        <v>0</v>
      </c>
      <c r="AI152" s="129">
        <v>0</v>
      </c>
      <c r="AJ152" s="129">
        <v>0</v>
      </c>
      <c r="AK152" s="129">
        <v>0</v>
      </c>
      <c r="AL152" s="129">
        <v>0</v>
      </c>
      <c r="AM152" s="662" t="s">
        <v>548</v>
      </c>
      <c r="AN152" s="324" t="s">
        <v>486</v>
      </c>
      <c r="AO152" s="663" t="s">
        <v>549</v>
      </c>
      <c r="AP152" s="529" t="s">
        <v>1359</v>
      </c>
    </row>
    <row r="153" spans="1:42" ht="12.75" x14ac:dyDescent="0.2">
      <c r="A153" s="664">
        <v>146</v>
      </c>
      <c r="B153" s="665" t="s">
        <v>173</v>
      </c>
      <c r="C153" s="666" t="s">
        <v>1201</v>
      </c>
      <c r="D153" s="667" t="s">
        <v>1202</v>
      </c>
      <c r="E153" s="668" t="s">
        <v>172</v>
      </c>
      <c r="F153" s="129">
        <v>24965710</v>
      </c>
      <c r="G153" s="129">
        <v>2402560</v>
      </c>
      <c r="H153" s="129">
        <v>27368270</v>
      </c>
      <c r="I153" s="129">
        <v>-300000</v>
      </c>
      <c r="J153" s="129">
        <v>-280759</v>
      </c>
      <c r="K153" s="129">
        <v>-580759</v>
      </c>
      <c r="L153" s="129">
        <v>-204000</v>
      </c>
      <c r="M153" s="129">
        <v>0</v>
      </c>
      <c r="N153" s="129">
        <v>-204000</v>
      </c>
      <c r="O153" s="129">
        <v>24461710</v>
      </c>
      <c r="P153" s="129">
        <v>2121801</v>
      </c>
      <c r="Q153" s="129">
        <v>26583511</v>
      </c>
      <c r="R153" s="129">
        <v>38663</v>
      </c>
      <c r="S153" s="129">
        <v>0</v>
      </c>
      <c r="T153" s="129">
        <v>38663</v>
      </c>
      <c r="U153" s="129">
        <v>0</v>
      </c>
      <c r="V153" s="129">
        <v>0</v>
      </c>
      <c r="W153" s="129">
        <v>0</v>
      </c>
      <c r="X153" s="129">
        <v>-10896</v>
      </c>
      <c r="Y153" s="129">
        <v>2140934</v>
      </c>
      <c r="Z153" s="129">
        <v>242897</v>
      </c>
      <c r="AA153" s="129">
        <v>242897</v>
      </c>
      <c r="AB153" s="129">
        <v>0</v>
      </c>
      <c r="AC153" s="129">
        <v>0</v>
      </c>
      <c r="AD153" s="129">
        <v>0</v>
      </c>
      <c r="AE153" s="129">
        <v>0</v>
      </c>
      <c r="AF153" s="129">
        <v>553824</v>
      </c>
      <c r="AG153" s="129">
        <v>553824</v>
      </c>
      <c r="AH153" s="129">
        <v>0</v>
      </c>
      <c r="AI153" s="129">
        <v>0</v>
      </c>
      <c r="AJ153" s="129">
        <v>0</v>
      </c>
      <c r="AK153" s="129">
        <v>553824</v>
      </c>
      <c r="AL153" s="129">
        <v>553824</v>
      </c>
      <c r="AM153" s="662" t="s">
        <v>172</v>
      </c>
      <c r="AN153" s="324" t="s">
        <v>525</v>
      </c>
      <c r="AO153" s="663" t="s">
        <v>524</v>
      </c>
      <c r="AP153" s="529" t="s">
        <v>1360</v>
      </c>
    </row>
    <row r="154" spans="1:42" ht="12.75" x14ac:dyDescent="0.2">
      <c r="A154" s="664">
        <v>147</v>
      </c>
      <c r="B154" s="665" t="s">
        <v>175</v>
      </c>
      <c r="C154" s="666" t="s">
        <v>1257</v>
      </c>
      <c r="D154" s="667" t="s">
        <v>1214</v>
      </c>
      <c r="E154" s="668" t="s">
        <v>174</v>
      </c>
      <c r="F154" s="129">
        <v>70167244</v>
      </c>
      <c r="G154" s="129">
        <v>0</v>
      </c>
      <c r="H154" s="129">
        <v>70167244</v>
      </c>
      <c r="I154" s="129">
        <v>-701672</v>
      </c>
      <c r="J154" s="129">
        <v>0</v>
      </c>
      <c r="K154" s="129">
        <v>-701672</v>
      </c>
      <c r="L154" s="129">
        <v>-3227693</v>
      </c>
      <c r="M154" s="129">
        <v>0</v>
      </c>
      <c r="N154" s="129">
        <v>-3227693</v>
      </c>
      <c r="O154" s="129">
        <v>66237879</v>
      </c>
      <c r="P154" s="129">
        <v>0</v>
      </c>
      <c r="Q154" s="129">
        <v>66237879</v>
      </c>
      <c r="R154" s="129">
        <v>0</v>
      </c>
      <c r="S154" s="129">
        <v>0</v>
      </c>
      <c r="T154" s="129">
        <v>0</v>
      </c>
      <c r="U154" s="129">
        <v>0</v>
      </c>
      <c r="V154" s="129">
        <v>0</v>
      </c>
      <c r="W154" s="129">
        <v>0</v>
      </c>
      <c r="X154" s="129">
        <v>0</v>
      </c>
      <c r="Y154" s="129">
        <v>0</v>
      </c>
      <c r="Z154" s="129">
        <v>0</v>
      </c>
      <c r="AA154" s="129">
        <v>0</v>
      </c>
      <c r="AB154" s="129">
        <v>0</v>
      </c>
      <c r="AC154" s="129">
        <v>0</v>
      </c>
      <c r="AD154" s="129">
        <v>0</v>
      </c>
      <c r="AE154" s="129">
        <v>0</v>
      </c>
      <c r="AF154" s="129">
        <v>0</v>
      </c>
      <c r="AG154" s="129">
        <v>0</v>
      </c>
      <c r="AH154" s="129">
        <v>0</v>
      </c>
      <c r="AI154" s="129">
        <v>0</v>
      </c>
      <c r="AJ154" s="129">
        <v>0</v>
      </c>
      <c r="AK154" s="129">
        <v>0</v>
      </c>
      <c r="AL154" s="129">
        <v>0</v>
      </c>
      <c r="AM154" s="662" t="s">
        <v>174</v>
      </c>
      <c r="AN154" s="324" t="s">
        <v>576</v>
      </c>
      <c r="AO154" s="669" t="s">
        <v>485</v>
      </c>
      <c r="AP154" s="529" t="s">
        <v>1361</v>
      </c>
    </row>
    <row r="155" spans="1:42" ht="12.75" x14ac:dyDescent="0.2">
      <c r="A155" s="664">
        <v>148</v>
      </c>
      <c r="B155" s="665" t="s">
        <v>177</v>
      </c>
      <c r="C155" s="666" t="s">
        <v>1201</v>
      </c>
      <c r="D155" s="667" t="s">
        <v>1228</v>
      </c>
      <c r="E155" s="668" t="s">
        <v>176</v>
      </c>
      <c r="F155" s="129">
        <v>35937549</v>
      </c>
      <c r="G155" s="129">
        <v>0</v>
      </c>
      <c r="H155" s="129">
        <v>35937549</v>
      </c>
      <c r="I155" s="129">
        <v>-1337588</v>
      </c>
      <c r="J155" s="129">
        <v>0</v>
      </c>
      <c r="K155" s="129">
        <v>-1337588</v>
      </c>
      <c r="L155" s="129">
        <v>-250000</v>
      </c>
      <c r="M155" s="129">
        <v>0</v>
      </c>
      <c r="N155" s="129">
        <v>-250000</v>
      </c>
      <c r="O155" s="129">
        <v>34349961</v>
      </c>
      <c r="P155" s="129">
        <v>0</v>
      </c>
      <c r="Q155" s="129">
        <v>34349961</v>
      </c>
      <c r="R155" s="129">
        <v>0</v>
      </c>
      <c r="S155" s="129">
        <v>0</v>
      </c>
      <c r="T155" s="129">
        <v>0</v>
      </c>
      <c r="U155" s="129">
        <v>0</v>
      </c>
      <c r="V155" s="129">
        <v>0</v>
      </c>
      <c r="W155" s="129">
        <v>0</v>
      </c>
      <c r="X155" s="129">
        <v>0</v>
      </c>
      <c r="Y155" s="129">
        <v>0</v>
      </c>
      <c r="Z155" s="129">
        <v>0</v>
      </c>
      <c r="AA155" s="129">
        <v>0</v>
      </c>
      <c r="AB155" s="129">
        <v>0</v>
      </c>
      <c r="AC155" s="129">
        <v>0</v>
      </c>
      <c r="AD155" s="129">
        <v>0</v>
      </c>
      <c r="AE155" s="129">
        <v>0</v>
      </c>
      <c r="AF155" s="129">
        <v>0</v>
      </c>
      <c r="AG155" s="129">
        <v>0</v>
      </c>
      <c r="AH155" s="129">
        <v>0</v>
      </c>
      <c r="AI155" s="129">
        <v>0</v>
      </c>
      <c r="AJ155" s="129">
        <v>0</v>
      </c>
      <c r="AK155" s="129">
        <v>0</v>
      </c>
      <c r="AL155" s="129">
        <v>0</v>
      </c>
      <c r="AM155" s="662" t="s">
        <v>176</v>
      </c>
      <c r="AN155" s="324" t="s">
        <v>564</v>
      </c>
      <c r="AO155" s="663" t="s">
        <v>1917</v>
      </c>
      <c r="AP155" s="529" t="s">
        <v>1362</v>
      </c>
    </row>
    <row r="156" spans="1:42" ht="12.75" x14ac:dyDescent="0.2">
      <c r="A156" s="664">
        <v>149</v>
      </c>
      <c r="B156" s="665" t="s">
        <v>179</v>
      </c>
      <c r="C156" s="666" t="s">
        <v>1201</v>
      </c>
      <c r="D156" s="667" t="s">
        <v>1206</v>
      </c>
      <c r="E156" s="668" t="s">
        <v>178</v>
      </c>
      <c r="F156" s="129">
        <v>45324886</v>
      </c>
      <c r="G156" s="129">
        <v>0</v>
      </c>
      <c r="H156" s="129">
        <v>45324886</v>
      </c>
      <c r="I156" s="129">
        <v>-250000</v>
      </c>
      <c r="J156" s="129">
        <v>0</v>
      </c>
      <c r="K156" s="129">
        <v>-250000</v>
      </c>
      <c r="L156" s="129">
        <v>-2000000</v>
      </c>
      <c r="M156" s="129">
        <v>0</v>
      </c>
      <c r="N156" s="129">
        <v>-2000000</v>
      </c>
      <c r="O156" s="129">
        <v>43074886</v>
      </c>
      <c r="P156" s="129">
        <v>0</v>
      </c>
      <c r="Q156" s="129">
        <v>43074886</v>
      </c>
      <c r="R156" s="129">
        <v>0</v>
      </c>
      <c r="S156" s="129">
        <v>0</v>
      </c>
      <c r="T156" s="129">
        <v>0</v>
      </c>
      <c r="U156" s="129">
        <v>0</v>
      </c>
      <c r="V156" s="129">
        <v>0</v>
      </c>
      <c r="W156" s="129">
        <v>0</v>
      </c>
      <c r="X156" s="129">
        <v>0</v>
      </c>
      <c r="Y156" s="129">
        <v>0</v>
      </c>
      <c r="Z156" s="129">
        <v>0</v>
      </c>
      <c r="AA156" s="129">
        <v>0</v>
      </c>
      <c r="AB156" s="129">
        <v>0</v>
      </c>
      <c r="AC156" s="129">
        <v>0</v>
      </c>
      <c r="AD156" s="129">
        <v>0</v>
      </c>
      <c r="AE156" s="129">
        <v>0</v>
      </c>
      <c r="AF156" s="129">
        <v>0</v>
      </c>
      <c r="AG156" s="129">
        <v>0</v>
      </c>
      <c r="AH156" s="129">
        <v>0</v>
      </c>
      <c r="AI156" s="129">
        <v>0</v>
      </c>
      <c r="AJ156" s="129">
        <v>0</v>
      </c>
      <c r="AK156" s="129">
        <v>0</v>
      </c>
      <c r="AL156" s="129">
        <v>0</v>
      </c>
      <c r="AM156" s="662" t="s">
        <v>178</v>
      </c>
      <c r="AN156" s="324" t="s">
        <v>552</v>
      </c>
      <c r="AO156" s="663" t="s">
        <v>512</v>
      </c>
      <c r="AP156" s="529" t="s">
        <v>1363</v>
      </c>
    </row>
    <row r="157" spans="1:42" ht="12.75" x14ac:dyDescent="0.2">
      <c r="A157" s="664">
        <v>150</v>
      </c>
      <c r="B157" s="665" t="s">
        <v>181</v>
      </c>
      <c r="C157" s="666" t="s">
        <v>1217</v>
      </c>
      <c r="D157" s="667" t="s">
        <v>1204</v>
      </c>
      <c r="E157" s="668" t="s">
        <v>180</v>
      </c>
      <c r="F157" s="129">
        <v>193436916</v>
      </c>
      <c r="G157" s="129">
        <v>28340195</v>
      </c>
      <c r="H157" s="129">
        <v>221777111</v>
      </c>
      <c r="I157" s="129">
        <v>-9351800</v>
      </c>
      <c r="J157" s="129">
        <v>-3229225</v>
      </c>
      <c r="K157" s="129">
        <v>-12581025</v>
      </c>
      <c r="L157" s="129">
        <v>-7000000</v>
      </c>
      <c r="M157" s="129">
        <v>-840600</v>
      </c>
      <c r="N157" s="129">
        <v>-7840600</v>
      </c>
      <c r="O157" s="129">
        <v>177085116</v>
      </c>
      <c r="P157" s="129">
        <v>24270370</v>
      </c>
      <c r="Q157" s="129">
        <v>201355486</v>
      </c>
      <c r="R157" s="129">
        <v>0</v>
      </c>
      <c r="S157" s="129">
        <v>0</v>
      </c>
      <c r="T157" s="129">
        <v>0</v>
      </c>
      <c r="U157" s="129">
        <v>0</v>
      </c>
      <c r="V157" s="129">
        <v>0</v>
      </c>
      <c r="W157" s="129">
        <v>0</v>
      </c>
      <c r="X157" s="129">
        <v>-270603</v>
      </c>
      <c r="Y157" s="129">
        <v>35186132</v>
      </c>
      <c r="Z157" s="129">
        <v>0</v>
      </c>
      <c r="AA157" s="129">
        <v>0</v>
      </c>
      <c r="AB157" s="129">
        <v>0</v>
      </c>
      <c r="AC157" s="129">
        <v>58976</v>
      </c>
      <c r="AD157" s="129">
        <v>58976</v>
      </c>
      <c r="AE157" s="129">
        <v>0</v>
      </c>
      <c r="AF157" s="129">
        <v>0</v>
      </c>
      <c r="AG157" s="129">
        <v>0</v>
      </c>
      <c r="AH157" s="129">
        <v>0</v>
      </c>
      <c r="AI157" s="129">
        <v>0</v>
      </c>
      <c r="AJ157" s="129">
        <v>0</v>
      </c>
      <c r="AK157" s="129">
        <v>0</v>
      </c>
      <c r="AL157" s="129">
        <v>0</v>
      </c>
      <c r="AM157" s="662" t="s">
        <v>180</v>
      </c>
      <c r="AN157" s="324" t="s">
        <v>570</v>
      </c>
      <c r="AO157" s="663" t="s">
        <v>571</v>
      </c>
      <c r="AP157" s="529" t="s">
        <v>1364</v>
      </c>
    </row>
    <row r="158" spans="1:42" ht="12.75" x14ac:dyDescent="0.2">
      <c r="A158" s="664">
        <v>151</v>
      </c>
      <c r="B158" s="665" t="s">
        <v>183</v>
      </c>
      <c r="C158" s="666" t="s">
        <v>486</v>
      </c>
      <c r="D158" s="667" t="s">
        <v>1211</v>
      </c>
      <c r="E158" s="668" t="s">
        <v>491</v>
      </c>
      <c r="F158" s="129">
        <v>68801740</v>
      </c>
      <c r="G158" s="129">
        <v>4548828</v>
      </c>
      <c r="H158" s="129">
        <v>73350568</v>
      </c>
      <c r="I158" s="129">
        <v>-3131634</v>
      </c>
      <c r="J158" s="129">
        <v>-147893</v>
      </c>
      <c r="K158" s="129">
        <v>-3279527</v>
      </c>
      <c r="L158" s="129">
        <v>-4158165</v>
      </c>
      <c r="M158" s="129">
        <v>-208394</v>
      </c>
      <c r="N158" s="129">
        <v>-4366559</v>
      </c>
      <c r="O158" s="129">
        <v>61511941</v>
      </c>
      <c r="P158" s="129">
        <v>4192541</v>
      </c>
      <c r="Q158" s="129">
        <v>65704482</v>
      </c>
      <c r="R158" s="129">
        <v>0</v>
      </c>
      <c r="S158" s="129">
        <v>0</v>
      </c>
      <c r="T158" s="129">
        <v>0</v>
      </c>
      <c r="U158" s="129">
        <v>0</v>
      </c>
      <c r="V158" s="129">
        <v>0</v>
      </c>
      <c r="W158" s="129">
        <v>0</v>
      </c>
      <c r="X158" s="129">
        <v>15942</v>
      </c>
      <c r="Y158" s="129">
        <v>4846502</v>
      </c>
      <c r="Z158" s="129">
        <v>0</v>
      </c>
      <c r="AA158" s="129">
        <v>0</v>
      </c>
      <c r="AB158" s="129">
        <v>0</v>
      </c>
      <c r="AC158" s="129">
        <v>0</v>
      </c>
      <c r="AD158" s="129">
        <v>0</v>
      </c>
      <c r="AE158" s="129">
        <v>0</v>
      </c>
      <c r="AF158" s="129">
        <v>0</v>
      </c>
      <c r="AG158" s="129">
        <v>0</v>
      </c>
      <c r="AH158" s="129">
        <v>0</v>
      </c>
      <c r="AI158" s="129">
        <v>0</v>
      </c>
      <c r="AJ158" s="129">
        <v>0</v>
      </c>
      <c r="AK158" s="129">
        <v>0</v>
      </c>
      <c r="AL158" s="129">
        <v>0</v>
      </c>
      <c r="AM158" s="662" t="s">
        <v>491</v>
      </c>
      <c r="AN158" s="324" t="s">
        <v>486</v>
      </c>
      <c r="AO158" s="663" t="s">
        <v>492</v>
      </c>
      <c r="AP158" s="529" t="s">
        <v>1365</v>
      </c>
    </row>
    <row r="159" spans="1:42" ht="12.75" x14ac:dyDescent="0.2">
      <c r="A159" s="664">
        <v>152</v>
      </c>
      <c r="B159" s="665" t="s">
        <v>185</v>
      </c>
      <c r="C159" s="666" t="s">
        <v>1201</v>
      </c>
      <c r="D159" s="667" t="s">
        <v>1202</v>
      </c>
      <c r="E159" s="668" t="s">
        <v>184</v>
      </c>
      <c r="F159" s="129">
        <v>63938952</v>
      </c>
      <c r="G159" s="129">
        <v>107175</v>
      </c>
      <c r="H159" s="129">
        <v>64046127</v>
      </c>
      <c r="I159" s="129">
        <v>-1280000</v>
      </c>
      <c r="J159" s="129">
        <v>-1072</v>
      </c>
      <c r="K159" s="129">
        <v>-1281072</v>
      </c>
      <c r="L159" s="129">
        <v>-4100000</v>
      </c>
      <c r="M159" s="129">
        <v>0</v>
      </c>
      <c r="N159" s="129">
        <v>-4100000</v>
      </c>
      <c r="O159" s="129">
        <v>58558952</v>
      </c>
      <c r="P159" s="129">
        <v>106103</v>
      </c>
      <c r="Q159" s="129">
        <v>58665055</v>
      </c>
      <c r="R159" s="129">
        <v>42339</v>
      </c>
      <c r="S159" s="129">
        <v>42339</v>
      </c>
      <c r="T159" s="129">
        <v>84678</v>
      </c>
      <c r="U159" s="129">
        <v>0</v>
      </c>
      <c r="V159" s="129">
        <v>0</v>
      </c>
      <c r="W159" s="129">
        <v>0</v>
      </c>
      <c r="X159" s="129">
        <v>0</v>
      </c>
      <c r="Y159" s="129">
        <v>0</v>
      </c>
      <c r="Z159" s="129">
        <v>63764</v>
      </c>
      <c r="AA159" s="129">
        <v>63764</v>
      </c>
      <c r="AB159" s="129">
        <v>0</v>
      </c>
      <c r="AC159" s="129">
        <v>0</v>
      </c>
      <c r="AD159" s="129">
        <v>0</v>
      </c>
      <c r="AE159" s="129">
        <v>0</v>
      </c>
      <c r="AF159" s="129">
        <v>55000</v>
      </c>
      <c r="AG159" s="129">
        <v>55000</v>
      </c>
      <c r="AH159" s="129">
        <v>0</v>
      </c>
      <c r="AI159" s="129">
        <v>0</v>
      </c>
      <c r="AJ159" s="129">
        <v>0</v>
      </c>
      <c r="AK159" s="129">
        <v>55000</v>
      </c>
      <c r="AL159" s="129">
        <v>55000</v>
      </c>
      <c r="AM159" s="662" t="s">
        <v>184</v>
      </c>
      <c r="AN159" s="324" t="s">
        <v>543</v>
      </c>
      <c r="AO159" s="663" t="s">
        <v>542</v>
      </c>
      <c r="AP159" s="529" t="s">
        <v>1366</v>
      </c>
    </row>
    <row r="160" spans="1:42" ht="12.75" x14ac:dyDescent="0.2">
      <c r="A160" s="664">
        <v>153</v>
      </c>
      <c r="B160" s="665" t="s">
        <v>187</v>
      </c>
      <c r="C160" s="666" t="s">
        <v>1201</v>
      </c>
      <c r="D160" s="667" t="s">
        <v>1211</v>
      </c>
      <c r="E160" s="668" t="s">
        <v>186</v>
      </c>
      <c r="F160" s="129">
        <v>15923365</v>
      </c>
      <c r="G160" s="129">
        <v>0</v>
      </c>
      <c r="H160" s="129">
        <v>15923365</v>
      </c>
      <c r="I160" s="129">
        <v>-1273869</v>
      </c>
      <c r="J160" s="129">
        <v>0</v>
      </c>
      <c r="K160" s="129">
        <v>-1273869</v>
      </c>
      <c r="L160" s="129">
        <v>-724985</v>
      </c>
      <c r="M160" s="129">
        <v>0</v>
      </c>
      <c r="N160" s="129">
        <v>-724985</v>
      </c>
      <c r="O160" s="129">
        <v>13924511</v>
      </c>
      <c r="P160" s="129">
        <v>0</v>
      </c>
      <c r="Q160" s="129">
        <v>13924511</v>
      </c>
      <c r="R160" s="129">
        <v>746164</v>
      </c>
      <c r="S160" s="129">
        <v>0</v>
      </c>
      <c r="T160" s="129">
        <v>746164</v>
      </c>
      <c r="U160" s="129">
        <v>0</v>
      </c>
      <c r="V160" s="129">
        <v>0</v>
      </c>
      <c r="W160" s="129">
        <v>0</v>
      </c>
      <c r="X160" s="129">
        <v>0</v>
      </c>
      <c r="Y160" s="129">
        <v>0</v>
      </c>
      <c r="Z160" s="129">
        <v>0</v>
      </c>
      <c r="AA160" s="129">
        <v>0</v>
      </c>
      <c r="AB160" s="129">
        <v>0</v>
      </c>
      <c r="AC160" s="129">
        <v>0</v>
      </c>
      <c r="AD160" s="129">
        <v>0</v>
      </c>
      <c r="AE160" s="129">
        <v>0</v>
      </c>
      <c r="AF160" s="129">
        <v>0</v>
      </c>
      <c r="AG160" s="129">
        <v>0</v>
      </c>
      <c r="AH160" s="129">
        <v>0</v>
      </c>
      <c r="AI160" s="129">
        <v>0</v>
      </c>
      <c r="AJ160" s="129">
        <v>0</v>
      </c>
      <c r="AK160" s="129">
        <v>0</v>
      </c>
      <c r="AL160" s="129">
        <v>0</v>
      </c>
      <c r="AM160" s="662" t="s">
        <v>186</v>
      </c>
      <c r="AN160" s="324" t="s">
        <v>528</v>
      </c>
      <c r="AO160" s="663" t="s">
        <v>1913</v>
      </c>
      <c r="AP160" s="529" t="s">
        <v>1367</v>
      </c>
    </row>
    <row r="161" spans="1:42" ht="12.75" x14ac:dyDescent="0.2">
      <c r="A161" s="664">
        <v>154</v>
      </c>
      <c r="B161" s="665" t="s">
        <v>189</v>
      </c>
      <c r="C161" s="666" t="s">
        <v>1201</v>
      </c>
      <c r="D161" s="667" t="s">
        <v>1228</v>
      </c>
      <c r="E161" s="668" t="s">
        <v>188</v>
      </c>
      <c r="F161" s="129">
        <v>17002181</v>
      </c>
      <c r="G161" s="129">
        <v>0</v>
      </c>
      <c r="H161" s="129">
        <v>17002181</v>
      </c>
      <c r="I161" s="129">
        <v>-170022</v>
      </c>
      <c r="J161" s="129">
        <v>0</v>
      </c>
      <c r="K161" s="129">
        <v>-170022</v>
      </c>
      <c r="L161" s="129">
        <v>0</v>
      </c>
      <c r="M161" s="129">
        <v>0</v>
      </c>
      <c r="N161" s="129">
        <v>0</v>
      </c>
      <c r="O161" s="129">
        <v>16832159</v>
      </c>
      <c r="P161" s="129">
        <v>0</v>
      </c>
      <c r="Q161" s="129">
        <v>16832159</v>
      </c>
      <c r="R161" s="129">
        <v>0</v>
      </c>
      <c r="S161" s="129">
        <v>0</v>
      </c>
      <c r="T161" s="129">
        <v>0</v>
      </c>
      <c r="U161" s="129">
        <v>0</v>
      </c>
      <c r="V161" s="129">
        <v>0</v>
      </c>
      <c r="W161" s="129">
        <v>0</v>
      </c>
      <c r="X161" s="129">
        <v>0</v>
      </c>
      <c r="Y161" s="129">
        <v>0</v>
      </c>
      <c r="Z161" s="129">
        <v>0</v>
      </c>
      <c r="AA161" s="129">
        <v>0</v>
      </c>
      <c r="AB161" s="129">
        <v>0</v>
      </c>
      <c r="AC161" s="129">
        <v>0</v>
      </c>
      <c r="AD161" s="129">
        <v>0</v>
      </c>
      <c r="AE161" s="129">
        <v>0</v>
      </c>
      <c r="AF161" s="129">
        <v>0</v>
      </c>
      <c r="AG161" s="129">
        <v>0</v>
      </c>
      <c r="AH161" s="129">
        <v>0</v>
      </c>
      <c r="AI161" s="129">
        <v>0</v>
      </c>
      <c r="AJ161" s="129">
        <v>0</v>
      </c>
      <c r="AK161" s="129">
        <v>0</v>
      </c>
      <c r="AL161" s="129">
        <v>0</v>
      </c>
      <c r="AM161" s="662" t="s">
        <v>188</v>
      </c>
      <c r="AN161" s="324" t="s">
        <v>535</v>
      </c>
      <c r="AO161" s="663" t="s">
        <v>534</v>
      </c>
      <c r="AP161" s="529" t="s">
        <v>1368</v>
      </c>
    </row>
    <row r="162" spans="1:42" ht="12.75" x14ac:dyDescent="0.2">
      <c r="A162" s="664">
        <v>155</v>
      </c>
      <c r="B162" s="665" t="s">
        <v>191</v>
      </c>
      <c r="C162" s="666" t="s">
        <v>1217</v>
      </c>
      <c r="D162" s="667" t="s">
        <v>1204</v>
      </c>
      <c r="E162" s="668" t="s">
        <v>190</v>
      </c>
      <c r="F162" s="129">
        <v>369297578</v>
      </c>
      <c r="G162" s="129">
        <v>13385559</v>
      </c>
      <c r="H162" s="129">
        <v>382683137</v>
      </c>
      <c r="I162" s="129">
        <v>-22970309</v>
      </c>
      <c r="J162" s="129">
        <v>-832581</v>
      </c>
      <c r="K162" s="129">
        <v>-23802890</v>
      </c>
      <c r="L162" s="129">
        <v>-31807274</v>
      </c>
      <c r="M162" s="129">
        <v>-1152885</v>
      </c>
      <c r="N162" s="129">
        <v>-32960159</v>
      </c>
      <c r="O162" s="129">
        <v>314519995</v>
      </c>
      <c r="P162" s="129">
        <v>11400093</v>
      </c>
      <c r="Q162" s="129">
        <v>325920088</v>
      </c>
      <c r="R162" s="129">
        <v>0</v>
      </c>
      <c r="S162" s="129">
        <v>0</v>
      </c>
      <c r="T162" s="129">
        <v>0</v>
      </c>
      <c r="U162" s="129">
        <v>0</v>
      </c>
      <c r="V162" s="129">
        <v>0</v>
      </c>
      <c r="W162" s="129">
        <v>0</v>
      </c>
      <c r="X162" s="129">
        <v>7229</v>
      </c>
      <c r="Y162" s="129">
        <v>12584742</v>
      </c>
      <c r="Z162" s="129">
        <v>413117</v>
      </c>
      <c r="AA162" s="129">
        <v>413117</v>
      </c>
      <c r="AB162" s="129">
        <v>0</v>
      </c>
      <c r="AC162" s="129">
        <v>811063</v>
      </c>
      <c r="AD162" s="129">
        <v>811063</v>
      </c>
      <c r="AE162" s="129">
        <v>0</v>
      </c>
      <c r="AF162" s="129">
        <v>0</v>
      </c>
      <c r="AG162" s="129">
        <v>0</v>
      </c>
      <c r="AH162" s="129">
        <v>0</v>
      </c>
      <c r="AI162" s="129">
        <v>0</v>
      </c>
      <c r="AJ162" s="129">
        <v>0</v>
      </c>
      <c r="AK162" s="129">
        <v>0</v>
      </c>
      <c r="AL162" s="129">
        <v>0</v>
      </c>
      <c r="AM162" s="662" t="s">
        <v>190</v>
      </c>
      <c r="AN162" s="324" t="s">
        <v>570</v>
      </c>
      <c r="AO162" s="663" t="s">
        <v>1915</v>
      </c>
      <c r="AP162" s="529" t="s">
        <v>1369</v>
      </c>
    </row>
    <row r="163" spans="1:42" ht="12.75" x14ac:dyDescent="0.2">
      <c r="A163" s="664">
        <v>156</v>
      </c>
      <c r="B163" s="665" t="s">
        <v>193</v>
      </c>
      <c r="C163" s="666" t="s">
        <v>1201</v>
      </c>
      <c r="D163" s="667" t="s">
        <v>1206</v>
      </c>
      <c r="E163" s="668" t="s">
        <v>192</v>
      </c>
      <c r="F163" s="129">
        <v>30969772</v>
      </c>
      <c r="G163" s="129">
        <v>0</v>
      </c>
      <c r="H163" s="129">
        <v>30969772</v>
      </c>
      <c r="I163" s="129">
        <v>-495516</v>
      </c>
      <c r="J163" s="129">
        <v>0</v>
      </c>
      <c r="K163" s="129">
        <v>-495516</v>
      </c>
      <c r="L163" s="129">
        <v>-866906</v>
      </c>
      <c r="M163" s="129">
        <v>0</v>
      </c>
      <c r="N163" s="129">
        <v>-866906</v>
      </c>
      <c r="O163" s="129">
        <v>29607350</v>
      </c>
      <c r="P163" s="129">
        <v>0</v>
      </c>
      <c r="Q163" s="129">
        <v>29607350</v>
      </c>
      <c r="R163" s="129">
        <v>73184</v>
      </c>
      <c r="S163" s="129">
        <v>0</v>
      </c>
      <c r="T163" s="129">
        <v>73184</v>
      </c>
      <c r="U163" s="129">
        <v>0</v>
      </c>
      <c r="V163" s="129">
        <v>0</v>
      </c>
      <c r="W163" s="129">
        <v>0</v>
      </c>
      <c r="X163" s="129">
        <v>0</v>
      </c>
      <c r="Y163" s="129">
        <v>0</v>
      </c>
      <c r="Z163" s="129">
        <v>0</v>
      </c>
      <c r="AA163" s="129">
        <v>0</v>
      </c>
      <c r="AB163" s="129">
        <v>0</v>
      </c>
      <c r="AC163" s="129">
        <v>0</v>
      </c>
      <c r="AD163" s="129">
        <v>0</v>
      </c>
      <c r="AE163" s="129">
        <v>0</v>
      </c>
      <c r="AF163" s="129">
        <v>0</v>
      </c>
      <c r="AG163" s="129">
        <v>0</v>
      </c>
      <c r="AH163" s="129">
        <v>0</v>
      </c>
      <c r="AI163" s="129">
        <v>0</v>
      </c>
      <c r="AJ163" s="129">
        <v>0</v>
      </c>
      <c r="AK163" s="129">
        <v>0</v>
      </c>
      <c r="AL163" s="129">
        <v>0</v>
      </c>
      <c r="AM163" s="662" t="s">
        <v>192</v>
      </c>
      <c r="AN163" s="324" t="s">
        <v>559</v>
      </c>
      <c r="AO163" s="663" t="s">
        <v>558</v>
      </c>
      <c r="AP163" s="529" t="s">
        <v>1370</v>
      </c>
    </row>
    <row r="164" spans="1:42" ht="14.25" x14ac:dyDescent="0.2">
      <c r="A164" s="664">
        <v>157</v>
      </c>
      <c r="B164" s="665" t="s">
        <v>195</v>
      </c>
      <c r="C164" s="666" t="s">
        <v>486</v>
      </c>
      <c r="D164" s="667" t="s">
        <v>1202</v>
      </c>
      <c r="E164" s="668" t="s">
        <v>1872</v>
      </c>
      <c r="F164" s="129">
        <v>99450014</v>
      </c>
      <c r="G164" s="129">
        <v>0</v>
      </c>
      <c r="H164" s="129">
        <v>99450014</v>
      </c>
      <c r="I164" s="129">
        <v>-1392300</v>
      </c>
      <c r="J164" s="129">
        <v>0</v>
      </c>
      <c r="K164" s="129">
        <v>-1392300</v>
      </c>
      <c r="L164" s="129">
        <v>-2500000</v>
      </c>
      <c r="M164" s="129">
        <v>0</v>
      </c>
      <c r="N164" s="129">
        <v>-2500000</v>
      </c>
      <c r="O164" s="129">
        <v>95557714</v>
      </c>
      <c r="P164" s="129">
        <v>0</v>
      </c>
      <c r="Q164" s="129">
        <v>95557714</v>
      </c>
      <c r="R164" s="129">
        <v>63271</v>
      </c>
      <c r="S164" s="129">
        <v>0</v>
      </c>
      <c r="T164" s="129">
        <v>63271</v>
      </c>
      <c r="U164" s="129">
        <v>0</v>
      </c>
      <c r="V164" s="129">
        <v>0</v>
      </c>
      <c r="W164" s="129">
        <v>0</v>
      </c>
      <c r="X164" s="129">
        <v>0</v>
      </c>
      <c r="Y164" s="129">
        <v>11661</v>
      </c>
      <c r="Z164" s="129">
        <v>0</v>
      </c>
      <c r="AA164" s="129">
        <v>0</v>
      </c>
      <c r="AB164" s="129">
        <v>0</v>
      </c>
      <c r="AC164" s="129">
        <v>0</v>
      </c>
      <c r="AD164" s="129">
        <v>0</v>
      </c>
      <c r="AE164" s="129">
        <v>0</v>
      </c>
      <c r="AF164" s="129">
        <v>0</v>
      </c>
      <c r="AG164" s="129">
        <v>0</v>
      </c>
      <c r="AH164" s="129">
        <v>0</v>
      </c>
      <c r="AI164" s="129">
        <v>0</v>
      </c>
      <c r="AJ164" s="129">
        <v>0</v>
      </c>
      <c r="AK164" s="129">
        <v>0</v>
      </c>
      <c r="AL164" s="129">
        <v>0</v>
      </c>
      <c r="AM164" s="662" t="s">
        <v>541</v>
      </c>
      <c r="AN164" s="324" t="s">
        <v>486</v>
      </c>
      <c r="AO164" s="663" t="s">
        <v>542</v>
      </c>
      <c r="AP164" s="529" t="s">
        <v>1371</v>
      </c>
    </row>
    <row r="165" spans="1:42" ht="12.75" x14ac:dyDescent="0.2">
      <c r="A165" s="664">
        <v>158</v>
      </c>
      <c r="B165" s="665" t="s">
        <v>197</v>
      </c>
      <c r="C165" s="666" t="s">
        <v>1201</v>
      </c>
      <c r="D165" s="667" t="s">
        <v>1206</v>
      </c>
      <c r="E165" s="668" t="s">
        <v>196</v>
      </c>
      <c r="F165" s="129">
        <v>15235423</v>
      </c>
      <c r="G165" s="129">
        <v>0</v>
      </c>
      <c r="H165" s="129">
        <v>15235423</v>
      </c>
      <c r="I165" s="129">
        <v>-50000</v>
      </c>
      <c r="J165" s="129">
        <v>0</v>
      </c>
      <c r="K165" s="129">
        <v>-50000</v>
      </c>
      <c r="L165" s="129">
        <v>-773912</v>
      </c>
      <c r="M165" s="129">
        <v>0</v>
      </c>
      <c r="N165" s="129">
        <v>-773912</v>
      </c>
      <c r="O165" s="129">
        <v>14411511</v>
      </c>
      <c r="P165" s="129">
        <v>0</v>
      </c>
      <c r="Q165" s="129">
        <v>14411511</v>
      </c>
      <c r="R165" s="129">
        <v>142800</v>
      </c>
      <c r="S165" s="129">
        <v>0</v>
      </c>
      <c r="T165" s="129">
        <v>142800</v>
      </c>
      <c r="U165" s="129">
        <v>0</v>
      </c>
      <c r="V165" s="129">
        <v>0</v>
      </c>
      <c r="W165" s="129">
        <v>0</v>
      </c>
      <c r="X165" s="129">
        <v>0</v>
      </c>
      <c r="Y165" s="129">
        <v>0</v>
      </c>
      <c r="Z165" s="129">
        <v>0</v>
      </c>
      <c r="AA165" s="129">
        <v>0</v>
      </c>
      <c r="AB165" s="129">
        <v>0</v>
      </c>
      <c r="AC165" s="129">
        <v>0</v>
      </c>
      <c r="AD165" s="129">
        <v>0</v>
      </c>
      <c r="AE165" s="129">
        <v>0</v>
      </c>
      <c r="AF165" s="129">
        <v>0</v>
      </c>
      <c r="AG165" s="129">
        <v>0</v>
      </c>
      <c r="AH165" s="129">
        <v>0</v>
      </c>
      <c r="AI165" s="129">
        <v>0</v>
      </c>
      <c r="AJ165" s="129">
        <v>0</v>
      </c>
      <c r="AK165" s="129">
        <v>0</v>
      </c>
      <c r="AL165" s="129">
        <v>0</v>
      </c>
      <c r="AM165" s="662" t="s">
        <v>196</v>
      </c>
      <c r="AN165" s="324" t="s">
        <v>551</v>
      </c>
      <c r="AO165" s="663" t="s">
        <v>549</v>
      </c>
      <c r="AP165" s="529" t="s">
        <v>1372</v>
      </c>
    </row>
    <row r="166" spans="1:42" ht="12.75" x14ac:dyDescent="0.2">
      <c r="A166" s="664">
        <v>159</v>
      </c>
      <c r="B166" s="665" t="s">
        <v>199</v>
      </c>
      <c r="C166" s="666" t="s">
        <v>1201</v>
      </c>
      <c r="D166" s="667" t="s">
        <v>1224</v>
      </c>
      <c r="E166" s="668" t="s">
        <v>198</v>
      </c>
      <c r="F166" s="129">
        <v>37174790</v>
      </c>
      <c r="G166" s="129">
        <v>0</v>
      </c>
      <c r="H166" s="129">
        <v>37174790</v>
      </c>
      <c r="I166" s="129">
        <v>-237215</v>
      </c>
      <c r="J166" s="129">
        <v>0</v>
      </c>
      <c r="K166" s="129">
        <v>-237215</v>
      </c>
      <c r="L166" s="129">
        <v>-219282</v>
      </c>
      <c r="M166" s="129">
        <v>0</v>
      </c>
      <c r="N166" s="129">
        <v>-219282</v>
      </c>
      <c r="O166" s="129">
        <v>36718293</v>
      </c>
      <c r="P166" s="129">
        <v>0</v>
      </c>
      <c r="Q166" s="129">
        <v>36718293</v>
      </c>
      <c r="R166" s="129">
        <v>116845</v>
      </c>
      <c r="S166" s="129">
        <v>0</v>
      </c>
      <c r="T166" s="129">
        <v>116845</v>
      </c>
      <c r="U166" s="129">
        <v>0</v>
      </c>
      <c r="V166" s="129">
        <v>0</v>
      </c>
      <c r="W166" s="129">
        <v>0</v>
      </c>
      <c r="X166" s="129">
        <v>0</v>
      </c>
      <c r="Y166" s="129">
        <v>0</v>
      </c>
      <c r="Z166" s="129">
        <v>0</v>
      </c>
      <c r="AA166" s="129">
        <v>0</v>
      </c>
      <c r="AB166" s="129">
        <v>0</v>
      </c>
      <c r="AC166" s="129">
        <v>0</v>
      </c>
      <c r="AD166" s="129">
        <v>0</v>
      </c>
      <c r="AE166" s="129">
        <v>0</v>
      </c>
      <c r="AF166" s="129">
        <v>0</v>
      </c>
      <c r="AG166" s="129">
        <v>0</v>
      </c>
      <c r="AH166" s="129">
        <v>0</v>
      </c>
      <c r="AI166" s="129">
        <v>0</v>
      </c>
      <c r="AJ166" s="129">
        <v>0</v>
      </c>
      <c r="AK166" s="129">
        <v>0</v>
      </c>
      <c r="AL166" s="129">
        <v>0</v>
      </c>
      <c r="AM166" s="662" t="s">
        <v>198</v>
      </c>
      <c r="AN166" s="324" t="s">
        <v>562</v>
      </c>
      <c r="AO166" s="663" t="s">
        <v>519</v>
      </c>
      <c r="AP166" s="529" t="s">
        <v>1373</v>
      </c>
    </row>
    <row r="167" spans="1:42" ht="12.75" x14ac:dyDescent="0.2">
      <c r="A167" s="664">
        <v>160</v>
      </c>
      <c r="B167" s="665" t="s">
        <v>201</v>
      </c>
      <c r="C167" s="666" t="s">
        <v>1213</v>
      </c>
      <c r="D167" s="667" t="s">
        <v>1214</v>
      </c>
      <c r="E167" s="668" t="s">
        <v>200</v>
      </c>
      <c r="F167" s="129">
        <v>94256751</v>
      </c>
      <c r="G167" s="129">
        <v>0</v>
      </c>
      <c r="H167" s="129">
        <v>94256751</v>
      </c>
      <c r="I167" s="129">
        <v>-2908740</v>
      </c>
      <c r="J167" s="129">
        <v>0</v>
      </c>
      <c r="K167" s="129">
        <v>-2908740</v>
      </c>
      <c r="L167" s="129">
        <v>-1464356</v>
      </c>
      <c r="M167" s="129">
        <v>0</v>
      </c>
      <c r="N167" s="129">
        <v>-1464356</v>
      </c>
      <c r="O167" s="129">
        <v>89883655</v>
      </c>
      <c r="P167" s="129">
        <v>0</v>
      </c>
      <c r="Q167" s="129">
        <v>89883655</v>
      </c>
      <c r="R167" s="129">
        <v>0</v>
      </c>
      <c r="S167" s="129">
        <v>0</v>
      </c>
      <c r="T167" s="129">
        <v>0</v>
      </c>
      <c r="U167" s="129">
        <v>0</v>
      </c>
      <c r="V167" s="129">
        <v>0</v>
      </c>
      <c r="W167" s="129">
        <v>0</v>
      </c>
      <c r="X167" s="129">
        <v>0</v>
      </c>
      <c r="Y167" s="129">
        <v>0</v>
      </c>
      <c r="Z167" s="129">
        <v>0</v>
      </c>
      <c r="AA167" s="129">
        <v>0</v>
      </c>
      <c r="AB167" s="129">
        <v>0</v>
      </c>
      <c r="AC167" s="129">
        <v>0</v>
      </c>
      <c r="AD167" s="129">
        <v>0</v>
      </c>
      <c r="AE167" s="129">
        <v>0</v>
      </c>
      <c r="AF167" s="129">
        <v>0</v>
      </c>
      <c r="AG167" s="129">
        <v>0</v>
      </c>
      <c r="AH167" s="129">
        <v>0</v>
      </c>
      <c r="AI167" s="129">
        <v>0</v>
      </c>
      <c r="AJ167" s="129">
        <v>0</v>
      </c>
      <c r="AK167" s="129">
        <v>0</v>
      </c>
      <c r="AL167" s="129">
        <v>0</v>
      </c>
      <c r="AM167" s="662" t="s">
        <v>200</v>
      </c>
      <c r="AN167" s="324" t="s">
        <v>576</v>
      </c>
      <c r="AO167" s="669" t="s">
        <v>485</v>
      </c>
      <c r="AP167" s="529" t="s">
        <v>1374</v>
      </c>
    </row>
    <row r="168" spans="1:42" ht="12.75" x14ac:dyDescent="0.2">
      <c r="A168" s="664">
        <v>161</v>
      </c>
      <c r="B168" s="665" t="s">
        <v>203</v>
      </c>
      <c r="C168" s="666" t="s">
        <v>1201</v>
      </c>
      <c r="D168" s="667" t="s">
        <v>1224</v>
      </c>
      <c r="E168" s="668" t="s">
        <v>202</v>
      </c>
      <c r="F168" s="129">
        <v>16430473</v>
      </c>
      <c r="G168" s="129">
        <v>0</v>
      </c>
      <c r="H168" s="129">
        <v>16430473</v>
      </c>
      <c r="I168" s="129">
        <v>-150000</v>
      </c>
      <c r="J168" s="129">
        <v>0</v>
      </c>
      <c r="K168" s="129">
        <v>-150000</v>
      </c>
      <c r="L168" s="129">
        <v>-500000</v>
      </c>
      <c r="M168" s="129">
        <v>0</v>
      </c>
      <c r="N168" s="129">
        <v>-500000</v>
      </c>
      <c r="O168" s="129">
        <v>15780473</v>
      </c>
      <c r="P168" s="129">
        <v>0</v>
      </c>
      <c r="Q168" s="129">
        <v>15780473</v>
      </c>
      <c r="R168" s="129">
        <v>203528</v>
      </c>
      <c r="S168" s="129">
        <v>0</v>
      </c>
      <c r="T168" s="129">
        <v>203528</v>
      </c>
      <c r="U168" s="129">
        <v>0</v>
      </c>
      <c r="V168" s="129">
        <v>0</v>
      </c>
      <c r="W168" s="129">
        <v>0</v>
      </c>
      <c r="X168" s="129">
        <v>0</v>
      </c>
      <c r="Y168" s="129">
        <v>0</v>
      </c>
      <c r="Z168" s="129">
        <v>0</v>
      </c>
      <c r="AA168" s="129">
        <v>0</v>
      </c>
      <c r="AB168" s="129">
        <v>0</v>
      </c>
      <c r="AC168" s="129">
        <v>0</v>
      </c>
      <c r="AD168" s="129">
        <v>0</v>
      </c>
      <c r="AE168" s="129">
        <v>0</v>
      </c>
      <c r="AF168" s="129">
        <v>0</v>
      </c>
      <c r="AG168" s="129">
        <v>0</v>
      </c>
      <c r="AH168" s="129">
        <v>0</v>
      </c>
      <c r="AI168" s="129">
        <v>0</v>
      </c>
      <c r="AJ168" s="129">
        <v>0</v>
      </c>
      <c r="AK168" s="129">
        <v>0</v>
      </c>
      <c r="AL168" s="129">
        <v>0</v>
      </c>
      <c r="AM168" s="662" t="s">
        <v>202</v>
      </c>
      <c r="AN168" s="324" t="s">
        <v>521</v>
      </c>
      <c r="AO168" s="663" t="s">
        <v>519</v>
      </c>
      <c r="AP168" s="529" t="s">
        <v>1375</v>
      </c>
    </row>
    <row r="169" spans="1:42" ht="12.75" x14ac:dyDescent="0.2">
      <c r="A169" s="664">
        <v>162</v>
      </c>
      <c r="B169" s="665" t="s">
        <v>205</v>
      </c>
      <c r="C169" s="666" t="s">
        <v>1201</v>
      </c>
      <c r="D169" s="667" t="s">
        <v>1211</v>
      </c>
      <c r="E169" s="668" t="s">
        <v>204</v>
      </c>
      <c r="F169" s="129">
        <v>27776177</v>
      </c>
      <c r="G169" s="129">
        <v>0</v>
      </c>
      <c r="H169" s="129">
        <v>27776177</v>
      </c>
      <c r="I169" s="129">
        <v>-220225</v>
      </c>
      <c r="J169" s="129">
        <v>0</v>
      </c>
      <c r="K169" s="129">
        <v>-220225</v>
      </c>
      <c r="L169" s="129">
        <v>-753860</v>
      </c>
      <c r="M169" s="129">
        <v>0</v>
      </c>
      <c r="N169" s="129">
        <v>-753860</v>
      </c>
      <c r="O169" s="129">
        <v>26802092</v>
      </c>
      <c r="P169" s="129">
        <v>0</v>
      </c>
      <c r="Q169" s="129">
        <v>26802092</v>
      </c>
      <c r="R169" s="129">
        <v>650276</v>
      </c>
      <c r="S169" s="129">
        <v>0</v>
      </c>
      <c r="T169" s="129">
        <v>650276</v>
      </c>
      <c r="U169" s="129">
        <v>0</v>
      </c>
      <c r="V169" s="129">
        <v>0</v>
      </c>
      <c r="W169" s="129">
        <v>0</v>
      </c>
      <c r="X169" s="129">
        <v>0</v>
      </c>
      <c r="Y169" s="129">
        <v>0</v>
      </c>
      <c r="Z169" s="129">
        <v>0</v>
      </c>
      <c r="AA169" s="129">
        <v>0</v>
      </c>
      <c r="AB169" s="129">
        <v>0</v>
      </c>
      <c r="AC169" s="129">
        <v>0</v>
      </c>
      <c r="AD169" s="129">
        <v>0</v>
      </c>
      <c r="AE169" s="129">
        <v>0</v>
      </c>
      <c r="AF169" s="129">
        <v>0</v>
      </c>
      <c r="AG169" s="129">
        <v>0</v>
      </c>
      <c r="AH169" s="129">
        <v>0</v>
      </c>
      <c r="AI169" s="129">
        <v>0</v>
      </c>
      <c r="AJ169" s="129">
        <v>0</v>
      </c>
      <c r="AK169" s="129">
        <v>0</v>
      </c>
      <c r="AL169" s="129">
        <v>0</v>
      </c>
      <c r="AM169" s="662" t="s">
        <v>204</v>
      </c>
      <c r="AN169" s="324" t="s">
        <v>565</v>
      </c>
      <c r="AO169" s="663" t="s">
        <v>512</v>
      </c>
      <c r="AP169" s="529" t="s">
        <v>1376</v>
      </c>
    </row>
    <row r="170" spans="1:42" ht="12.75" x14ac:dyDescent="0.2">
      <c r="A170" s="664">
        <v>163</v>
      </c>
      <c r="B170" s="665" t="s">
        <v>207</v>
      </c>
      <c r="C170" s="666" t="s">
        <v>1201</v>
      </c>
      <c r="D170" s="667" t="s">
        <v>1202</v>
      </c>
      <c r="E170" s="668" t="s">
        <v>206</v>
      </c>
      <c r="F170" s="129">
        <v>53320639</v>
      </c>
      <c r="G170" s="129">
        <v>0</v>
      </c>
      <c r="H170" s="129">
        <v>53320639</v>
      </c>
      <c r="I170" s="129">
        <v>-533206</v>
      </c>
      <c r="J170" s="129">
        <v>0</v>
      </c>
      <c r="K170" s="129">
        <v>-533206</v>
      </c>
      <c r="L170" s="129">
        <v>-1582284</v>
      </c>
      <c r="M170" s="129">
        <v>0</v>
      </c>
      <c r="N170" s="129">
        <v>-1582284</v>
      </c>
      <c r="O170" s="129">
        <v>51205149</v>
      </c>
      <c r="P170" s="129">
        <v>0</v>
      </c>
      <c r="Q170" s="129">
        <v>51205149</v>
      </c>
      <c r="R170" s="129">
        <v>993280</v>
      </c>
      <c r="S170" s="129">
        <v>0</v>
      </c>
      <c r="T170" s="129">
        <v>993280</v>
      </c>
      <c r="U170" s="129">
        <v>0</v>
      </c>
      <c r="V170" s="129">
        <v>0</v>
      </c>
      <c r="W170" s="129">
        <v>0</v>
      </c>
      <c r="X170" s="129">
        <v>0</v>
      </c>
      <c r="Y170" s="129">
        <v>0</v>
      </c>
      <c r="Z170" s="129">
        <v>0</v>
      </c>
      <c r="AA170" s="129">
        <v>0</v>
      </c>
      <c r="AB170" s="129">
        <v>0</v>
      </c>
      <c r="AC170" s="129">
        <v>0</v>
      </c>
      <c r="AD170" s="129">
        <v>0</v>
      </c>
      <c r="AE170" s="129">
        <v>0</v>
      </c>
      <c r="AF170" s="129">
        <v>0</v>
      </c>
      <c r="AG170" s="129">
        <v>0</v>
      </c>
      <c r="AH170" s="129">
        <v>0</v>
      </c>
      <c r="AI170" s="129">
        <v>0</v>
      </c>
      <c r="AJ170" s="129">
        <v>0</v>
      </c>
      <c r="AK170" s="129">
        <v>0</v>
      </c>
      <c r="AL170" s="129">
        <v>0</v>
      </c>
      <c r="AM170" s="662" t="s">
        <v>206</v>
      </c>
      <c r="AN170" s="324" t="s">
        <v>568</v>
      </c>
      <c r="AO170" s="663" t="s">
        <v>512</v>
      </c>
      <c r="AP170" s="529" t="s">
        <v>1377</v>
      </c>
    </row>
    <row r="171" spans="1:42" ht="12.75" x14ac:dyDescent="0.2">
      <c r="A171" s="664">
        <v>164</v>
      </c>
      <c r="B171" s="665" t="s">
        <v>209</v>
      </c>
      <c r="C171" s="666" t="s">
        <v>486</v>
      </c>
      <c r="D171" s="667" t="s">
        <v>1283</v>
      </c>
      <c r="E171" s="668" t="s">
        <v>510</v>
      </c>
      <c r="F171" s="129">
        <v>37675574</v>
      </c>
      <c r="G171" s="129">
        <v>2666495</v>
      </c>
      <c r="H171" s="129">
        <v>40342069</v>
      </c>
      <c r="I171" s="129">
        <v>-1418000</v>
      </c>
      <c r="J171" s="129">
        <v>-100000</v>
      </c>
      <c r="K171" s="129">
        <v>-1518000</v>
      </c>
      <c r="L171" s="129">
        <v>-1401000</v>
      </c>
      <c r="M171" s="129">
        <v>-99000</v>
      </c>
      <c r="N171" s="129">
        <v>-1500000</v>
      </c>
      <c r="O171" s="129">
        <v>34856574</v>
      </c>
      <c r="P171" s="129">
        <v>2467495</v>
      </c>
      <c r="Q171" s="129">
        <v>37324069</v>
      </c>
      <c r="R171" s="129">
        <v>131176</v>
      </c>
      <c r="S171" s="129">
        <v>0</v>
      </c>
      <c r="T171" s="129">
        <v>131176</v>
      </c>
      <c r="U171" s="129">
        <v>0</v>
      </c>
      <c r="V171" s="129">
        <v>0</v>
      </c>
      <c r="W171" s="129">
        <v>0</v>
      </c>
      <c r="X171" s="129">
        <v>-29037</v>
      </c>
      <c r="Y171" s="129">
        <v>2978093</v>
      </c>
      <c r="Z171" s="129">
        <v>207600</v>
      </c>
      <c r="AA171" s="129">
        <v>207600</v>
      </c>
      <c r="AB171" s="129">
        <v>0</v>
      </c>
      <c r="AC171" s="129">
        <v>0</v>
      </c>
      <c r="AD171" s="129">
        <v>0</v>
      </c>
      <c r="AE171" s="129">
        <v>0</v>
      </c>
      <c r="AF171" s="129">
        <v>162609</v>
      </c>
      <c r="AG171" s="129">
        <v>162609</v>
      </c>
      <c r="AH171" s="129">
        <v>0</v>
      </c>
      <c r="AI171" s="129">
        <v>0</v>
      </c>
      <c r="AJ171" s="129">
        <v>0</v>
      </c>
      <c r="AK171" s="129">
        <v>162609</v>
      </c>
      <c r="AL171" s="129">
        <v>162609</v>
      </c>
      <c r="AM171" s="662" t="s">
        <v>510</v>
      </c>
      <c r="AN171" s="324" t="s">
        <v>486</v>
      </c>
      <c r="AO171" s="663" t="s">
        <v>509</v>
      </c>
      <c r="AP171" s="529" t="s">
        <v>1378</v>
      </c>
    </row>
    <row r="172" spans="1:42" ht="12.75" x14ac:dyDescent="0.2">
      <c r="A172" s="664">
        <v>165</v>
      </c>
      <c r="B172" s="665" t="s">
        <v>210</v>
      </c>
      <c r="C172" s="666" t="s">
        <v>486</v>
      </c>
      <c r="D172" s="667" t="s">
        <v>1202</v>
      </c>
      <c r="E172" s="668" t="s">
        <v>499</v>
      </c>
      <c r="F172" s="129">
        <v>192142258</v>
      </c>
      <c r="G172" s="129">
        <v>0</v>
      </c>
      <c r="H172" s="129">
        <v>192142258</v>
      </c>
      <c r="I172" s="129">
        <v>-1500000</v>
      </c>
      <c r="J172" s="129">
        <v>0</v>
      </c>
      <c r="K172" s="129">
        <v>-1500000</v>
      </c>
      <c r="L172" s="129">
        <v>-33840000</v>
      </c>
      <c r="M172" s="129">
        <v>0</v>
      </c>
      <c r="N172" s="129">
        <v>-33840000</v>
      </c>
      <c r="O172" s="129">
        <v>156802258</v>
      </c>
      <c r="P172" s="129">
        <v>0</v>
      </c>
      <c r="Q172" s="129">
        <v>156802258</v>
      </c>
      <c r="R172" s="129">
        <v>289000</v>
      </c>
      <c r="S172" s="129">
        <v>0</v>
      </c>
      <c r="T172" s="129">
        <v>289000</v>
      </c>
      <c r="U172" s="129">
        <v>0</v>
      </c>
      <c r="V172" s="129">
        <v>0</v>
      </c>
      <c r="W172" s="129">
        <v>0</v>
      </c>
      <c r="X172" s="129">
        <v>0</v>
      </c>
      <c r="Y172" s="129">
        <v>0</v>
      </c>
      <c r="Z172" s="129">
        <v>0</v>
      </c>
      <c r="AA172" s="129">
        <v>0</v>
      </c>
      <c r="AB172" s="129">
        <v>0</v>
      </c>
      <c r="AC172" s="129">
        <v>0</v>
      </c>
      <c r="AD172" s="129">
        <v>0</v>
      </c>
      <c r="AE172" s="129">
        <v>0</v>
      </c>
      <c r="AF172" s="129">
        <v>0</v>
      </c>
      <c r="AG172" s="129">
        <v>0</v>
      </c>
      <c r="AH172" s="129">
        <v>0</v>
      </c>
      <c r="AI172" s="129">
        <v>0</v>
      </c>
      <c r="AJ172" s="129">
        <v>0</v>
      </c>
      <c r="AK172" s="129">
        <v>0</v>
      </c>
      <c r="AL172" s="129">
        <v>0</v>
      </c>
      <c r="AM172" s="662" t="s">
        <v>499</v>
      </c>
      <c r="AN172" s="324" t="s">
        <v>486</v>
      </c>
      <c r="AO172" s="663" t="s">
        <v>500</v>
      </c>
      <c r="AP172" s="529" t="s">
        <v>1379</v>
      </c>
    </row>
    <row r="173" spans="1:42" ht="14.25" x14ac:dyDescent="0.2">
      <c r="A173" s="664">
        <v>166</v>
      </c>
      <c r="B173" s="665" t="s">
        <v>212</v>
      </c>
      <c r="C173" s="666" t="s">
        <v>1201</v>
      </c>
      <c r="D173" s="667" t="s">
        <v>1202</v>
      </c>
      <c r="E173" s="668" t="s">
        <v>1865</v>
      </c>
      <c r="F173" s="129">
        <v>45284514</v>
      </c>
      <c r="G173" s="129">
        <v>0</v>
      </c>
      <c r="H173" s="129">
        <v>45284514</v>
      </c>
      <c r="I173" s="129">
        <v>0</v>
      </c>
      <c r="J173" s="129">
        <v>0</v>
      </c>
      <c r="K173" s="129">
        <v>0</v>
      </c>
      <c r="L173" s="129">
        <v>0</v>
      </c>
      <c r="M173" s="129">
        <v>0</v>
      </c>
      <c r="N173" s="129">
        <v>0</v>
      </c>
      <c r="O173" s="129">
        <v>45284514</v>
      </c>
      <c r="P173" s="129">
        <v>0</v>
      </c>
      <c r="Q173" s="129">
        <v>45284514</v>
      </c>
      <c r="R173" s="129">
        <v>0</v>
      </c>
      <c r="S173" s="129">
        <v>0</v>
      </c>
      <c r="T173" s="129">
        <v>0</v>
      </c>
      <c r="U173" s="129">
        <v>0</v>
      </c>
      <c r="V173" s="129">
        <v>0</v>
      </c>
      <c r="W173" s="129">
        <v>0</v>
      </c>
      <c r="X173" s="129">
        <v>0</v>
      </c>
      <c r="Y173" s="129">
        <v>0</v>
      </c>
      <c r="Z173" s="129">
        <v>0</v>
      </c>
      <c r="AA173" s="129">
        <v>0</v>
      </c>
      <c r="AB173" s="129">
        <v>0</v>
      </c>
      <c r="AC173" s="129">
        <v>0</v>
      </c>
      <c r="AD173" s="129">
        <v>0</v>
      </c>
      <c r="AE173" s="129">
        <v>0</v>
      </c>
      <c r="AF173" s="129">
        <v>0</v>
      </c>
      <c r="AG173" s="129">
        <v>0</v>
      </c>
      <c r="AH173" s="129">
        <v>0</v>
      </c>
      <c r="AI173" s="129">
        <v>0</v>
      </c>
      <c r="AJ173" s="129">
        <v>0</v>
      </c>
      <c r="AK173" s="129">
        <v>0</v>
      </c>
      <c r="AL173" s="129">
        <v>0</v>
      </c>
      <c r="AM173" s="662" t="s">
        <v>211</v>
      </c>
      <c r="AN173" s="324" t="s">
        <v>566</v>
      </c>
      <c r="AO173" s="663" t="s">
        <v>512</v>
      </c>
      <c r="AP173" s="529" t="s">
        <v>1380</v>
      </c>
    </row>
    <row r="174" spans="1:42" ht="12.75" x14ac:dyDescent="0.2">
      <c r="A174" s="664">
        <v>167</v>
      </c>
      <c r="B174" s="665" t="s">
        <v>214</v>
      </c>
      <c r="C174" s="666" t="s">
        <v>1201</v>
      </c>
      <c r="D174" s="667" t="s">
        <v>1202</v>
      </c>
      <c r="E174" s="668" t="s">
        <v>213</v>
      </c>
      <c r="F174" s="129">
        <v>72532002</v>
      </c>
      <c r="G174" s="129">
        <v>0</v>
      </c>
      <c r="H174" s="129">
        <v>72532002</v>
      </c>
      <c r="I174" s="129">
        <v>-580256</v>
      </c>
      <c r="J174" s="129">
        <v>0</v>
      </c>
      <c r="K174" s="129">
        <v>-580256</v>
      </c>
      <c r="L174" s="129">
        <v>-2250957</v>
      </c>
      <c r="M174" s="129">
        <v>0</v>
      </c>
      <c r="N174" s="129">
        <v>-2250957</v>
      </c>
      <c r="O174" s="129">
        <v>69700789</v>
      </c>
      <c r="P174" s="129">
        <v>0</v>
      </c>
      <c r="Q174" s="129">
        <v>69700789</v>
      </c>
      <c r="R174" s="129">
        <v>10891</v>
      </c>
      <c r="S174" s="129">
        <v>0</v>
      </c>
      <c r="T174" s="129">
        <v>10891</v>
      </c>
      <c r="U174" s="129">
        <v>0</v>
      </c>
      <c r="V174" s="129">
        <v>0</v>
      </c>
      <c r="W174" s="129">
        <v>0</v>
      </c>
      <c r="X174" s="129">
        <v>0</v>
      </c>
      <c r="Y174" s="129">
        <v>0</v>
      </c>
      <c r="Z174" s="129">
        <v>0</v>
      </c>
      <c r="AA174" s="129">
        <v>0</v>
      </c>
      <c r="AB174" s="129">
        <v>0</v>
      </c>
      <c r="AC174" s="129">
        <v>0</v>
      </c>
      <c r="AD174" s="129">
        <v>0</v>
      </c>
      <c r="AE174" s="129">
        <v>0</v>
      </c>
      <c r="AF174" s="129">
        <v>0</v>
      </c>
      <c r="AG174" s="129">
        <v>0</v>
      </c>
      <c r="AH174" s="129">
        <v>0</v>
      </c>
      <c r="AI174" s="129">
        <v>0</v>
      </c>
      <c r="AJ174" s="129">
        <v>0</v>
      </c>
      <c r="AK174" s="129">
        <v>0</v>
      </c>
      <c r="AL174" s="129">
        <v>0</v>
      </c>
      <c r="AM174" s="662" t="s">
        <v>213</v>
      </c>
      <c r="AN174" s="324" t="s">
        <v>532</v>
      </c>
      <c r="AO174" s="663" t="s">
        <v>1914</v>
      </c>
      <c r="AP174" s="529" t="s">
        <v>1381</v>
      </c>
    </row>
    <row r="175" spans="1:42" ht="12.75" x14ac:dyDescent="0.2">
      <c r="A175" s="664">
        <v>168</v>
      </c>
      <c r="B175" s="665" t="s">
        <v>216</v>
      </c>
      <c r="C175" s="666" t="s">
        <v>1201</v>
      </c>
      <c r="D175" s="667" t="s">
        <v>1206</v>
      </c>
      <c r="E175" s="668" t="s">
        <v>215</v>
      </c>
      <c r="F175" s="129">
        <v>45805370</v>
      </c>
      <c r="G175" s="129">
        <v>0</v>
      </c>
      <c r="H175" s="129">
        <v>45805370</v>
      </c>
      <c r="I175" s="129">
        <v>-250000</v>
      </c>
      <c r="J175" s="129">
        <v>0</v>
      </c>
      <c r="K175" s="129">
        <v>-250000</v>
      </c>
      <c r="L175" s="129">
        <v>-1321025</v>
      </c>
      <c r="M175" s="129">
        <v>0</v>
      </c>
      <c r="N175" s="129">
        <v>-1321025</v>
      </c>
      <c r="O175" s="129">
        <v>44234345</v>
      </c>
      <c r="P175" s="129">
        <v>0</v>
      </c>
      <c r="Q175" s="129">
        <v>44234345</v>
      </c>
      <c r="R175" s="129">
        <v>801659</v>
      </c>
      <c r="S175" s="129">
        <v>0</v>
      </c>
      <c r="T175" s="129">
        <v>801659</v>
      </c>
      <c r="U175" s="129">
        <v>0</v>
      </c>
      <c r="V175" s="129">
        <v>0</v>
      </c>
      <c r="W175" s="129">
        <v>0</v>
      </c>
      <c r="X175" s="129">
        <v>0</v>
      </c>
      <c r="Y175" s="129">
        <v>0</v>
      </c>
      <c r="Z175" s="129">
        <v>0</v>
      </c>
      <c r="AA175" s="129">
        <v>0</v>
      </c>
      <c r="AB175" s="129">
        <v>0</v>
      </c>
      <c r="AC175" s="129">
        <v>0</v>
      </c>
      <c r="AD175" s="129">
        <v>0</v>
      </c>
      <c r="AE175" s="129">
        <v>0</v>
      </c>
      <c r="AF175" s="129">
        <v>0</v>
      </c>
      <c r="AG175" s="129">
        <v>0</v>
      </c>
      <c r="AH175" s="129">
        <v>0</v>
      </c>
      <c r="AI175" s="129">
        <v>0</v>
      </c>
      <c r="AJ175" s="129">
        <v>0</v>
      </c>
      <c r="AK175" s="129">
        <v>0</v>
      </c>
      <c r="AL175" s="129">
        <v>0</v>
      </c>
      <c r="AM175" s="662" t="s">
        <v>215</v>
      </c>
      <c r="AN175" s="324" t="s">
        <v>559</v>
      </c>
      <c r="AO175" s="663" t="s">
        <v>558</v>
      </c>
      <c r="AP175" s="529" t="s">
        <v>1382</v>
      </c>
    </row>
    <row r="176" spans="1:42" ht="12.75" x14ac:dyDescent="0.2">
      <c r="A176" s="664">
        <v>169</v>
      </c>
      <c r="B176" s="665" t="s">
        <v>217</v>
      </c>
      <c r="C176" s="666" t="s">
        <v>1217</v>
      </c>
      <c r="D176" s="667" t="s">
        <v>1283</v>
      </c>
      <c r="E176" s="668" t="s">
        <v>795</v>
      </c>
      <c r="F176" s="129">
        <v>134980929</v>
      </c>
      <c r="G176" s="129">
        <v>8627777</v>
      </c>
      <c r="H176" s="129">
        <v>143608706</v>
      </c>
      <c r="I176" s="129">
        <v>-2982383</v>
      </c>
      <c r="J176" s="129">
        <v>-158717</v>
      </c>
      <c r="K176" s="129">
        <v>-3141100</v>
      </c>
      <c r="L176" s="129">
        <v>-9177050</v>
      </c>
      <c r="M176" s="129">
        <v>-488387</v>
      </c>
      <c r="N176" s="129">
        <v>-9665437</v>
      </c>
      <c r="O176" s="129">
        <v>122821496</v>
      </c>
      <c r="P176" s="129">
        <v>7980673</v>
      </c>
      <c r="Q176" s="129">
        <v>130802169</v>
      </c>
      <c r="R176" s="129">
        <v>0</v>
      </c>
      <c r="S176" s="129">
        <v>0</v>
      </c>
      <c r="T176" s="129">
        <v>0</v>
      </c>
      <c r="U176" s="129">
        <v>0</v>
      </c>
      <c r="V176" s="129">
        <v>0</v>
      </c>
      <c r="W176" s="129">
        <v>0</v>
      </c>
      <c r="X176" s="129">
        <v>-5452</v>
      </c>
      <c r="Y176" s="129">
        <v>5641452</v>
      </c>
      <c r="Z176" s="129">
        <v>2333769</v>
      </c>
      <c r="AA176" s="129">
        <v>2333769</v>
      </c>
      <c r="AB176" s="129">
        <v>0</v>
      </c>
      <c r="AC176" s="129">
        <v>0</v>
      </c>
      <c r="AD176" s="129">
        <v>0</v>
      </c>
      <c r="AE176" s="129">
        <v>0</v>
      </c>
      <c r="AF176" s="129">
        <v>0</v>
      </c>
      <c r="AG176" s="129">
        <v>0</v>
      </c>
      <c r="AH176" s="129">
        <v>0</v>
      </c>
      <c r="AI176" s="129">
        <v>0</v>
      </c>
      <c r="AJ176" s="129">
        <v>0</v>
      </c>
      <c r="AK176" s="129">
        <v>0</v>
      </c>
      <c r="AL176" s="129">
        <v>0</v>
      </c>
      <c r="AM176" s="662" t="s">
        <v>795</v>
      </c>
      <c r="AN176" s="324" t="s">
        <v>570</v>
      </c>
      <c r="AO176" s="663" t="s">
        <v>573</v>
      </c>
      <c r="AP176" s="529" t="s">
        <v>1383</v>
      </c>
    </row>
    <row r="177" spans="1:42" ht="12.75" x14ac:dyDescent="0.2">
      <c r="A177" s="664">
        <v>170</v>
      </c>
      <c r="B177" s="665" t="s">
        <v>219</v>
      </c>
      <c r="C177" s="666" t="s">
        <v>1201</v>
      </c>
      <c r="D177" s="667" t="s">
        <v>1228</v>
      </c>
      <c r="E177" s="668" t="s">
        <v>218</v>
      </c>
      <c r="F177" s="129">
        <v>37778228</v>
      </c>
      <c r="G177" s="129">
        <v>0</v>
      </c>
      <c r="H177" s="129">
        <v>37778228</v>
      </c>
      <c r="I177" s="129">
        <v>-750000</v>
      </c>
      <c r="J177" s="129">
        <v>0</v>
      </c>
      <c r="K177" s="129">
        <v>-750000</v>
      </c>
      <c r="L177" s="129">
        <v>-250000</v>
      </c>
      <c r="M177" s="129">
        <v>0</v>
      </c>
      <c r="N177" s="129">
        <v>-250000</v>
      </c>
      <c r="O177" s="129">
        <v>36778228</v>
      </c>
      <c r="P177" s="129">
        <v>0</v>
      </c>
      <c r="Q177" s="129">
        <v>36778228</v>
      </c>
      <c r="R177" s="129">
        <v>0</v>
      </c>
      <c r="S177" s="129">
        <v>0</v>
      </c>
      <c r="T177" s="129">
        <v>0</v>
      </c>
      <c r="U177" s="129">
        <v>0</v>
      </c>
      <c r="V177" s="129">
        <v>0</v>
      </c>
      <c r="W177" s="129">
        <v>0</v>
      </c>
      <c r="X177" s="129">
        <v>0</v>
      </c>
      <c r="Y177" s="129">
        <v>0</v>
      </c>
      <c r="Z177" s="129">
        <v>0</v>
      </c>
      <c r="AA177" s="129">
        <v>0</v>
      </c>
      <c r="AB177" s="129">
        <v>0</v>
      </c>
      <c r="AC177" s="129">
        <v>0</v>
      </c>
      <c r="AD177" s="129">
        <v>0</v>
      </c>
      <c r="AE177" s="129">
        <v>0</v>
      </c>
      <c r="AF177" s="129">
        <v>0</v>
      </c>
      <c r="AG177" s="129">
        <v>0</v>
      </c>
      <c r="AH177" s="129">
        <v>0</v>
      </c>
      <c r="AI177" s="129">
        <v>0</v>
      </c>
      <c r="AJ177" s="129">
        <v>0</v>
      </c>
      <c r="AK177" s="129">
        <v>0</v>
      </c>
      <c r="AL177" s="129">
        <v>0</v>
      </c>
      <c r="AM177" s="662" t="s">
        <v>218</v>
      </c>
      <c r="AN177" s="324" t="s">
        <v>564</v>
      </c>
      <c r="AO177" s="663" t="s">
        <v>1917</v>
      </c>
      <c r="AP177" s="529" t="s">
        <v>1384</v>
      </c>
    </row>
    <row r="178" spans="1:42" ht="12.75" x14ac:dyDescent="0.2">
      <c r="A178" s="664">
        <v>171</v>
      </c>
      <c r="B178" s="665" t="s">
        <v>221</v>
      </c>
      <c r="C178" s="666" t="s">
        <v>1213</v>
      </c>
      <c r="D178" s="667" t="s">
        <v>1214</v>
      </c>
      <c r="E178" s="668" t="s">
        <v>220</v>
      </c>
      <c r="F178" s="129">
        <v>174735691</v>
      </c>
      <c r="G178" s="129">
        <v>4400878</v>
      </c>
      <c r="H178" s="129">
        <v>179136569</v>
      </c>
      <c r="I178" s="129">
        <v>-3494714</v>
      </c>
      <c r="J178" s="129">
        <v>0</v>
      </c>
      <c r="K178" s="129">
        <v>-3494714</v>
      </c>
      <c r="L178" s="129">
        <v>-15871529</v>
      </c>
      <c r="M178" s="129">
        <v>0</v>
      </c>
      <c r="N178" s="129">
        <v>-15871529</v>
      </c>
      <c r="O178" s="129">
        <v>155369448</v>
      </c>
      <c r="P178" s="129">
        <v>4400878</v>
      </c>
      <c r="Q178" s="129">
        <v>159770326</v>
      </c>
      <c r="R178" s="129">
        <v>0</v>
      </c>
      <c r="S178" s="129">
        <v>0</v>
      </c>
      <c r="T178" s="129">
        <v>0</v>
      </c>
      <c r="U178" s="129">
        <v>0</v>
      </c>
      <c r="V178" s="129">
        <v>0</v>
      </c>
      <c r="W178" s="129">
        <v>0</v>
      </c>
      <c r="X178" s="129">
        <v>2110</v>
      </c>
      <c r="Y178" s="129">
        <v>247182</v>
      </c>
      <c r="Z178" s="129">
        <v>4155806</v>
      </c>
      <c r="AA178" s="129">
        <v>4155806</v>
      </c>
      <c r="AB178" s="129">
        <v>0</v>
      </c>
      <c r="AC178" s="129">
        <v>0</v>
      </c>
      <c r="AD178" s="129">
        <v>0</v>
      </c>
      <c r="AE178" s="129">
        <v>0</v>
      </c>
      <c r="AF178" s="129">
        <v>166422</v>
      </c>
      <c r="AG178" s="129">
        <v>166422</v>
      </c>
      <c r="AH178" s="129">
        <v>0</v>
      </c>
      <c r="AI178" s="129">
        <v>0</v>
      </c>
      <c r="AJ178" s="129">
        <v>0</v>
      </c>
      <c r="AK178" s="129">
        <v>166422</v>
      </c>
      <c r="AL178" s="129">
        <v>166422</v>
      </c>
      <c r="AM178" s="662" t="s">
        <v>220</v>
      </c>
      <c r="AN178" s="324" t="s">
        <v>576</v>
      </c>
      <c r="AO178" s="669" t="s">
        <v>485</v>
      </c>
      <c r="AP178" s="529" t="s">
        <v>1385</v>
      </c>
    </row>
    <row r="179" spans="1:42" ht="12.75" x14ac:dyDescent="0.2">
      <c r="A179" s="664">
        <v>172</v>
      </c>
      <c r="B179" s="665" t="s">
        <v>223</v>
      </c>
      <c r="C179" s="666" t="s">
        <v>1201</v>
      </c>
      <c r="D179" s="667" t="s">
        <v>1224</v>
      </c>
      <c r="E179" s="668" t="s">
        <v>222</v>
      </c>
      <c r="F179" s="129">
        <v>33557958</v>
      </c>
      <c r="G179" s="129">
        <v>0</v>
      </c>
      <c r="H179" s="129">
        <v>33557958</v>
      </c>
      <c r="I179" s="129">
        <v>-335580</v>
      </c>
      <c r="J179" s="129">
        <v>0</v>
      </c>
      <c r="K179" s="129">
        <v>-335580</v>
      </c>
      <c r="L179" s="129">
        <v>-453032</v>
      </c>
      <c r="M179" s="129">
        <v>0</v>
      </c>
      <c r="N179" s="129">
        <v>-453032</v>
      </c>
      <c r="O179" s="129">
        <v>32769346</v>
      </c>
      <c r="P179" s="129">
        <v>0</v>
      </c>
      <c r="Q179" s="129">
        <v>32769346</v>
      </c>
      <c r="R179" s="129">
        <v>378921</v>
      </c>
      <c r="S179" s="129">
        <v>0</v>
      </c>
      <c r="T179" s="129">
        <v>378921</v>
      </c>
      <c r="U179" s="129">
        <v>0</v>
      </c>
      <c r="V179" s="129">
        <v>0</v>
      </c>
      <c r="W179" s="129">
        <v>0</v>
      </c>
      <c r="X179" s="129">
        <v>0</v>
      </c>
      <c r="Y179" s="129">
        <v>0</v>
      </c>
      <c r="Z179" s="129">
        <v>0</v>
      </c>
      <c r="AA179" s="129">
        <v>0</v>
      </c>
      <c r="AB179" s="129">
        <v>0</v>
      </c>
      <c r="AC179" s="129">
        <v>0</v>
      </c>
      <c r="AD179" s="129">
        <v>0</v>
      </c>
      <c r="AE179" s="129">
        <v>0</v>
      </c>
      <c r="AF179" s="129">
        <v>0</v>
      </c>
      <c r="AG179" s="129">
        <v>0</v>
      </c>
      <c r="AH179" s="129">
        <v>0</v>
      </c>
      <c r="AI179" s="129">
        <v>0</v>
      </c>
      <c r="AJ179" s="129">
        <v>0</v>
      </c>
      <c r="AK179" s="129">
        <v>0</v>
      </c>
      <c r="AL179" s="129">
        <v>0</v>
      </c>
      <c r="AM179" s="662" t="s">
        <v>222</v>
      </c>
      <c r="AN179" s="324" t="s">
        <v>521</v>
      </c>
      <c r="AO179" s="663" t="s">
        <v>519</v>
      </c>
      <c r="AP179" s="529" t="s">
        <v>1386</v>
      </c>
    </row>
    <row r="180" spans="1:42" ht="12.75" x14ac:dyDescent="0.2">
      <c r="A180" s="664">
        <v>173</v>
      </c>
      <c r="B180" s="665" t="s">
        <v>225</v>
      </c>
      <c r="C180" s="666" t="s">
        <v>1201</v>
      </c>
      <c r="D180" s="667" t="s">
        <v>1206</v>
      </c>
      <c r="E180" s="668" t="s">
        <v>224</v>
      </c>
      <c r="F180" s="129">
        <v>18416174</v>
      </c>
      <c r="G180" s="129">
        <v>0</v>
      </c>
      <c r="H180" s="129">
        <v>18416174</v>
      </c>
      <c r="I180" s="129">
        <v>-538667</v>
      </c>
      <c r="J180" s="129">
        <v>0</v>
      </c>
      <c r="K180" s="129">
        <v>-538667</v>
      </c>
      <c r="L180" s="129">
        <v>-532162</v>
      </c>
      <c r="M180" s="129">
        <v>0</v>
      </c>
      <c r="N180" s="129">
        <v>-532162</v>
      </c>
      <c r="O180" s="129">
        <v>17345345</v>
      </c>
      <c r="P180" s="129">
        <v>0</v>
      </c>
      <c r="Q180" s="129">
        <v>17345345</v>
      </c>
      <c r="R180" s="129">
        <v>0</v>
      </c>
      <c r="S180" s="129">
        <v>0</v>
      </c>
      <c r="T180" s="129">
        <v>0</v>
      </c>
      <c r="U180" s="129">
        <v>0</v>
      </c>
      <c r="V180" s="129">
        <v>0</v>
      </c>
      <c r="W180" s="129">
        <v>0</v>
      </c>
      <c r="X180" s="129">
        <v>0</v>
      </c>
      <c r="Y180" s="129">
        <v>0</v>
      </c>
      <c r="Z180" s="129">
        <v>0</v>
      </c>
      <c r="AA180" s="129">
        <v>0</v>
      </c>
      <c r="AB180" s="129">
        <v>0</v>
      </c>
      <c r="AC180" s="129">
        <v>0</v>
      </c>
      <c r="AD180" s="129">
        <v>0</v>
      </c>
      <c r="AE180" s="129">
        <v>0</v>
      </c>
      <c r="AF180" s="129">
        <v>0</v>
      </c>
      <c r="AG180" s="129">
        <v>0</v>
      </c>
      <c r="AH180" s="129">
        <v>0</v>
      </c>
      <c r="AI180" s="129">
        <v>0</v>
      </c>
      <c r="AJ180" s="129">
        <v>0</v>
      </c>
      <c r="AK180" s="129">
        <v>0</v>
      </c>
      <c r="AL180" s="129">
        <v>0</v>
      </c>
      <c r="AM180" s="662" t="s">
        <v>224</v>
      </c>
      <c r="AN180" s="324" t="s">
        <v>516</v>
      </c>
      <c r="AO180" s="663" t="s">
        <v>515</v>
      </c>
      <c r="AP180" s="529" t="s">
        <v>1387</v>
      </c>
    </row>
    <row r="181" spans="1:42" ht="12.75" x14ac:dyDescent="0.2">
      <c r="A181" s="664">
        <v>174</v>
      </c>
      <c r="B181" s="665" t="s">
        <v>227</v>
      </c>
      <c r="C181" s="666" t="s">
        <v>486</v>
      </c>
      <c r="D181" s="667" t="s">
        <v>1218</v>
      </c>
      <c r="E181" s="668" t="s">
        <v>539</v>
      </c>
      <c r="F181" s="129">
        <v>68069768</v>
      </c>
      <c r="G181" s="129">
        <v>50165</v>
      </c>
      <c r="H181" s="129">
        <v>68119933</v>
      </c>
      <c r="I181" s="129">
        <v>-681199</v>
      </c>
      <c r="J181" s="129">
        <v>0</v>
      </c>
      <c r="K181" s="129">
        <v>-681199</v>
      </c>
      <c r="L181" s="129">
        <v>-3201637</v>
      </c>
      <c r="M181" s="129">
        <v>0</v>
      </c>
      <c r="N181" s="129">
        <v>-3201637</v>
      </c>
      <c r="O181" s="129">
        <v>64186932</v>
      </c>
      <c r="P181" s="129">
        <v>50165</v>
      </c>
      <c r="Q181" s="129">
        <v>64237097</v>
      </c>
      <c r="R181" s="129">
        <v>144407</v>
      </c>
      <c r="S181" s="129">
        <v>0</v>
      </c>
      <c r="T181" s="129">
        <v>144407</v>
      </c>
      <c r="U181" s="129">
        <v>0</v>
      </c>
      <c r="V181" s="129">
        <v>0</v>
      </c>
      <c r="W181" s="129">
        <v>0</v>
      </c>
      <c r="X181" s="129">
        <v>0</v>
      </c>
      <c r="Y181" s="129">
        <v>0</v>
      </c>
      <c r="Z181" s="129">
        <v>50165</v>
      </c>
      <c r="AA181" s="129">
        <v>50165</v>
      </c>
      <c r="AB181" s="129">
        <v>0</v>
      </c>
      <c r="AC181" s="129">
        <v>0</v>
      </c>
      <c r="AD181" s="129">
        <v>0</v>
      </c>
      <c r="AE181" s="129">
        <v>0</v>
      </c>
      <c r="AF181" s="129">
        <v>147854</v>
      </c>
      <c r="AG181" s="129">
        <v>147854</v>
      </c>
      <c r="AH181" s="129">
        <v>0</v>
      </c>
      <c r="AI181" s="129">
        <v>0</v>
      </c>
      <c r="AJ181" s="129">
        <v>0</v>
      </c>
      <c r="AK181" s="129">
        <v>147854</v>
      </c>
      <c r="AL181" s="129">
        <v>147854</v>
      </c>
      <c r="AM181" s="662" t="s">
        <v>539</v>
      </c>
      <c r="AN181" s="324" t="s">
        <v>486</v>
      </c>
      <c r="AO181" s="663" t="s">
        <v>538</v>
      </c>
      <c r="AP181" s="529" t="s">
        <v>1388</v>
      </c>
    </row>
    <row r="182" spans="1:42" ht="12.75" x14ac:dyDescent="0.2">
      <c r="A182" s="664">
        <v>175</v>
      </c>
      <c r="B182" s="665" t="s">
        <v>229</v>
      </c>
      <c r="C182" s="666" t="s">
        <v>1201</v>
      </c>
      <c r="D182" s="667" t="s">
        <v>1211</v>
      </c>
      <c r="E182" s="668" t="s">
        <v>228</v>
      </c>
      <c r="F182" s="129">
        <v>40798236</v>
      </c>
      <c r="G182" s="129">
        <v>0</v>
      </c>
      <c r="H182" s="129">
        <v>40798236</v>
      </c>
      <c r="I182" s="129">
        <v>-600000</v>
      </c>
      <c r="J182" s="129">
        <v>0</v>
      </c>
      <c r="K182" s="129">
        <v>-600000</v>
      </c>
      <c r="L182" s="129">
        <v>-750000</v>
      </c>
      <c r="M182" s="129">
        <v>0</v>
      </c>
      <c r="N182" s="129">
        <v>-750000</v>
      </c>
      <c r="O182" s="129">
        <v>39448236</v>
      </c>
      <c r="P182" s="129">
        <v>0</v>
      </c>
      <c r="Q182" s="129">
        <v>39448236</v>
      </c>
      <c r="R182" s="129">
        <v>32744</v>
      </c>
      <c r="S182" s="129">
        <v>0</v>
      </c>
      <c r="T182" s="129">
        <v>32744</v>
      </c>
      <c r="U182" s="129">
        <v>0</v>
      </c>
      <c r="V182" s="129">
        <v>0</v>
      </c>
      <c r="W182" s="129">
        <v>0</v>
      </c>
      <c r="X182" s="129">
        <v>0</v>
      </c>
      <c r="Y182" s="129">
        <v>0</v>
      </c>
      <c r="Z182" s="129">
        <v>0</v>
      </c>
      <c r="AA182" s="129">
        <v>0</v>
      </c>
      <c r="AB182" s="129">
        <v>0</v>
      </c>
      <c r="AC182" s="129">
        <v>0</v>
      </c>
      <c r="AD182" s="129">
        <v>0</v>
      </c>
      <c r="AE182" s="129">
        <v>0</v>
      </c>
      <c r="AF182" s="129">
        <v>0</v>
      </c>
      <c r="AG182" s="129">
        <v>0</v>
      </c>
      <c r="AH182" s="129">
        <v>0</v>
      </c>
      <c r="AI182" s="129">
        <v>0</v>
      </c>
      <c r="AJ182" s="129">
        <v>0</v>
      </c>
      <c r="AK182" s="129">
        <v>0</v>
      </c>
      <c r="AL182" s="129">
        <v>0</v>
      </c>
      <c r="AM182" s="662" t="s">
        <v>228</v>
      </c>
      <c r="AN182" s="324" t="s">
        <v>536</v>
      </c>
      <c r="AO182" s="663" t="s">
        <v>512</v>
      </c>
      <c r="AP182" s="529" t="s">
        <v>1389</v>
      </c>
    </row>
    <row r="183" spans="1:42" ht="12.75" x14ac:dyDescent="0.2">
      <c r="A183" s="664">
        <v>176</v>
      </c>
      <c r="B183" s="665" t="s">
        <v>231</v>
      </c>
      <c r="C183" s="666" t="s">
        <v>1201</v>
      </c>
      <c r="D183" s="667" t="s">
        <v>1206</v>
      </c>
      <c r="E183" s="668" t="s">
        <v>230</v>
      </c>
      <c r="F183" s="129">
        <v>30703855</v>
      </c>
      <c r="G183" s="129">
        <v>0</v>
      </c>
      <c r="H183" s="129">
        <v>30703855</v>
      </c>
      <c r="I183" s="129">
        <v>-150000</v>
      </c>
      <c r="J183" s="129">
        <v>0</v>
      </c>
      <c r="K183" s="129">
        <v>-150000</v>
      </c>
      <c r="L183" s="129">
        <v>-600000</v>
      </c>
      <c r="M183" s="129">
        <v>0</v>
      </c>
      <c r="N183" s="129">
        <v>-600000</v>
      </c>
      <c r="O183" s="129">
        <v>29953855</v>
      </c>
      <c r="P183" s="129">
        <v>0</v>
      </c>
      <c r="Q183" s="129">
        <v>29953855</v>
      </c>
      <c r="R183" s="129">
        <v>1906321</v>
      </c>
      <c r="S183" s="129">
        <v>0</v>
      </c>
      <c r="T183" s="129">
        <v>1906321</v>
      </c>
      <c r="U183" s="129">
        <v>0</v>
      </c>
      <c r="V183" s="129">
        <v>0</v>
      </c>
      <c r="W183" s="129">
        <v>0</v>
      </c>
      <c r="X183" s="129">
        <v>0</v>
      </c>
      <c r="Y183" s="129">
        <v>0</v>
      </c>
      <c r="Z183" s="129">
        <v>0</v>
      </c>
      <c r="AA183" s="129">
        <v>0</v>
      </c>
      <c r="AB183" s="129">
        <v>0</v>
      </c>
      <c r="AC183" s="129">
        <v>0</v>
      </c>
      <c r="AD183" s="129">
        <v>0</v>
      </c>
      <c r="AE183" s="129">
        <v>0</v>
      </c>
      <c r="AF183" s="129">
        <v>0</v>
      </c>
      <c r="AG183" s="129">
        <v>0</v>
      </c>
      <c r="AH183" s="129">
        <v>0</v>
      </c>
      <c r="AI183" s="129">
        <v>0</v>
      </c>
      <c r="AJ183" s="129">
        <v>0</v>
      </c>
      <c r="AK183" s="129">
        <v>0</v>
      </c>
      <c r="AL183" s="129">
        <v>0</v>
      </c>
      <c r="AM183" s="662" t="s">
        <v>230</v>
      </c>
      <c r="AN183" s="324" t="s">
        <v>552</v>
      </c>
      <c r="AO183" s="663" t="s">
        <v>512</v>
      </c>
      <c r="AP183" s="529" t="s">
        <v>1390</v>
      </c>
    </row>
    <row r="184" spans="1:42" ht="12.75" x14ac:dyDescent="0.2">
      <c r="A184" s="664">
        <v>177</v>
      </c>
      <c r="B184" s="665" t="s">
        <v>233</v>
      </c>
      <c r="C184" s="666" t="s">
        <v>486</v>
      </c>
      <c r="D184" s="667" t="s">
        <v>1218</v>
      </c>
      <c r="E184" s="668" t="s">
        <v>540</v>
      </c>
      <c r="F184" s="129">
        <v>88450767</v>
      </c>
      <c r="G184" s="129">
        <v>2616598</v>
      </c>
      <c r="H184" s="129">
        <v>91067365</v>
      </c>
      <c r="I184" s="129">
        <v>-2501173</v>
      </c>
      <c r="J184" s="129">
        <v>0</v>
      </c>
      <c r="K184" s="129">
        <v>-2501173</v>
      </c>
      <c r="L184" s="129">
        <v>-4308118</v>
      </c>
      <c r="M184" s="129">
        <v>0</v>
      </c>
      <c r="N184" s="129">
        <v>-4308118</v>
      </c>
      <c r="O184" s="129">
        <v>81641476</v>
      </c>
      <c r="P184" s="129">
        <v>2616598</v>
      </c>
      <c r="Q184" s="129">
        <v>84258074</v>
      </c>
      <c r="R184" s="129">
        <v>5850887</v>
      </c>
      <c r="S184" s="129">
        <v>0</v>
      </c>
      <c r="T184" s="129">
        <v>5850887</v>
      </c>
      <c r="U184" s="129">
        <v>0</v>
      </c>
      <c r="V184" s="129">
        <v>0</v>
      </c>
      <c r="W184" s="129">
        <v>0</v>
      </c>
      <c r="X184" s="129">
        <v>0</v>
      </c>
      <c r="Y184" s="129">
        <v>981915</v>
      </c>
      <c r="Z184" s="129">
        <v>1634683</v>
      </c>
      <c r="AA184" s="129">
        <v>1634683</v>
      </c>
      <c r="AB184" s="129">
        <v>0</v>
      </c>
      <c r="AC184" s="129">
        <v>0</v>
      </c>
      <c r="AD184" s="129">
        <v>0</v>
      </c>
      <c r="AE184" s="129">
        <v>0</v>
      </c>
      <c r="AF184" s="129">
        <v>84328</v>
      </c>
      <c r="AG184" s="129">
        <v>84328</v>
      </c>
      <c r="AH184" s="129">
        <v>0</v>
      </c>
      <c r="AI184" s="129">
        <v>0</v>
      </c>
      <c r="AJ184" s="129">
        <v>0</v>
      </c>
      <c r="AK184" s="129">
        <v>84328</v>
      </c>
      <c r="AL184" s="129">
        <v>84328</v>
      </c>
      <c r="AM184" s="662" t="s">
        <v>540</v>
      </c>
      <c r="AN184" s="324" t="s">
        <v>486</v>
      </c>
      <c r="AO184" s="663" t="s">
        <v>538</v>
      </c>
      <c r="AP184" s="529" t="s">
        <v>1391</v>
      </c>
    </row>
    <row r="185" spans="1:42" ht="12.75" x14ac:dyDescent="0.2">
      <c r="A185" s="664">
        <v>178</v>
      </c>
      <c r="B185" s="665" t="s">
        <v>235</v>
      </c>
      <c r="C185" s="666" t="s">
        <v>1201</v>
      </c>
      <c r="D185" s="667" t="s">
        <v>1211</v>
      </c>
      <c r="E185" s="668" t="s">
        <v>234</v>
      </c>
      <c r="F185" s="129">
        <v>30021362</v>
      </c>
      <c r="G185" s="129">
        <v>0</v>
      </c>
      <c r="H185" s="129">
        <v>30021362</v>
      </c>
      <c r="I185" s="129">
        <v>-100000</v>
      </c>
      <c r="J185" s="129">
        <v>0</v>
      </c>
      <c r="K185" s="129">
        <v>-100000</v>
      </c>
      <c r="L185" s="129">
        <v>-900641</v>
      </c>
      <c r="M185" s="129">
        <v>0</v>
      </c>
      <c r="N185" s="129">
        <v>-900641</v>
      </c>
      <c r="O185" s="129">
        <v>29020721</v>
      </c>
      <c r="P185" s="129">
        <v>0</v>
      </c>
      <c r="Q185" s="129">
        <v>29020721</v>
      </c>
      <c r="R185" s="129">
        <v>651914</v>
      </c>
      <c r="S185" s="129">
        <v>0</v>
      </c>
      <c r="T185" s="129">
        <v>651914</v>
      </c>
      <c r="U185" s="129">
        <v>0</v>
      </c>
      <c r="V185" s="129">
        <v>0</v>
      </c>
      <c r="W185" s="129">
        <v>0</v>
      </c>
      <c r="X185" s="129">
        <v>0</v>
      </c>
      <c r="Y185" s="129">
        <v>0</v>
      </c>
      <c r="Z185" s="129">
        <v>0</v>
      </c>
      <c r="AA185" s="129">
        <v>0</v>
      </c>
      <c r="AB185" s="129">
        <v>0</v>
      </c>
      <c r="AC185" s="129">
        <v>0</v>
      </c>
      <c r="AD185" s="129">
        <v>0</v>
      </c>
      <c r="AE185" s="129">
        <v>0</v>
      </c>
      <c r="AF185" s="129">
        <v>298733</v>
      </c>
      <c r="AG185" s="129">
        <v>298733</v>
      </c>
      <c r="AH185" s="129">
        <v>0</v>
      </c>
      <c r="AI185" s="129">
        <v>0</v>
      </c>
      <c r="AJ185" s="129">
        <v>0</v>
      </c>
      <c r="AK185" s="129">
        <v>298733</v>
      </c>
      <c r="AL185" s="129">
        <v>298733</v>
      </c>
      <c r="AM185" s="662" t="s">
        <v>234</v>
      </c>
      <c r="AN185" s="324" t="s">
        <v>553</v>
      </c>
      <c r="AO185" s="663" t="s">
        <v>512</v>
      </c>
      <c r="AP185" s="529" t="s">
        <v>1392</v>
      </c>
    </row>
    <row r="186" spans="1:42" ht="12.75" x14ac:dyDescent="0.2">
      <c r="A186" s="664">
        <v>179</v>
      </c>
      <c r="B186" s="665" t="s">
        <v>1125</v>
      </c>
      <c r="C186" s="666" t="s">
        <v>486</v>
      </c>
      <c r="D186" s="667" t="s">
        <v>1206</v>
      </c>
      <c r="E186" s="668" t="s">
        <v>1092</v>
      </c>
      <c r="F186" s="129">
        <v>146761338</v>
      </c>
      <c r="G186" s="129">
        <v>0</v>
      </c>
      <c r="H186" s="129">
        <v>146761338</v>
      </c>
      <c r="I186" s="129">
        <v>-1174090</v>
      </c>
      <c r="J186" s="129">
        <v>0</v>
      </c>
      <c r="K186" s="129">
        <v>-1174090</v>
      </c>
      <c r="L186" s="129">
        <v>-6897783</v>
      </c>
      <c r="M186" s="129">
        <v>0</v>
      </c>
      <c r="N186" s="129">
        <v>-6897783</v>
      </c>
      <c r="O186" s="129">
        <v>138689465</v>
      </c>
      <c r="P186" s="129">
        <v>0</v>
      </c>
      <c r="Q186" s="129">
        <v>138689465</v>
      </c>
      <c r="R186" s="129">
        <v>690154</v>
      </c>
      <c r="S186" s="129">
        <v>0</v>
      </c>
      <c r="T186" s="129">
        <v>690154</v>
      </c>
      <c r="U186" s="129">
        <v>0</v>
      </c>
      <c r="V186" s="129">
        <v>0</v>
      </c>
      <c r="W186" s="129">
        <v>0</v>
      </c>
      <c r="X186" s="129">
        <v>0</v>
      </c>
      <c r="Y186" s="129">
        <v>0</v>
      </c>
      <c r="Z186" s="129">
        <v>0</v>
      </c>
      <c r="AA186" s="129">
        <v>0</v>
      </c>
      <c r="AB186" s="129">
        <v>0</v>
      </c>
      <c r="AC186" s="129">
        <v>0</v>
      </c>
      <c r="AD186" s="129">
        <v>0</v>
      </c>
      <c r="AE186" s="129">
        <v>0</v>
      </c>
      <c r="AF186" s="129">
        <v>0</v>
      </c>
      <c r="AG186" s="129">
        <v>0</v>
      </c>
      <c r="AH186" s="129">
        <v>0</v>
      </c>
      <c r="AI186" s="129">
        <v>0</v>
      </c>
      <c r="AJ186" s="129">
        <v>0</v>
      </c>
      <c r="AK186" s="129">
        <v>0</v>
      </c>
      <c r="AL186" s="129">
        <v>0</v>
      </c>
      <c r="AM186" s="662" t="s">
        <v>1092</v>
      </c>
      <c r="AN186" s="324" t="s">
        <v>486</v>
      </c>
      <c r="AO186" s="663" t="s">
        <v>1026</v>
      </c>
      <c r="AP186" s="529" t="s">
        <v>1540</v>
      </c>
    </row>
    <row r="187" spans="1:42" ht="12.75" x14ac:dyDescent="0.2">
      <c r="A187" s="664">
        <v>180</v>
      </c>
      <c r="B187" s="665" t="s">
        <v>237</v>
      </c>
      <c r="C187" s="666" t="s">
        <v>486</v>
      </c>
      <c r="D187" s="667" t="s">
        <v>1224</v>
      </c>
      <c r="E187" s="668" t="s">
        <v>490</v>
      </c>
      <c r="F187" s="129">
        <v>64904181</v>
      </c>
      <c r="G187" s="129">
        <v>1011540</v>
      </c>
      <c r="H187" s="129">
        <v>65915721</v>
      </c>
      <c r="I187" s="129">
        <v>-925565</v>
      </c>
      <c r="J187" s="129">
        <v>-9259</v>
      </c>
      <c r="K187" s="129">
        <v>-934824</v>
      </c>
      <c r="L187" s="129">
        <v>-3050496</v>
      </c>
      <c r="M187" s="129">
        <v>-47542</v>
      </c>
      <c r="N187" s="129">
        <v>-3098038</v>
      </c>
      <c r="O187" s="129">
        <v>60928120</v>
      </c>
      <c r="P187" s="129">
        <v>954739</v>
      </c>
      <c r="Q187" s="129">
        <v>61882859</v>
      </c>
      <c r="R187" s="129">
        <v>157302</v>
      </c>
      <c r="S187" s="129">
        <v>0</v>
      </c>
      <c r="T187" s="129">
        <v>157302</v>
      </c>
      <c r="U187" s="129">
        <v>0</v>
      </c>
      <c r="V187" s="129">
        <v>0</v>
      </c>
      <c r="W187" s="129">
        <v>0</v>
      </c>
      <c r="X187" s="129">
        <v>-26925</v>
      </c>
      <c r="Y187" s="129">
        <v>197047</v>
      </c>
      <c r="Z187" s="129">
        <v>730767</v>
      </c>
      <c r="AA187" s="129">
        <v>730767</v>
      </c>
      <c r="AB187" s="129">
        <v>0</v>
      </c>
      <c r="AC187" s="129">
        <v>0</v>
      </c>
      <c r="AD187" s="129">
        <v>0</v>
      </c>
      <c r="AE187" s="129">
        <v>0</v>
      </c>
      <c r="AF187" s="129">
        <v>0</v>
      </c>
      <c r="AG187" s="129">
        <v>0</v>
      </c>
      <c r="AH187" s="129">
        <v>1290240</v>
      </c>
      <c r="AI187" s="129">
        <v>658022</v>
      </c>
      <c r="AJ187" s="129">
        <v>658022</v>
      </c>
      <c r="AK187" s="129">
        <v>0</v>
      </c>
      <c r="AL187" s="129">
        <v>658022</v>
      </c>
      <c r="AM187" s="662" t="s">
        <v>490</v>
      </c>
      <c r="AN187" s="324" t="s">
        <v>486</v>
      </c>
      <c r="AO187" s="663" t="s">
        <v>487</v>
      </c>
      <c r="AP187" s="529" t="s">
        <v>1393</v>
      </c>
    </row>
    <row r="188" spans="1:42" ht="12.75" x14ac:dyDescent="0.2">
      <c r="A188" s="664">
        <v>181</v>
      </c>
      <c r="B188" s="665" t="s">
        <v>239</v>
      </c>
      <c r="C188" s="666" t="s">
        <v>1217</v>
      </c>
      <c r="D188" s="667" t="s">
        <v>1283</v>
      </c>
      <c r="E188" s="668" t="s">
        <v>238</v>
      </c>
      <c r="F188" s="129">
        <v>58004398</v>
      </c>
      <c r="G188" s="129">
        <v>744248</v>
      </c>
      <c r="H188" s="129">
        <v>58748646</v>
      </c>
      <c r="I188" s="129">
        <v>-232104</v>
      </c>
      <c r="J188" s="129">
        <v>0</v>
      </c>
      <c r="K188" s="129">
        <v>-232104</v>
      </c>
      <c r="L188" s="129">
        <v>-1000000</v>
      </c>
      <c r="M188" s="129">
        <v>0</v>
      </c>
      <c r="N188" s="129">
        <v>-1000000</v>
      </c>
      <c r="O188" s="129">
        <v>56772294</v>
      </c>
      <c r="P188" s="129">
        <v>744248</v>
      </c>
      <c r="Q188" s="129">
        <v>57516542</v>
      </c>
      <c r="R188" s="129">
        <v>0</v>
      </c>
      <c r="S188" s="129">
        <v>0</v>
      </c>
      <c r="T188" s="129">
        <v>0</v>
      </c>
      <c r="U188" s="129">
        <v>0</v>
      </c>
      <c r="V188" s="129">
        <v>0</v>
      </c>
      <c r="W188" s="129">
        <v>0</v>
      </c>
      <c r="X188" s="129">
        <v>6328</v>
      </c>
      <c r="Y188" s="129">
        <v>623619</v>
      </c>
      <c r="Z188" s="129">
        <v>126957</v>
      </c>
      <c r="AA188" s="129">
        <v>126957</v>
      </c>
      <c r="AB188" s="129">
        <v>0</v>
      </c>
      <c r="AC188" s="129">
        <v>0</v>
      </c>
      <c r="AD188" s="129">
        <v>0</v>
      </c>
      <c r="AE188" s="129">
        <v>0</v>
      </c>
      <c r="AF188" s="129">
        <v>6239</v>
      </c>
      <c r="AG188" s="129">
        <v>6239</v>
      </c>
      <c r="AH188" s="129">
        <v>0</v>
      </c>
      <c r="AI188" s="129">
        <v>0</v>
      </c>
      <c r="AJ188" s="129">
        <v>0</v>
      </c>
      <c r="AK188" s="129">
        <v>6239</v>
      </c>
      <c r="AL188" s="129">
        <v>6239</v>
      </c>
      <c r="AM188" s="662" t="s">
        <v>238</v>
      </c>
      <c r="AN188" s="324" t="s">
        <v>570</v>
      </c>
      <c r="AO188" s="663" t="s">
        <v>573</v>
      </c>
      <c r="AP188" s="529" t="s">
        <v>1394</v>
      </c>
    </row>
    <row r="189" spans="1:42" ht="12.75" x14ac:dyDescent="0.2">
      <c r="A189" s="664">
        <v>182</v>
      </c>
      <c r="B189" s="665" t="s">
        <v>241</v>
      </c>
      <c r="C189" s="666" t="s">
        <v>1201</v>
      </c>
      <c r="D189" s="667" t="s">
        <v>1228</v>
      </c>
      <c r="E189" s="668" t="s">
        <v>240</v>
      </c>
      <c r="F189" s="129">
        <v>56185624</v>
      </c>
      <c r="G189" s="129">
        <v>0</v>
      </c>
      <c r="H189" s="129">
        <v>56185624</v>
      </c>
      <c r="I189" s="129">
        <v>-600000</v>
      </c>
      <c r="J189" s="129">
        <v>0</v>
      </c>
      <c r="K189" s="129">
        <v>-600000</v>
      </c>
      <c r="L189" s="129">
        <v>-3000000</v>
      </c>
      <c r="M189" s="129">
        <v>0</v>
      </c>
      <c r="N189" s="129">
        <v>-3000000</v>
      </c>
      <c r="O189" s="129">
        <v>52585624</v>
      </c>
      <c r="P189" s="129">
        <v>0</v>
      </c>
      <c r="Q189" s="129">
        <v>52585624</v>
      </c>
      <c r="R189" s="129">
        <v>0</v>
      </c>
      <c r="S189" s="129">
        <v>0</v>
      </c>
      <c r="T189" s="129">
        <v>0</v>
      </c>
      <c r="U189" s="129">
        <v>0</v>
      </c>
      <c r="V189" s="129">
        <v>0</v>
      </c>
      <c r="W189" s="129">
        <v>0</v>
      </c>
      <c r="X189" s="129">
        <v>0</v>
      </c>
      <c r="Y189" s="129">
        <v>0</v>
      </c>
      <c r="Z189" s="129">
        <v>0</v>
      </c>
      <c r="AA189" s="129">
        <v>0</v>
      </c>
      <c r="AB189" s="129">
        <v>0</v>
      </c>
      <c r="AC189" s="129">
        <v>0</v>
      </c>
      <c r="AD189" s="129">
        <v>0</v>
      </c>
      <c r="AE189" s="129">
        <v>0</v>
      </c>
      <c r="AF189" s="129">
        <v>0</v>
      </c>
      <c r="AG189" s="129">
        <v>0</v>
      </c>
      <c r="AH189" s="129">
        <v>0</v>
      </c>
      <c r="AI189" s="129">
        <v>0</v>
      </c>
      <c r="AJ189" s="129">
        <v>0</v>
      </c>
      <c r="AK189" s="129">
        <v>0</v>
      </c>
      <c r="AL189" s="129">
        <v>0</v>
      </c>
      <c r="AM189" s="662" t="s">
        <v>240</v>
      </c>
      <c r="AN189" s="324" t="s">
        <v>567</v>
      </c>
      <c r="AO189" s="663" t="s">
        <v>512</v>
      </c>
      <c r="AP189" s="529" t="s">
        <v>1395</v>
      </c>
    </row>
    <row r="190" spans="1:42" ht="12.75" x14ac:dyDescent="0.2">
      <c r="A190" s="664">
        <v>183</v>
      </c>
      <c r="B190" s="665" t="s">
        <v>247</v>
      </c>
      <c r="C190" s="666" t="s">
        <v>1201</v>
      </c>
      <c r="D190" s="667" t="s">
        <v>1206</v>
      </c>
      <c r="E190" s="668" t="s">
        <v>246</v>
      </c>
      <c r="F190" s="129">
        <v>75459298</v>
      </c>
      <c r="G190" s="129">
        <v>0</v>
      </c>
      <c r="H190" s="129">
        <v>75459298</v>
      </c>
      <c r="I190" s="129">
        <v>-233312</v>
      </c>
      <c r="J190" s="129">
        <v>0</v>
      </c>
      <c r="K190" s="129">
        <v>-233312</v>
      </c>
      <c r="L190" s="129">
        <v>-28056</v>
      </c>
      <c r="M190" s="129">
        <v>0</v>
      </c>
      <c r="N190" s="129">
        <v>-28056</v>
      </c>
      <c r="O190" s="129">
        <v>75197930</v>
      </c>
      <c r="P190" s="129">
        <v>0</v>
      </c>
      <c r="Q190" s="129">
        <v>75197930</v>
      </c>
      <c r="R190" s="129">
        <v>168750</v>
      </c>
      <c r="S190" s="129">
        <v>0</v>
      </c>
      <c r="T190" s="129">
        <v>168750</v>
      </c>
      <c r="U190" s="129">
        <v>0</v>
      </c>
      <c r="V190" s="129">
        <v>0</v>
      </c>
      <c r="W190" s="129">
        <v>0</v>
      </c>
      <c r="X190" s="129">
        <v>0</v>
      </c>
      <c r="Y190" s="129">
        <v>0</v>
      </c>
      <c r="Z190" s="129">
        <v>0</v>
      </c>
      <c r="AA190" s="129">
        <v>0</v>
      </c>
      <c r="AB190" s="129">
        <v>0</v>
      </c>
      <c r="AC190" s="129">
        <v>0</v>
      </c>
      <c r="AD190" s="129">
        <v>0</v>
      </c>
      <c r="AE190" s="129">
        <v>0</v>
      </c>
      <c r="AF190" s="129">
        <v>0</v>
      </c>
      <c r="AG190" s="129">
        <v>0</v>
      </c>
      <c r="AH190" s="129">
        <v>0</v>
      </c>
      <c r="AI190" s="129">
        <v>0</v>
      </c>
      <c r="AJ190" s="129">
        <v>0</v>
      </c>
      <c r="AK190" s="129">
        <v>0</v>
      </c>
      <c r="AL190" s="129">
        <v>0</v>
      </c>
      <c r="AM190" s="662" t="s">
        <v>246</v>
      </c>
      <c r="AN190" s="324" t="s">
        <v>551</v>
      </c>
      <c r="AO190" s="663" t="s">
        <v>549</v>
      </c>
      <c r="AP190" s="529" t="s">
        <v>1396</v>
      </c>
    </row>
    <row r="191" spans="1:42" ht="12.75" x14ac:dyDescent="0.2">
      <c r="A191" s="664">
        <v>184</v>
      </c>
      <c r="B191" s="665" t="s">
        <v>249</v>
      </c>
      <c r="C191" s="666" t="s">
        <v>486</v>
      </c>
      <c r="D191" s="667" t="s">
        <v>1283</v>
      </c>
      <c r="E191" s="668" t="s">
        <v>248</v>
      </c>
      <c r="F191" s="129">
        <v>89647715</v>
      </c>
      <c r="G191" s="129">
        <v>298835</v>
      </c>
      <c r="H191" s="129">
        <v>89946550</v>
      </c>
      <c r="I191" s="129">
        <v>-500000</v>
      </c>
      <c r="J191" s="129">
        <v>0</v>
      </c>
      <c r="K191" s="129">
        <v>-500000</v>
      </c>
      <c r="L191" s="129">
        <v>-3500000</v>
      </c>
      <c r="M191" s="129">
        <v>0</v>
      </c>
      <c r="N191" s="129">
        <v>-3500000</v>
      </c>
      <c r="O191" s="129">
        <v>85647715</v>
      </c>
      <c r="P191" s="129">
        <v>298835</v>
      </c>
      <c r="Q191" s="129">
        <v>85946550</v>
      </c>
      <c r="R191" s="129">
        <v>4852239</v>
      </c>
      <c r="S191" s="129">
        <v>0</v>
      </c>
      <c r="T191" s="129">
        <v>4852239</v>
      </c>
      <c r="U191" s="129">
        <v>0</v>
      </c>
      <c r="V191" s="129">
        <v>0</v>
      </c>
      <c r="W191" s="129">
        <v>0</v>
      </c>
      <c r="X191" s="129">
        <v>0</v>
      </c>
      <c r="Y191" s="129">
        <v>36804</v>
      </c>
      <c r="Z191" s="129">
        <v>273652</v>
      </c>
      <c r="AA191" s="129">
        <v>273652</v>
      </c>
      <c r="AB191" s="129">
        <v>0</v>
      </c>
      <c r="AC191" s="129">
        <v>0</v>
      </c>
      <c r="AD191" s="129">
        <v>0</v>
      </c>
      <c r="AE191" s="129">
        <v>0</v>
      </c>
      <c r="AF191" s="129">
        <v>66978</v>
      </c>
      <c r="AG191" s="129">
        <v>66978</v>
      </c>
      <c r="AH191" s="129">
        <v>0</v>
      </c>
      <c r="AI191" s="129">
        <v>0</v>
      </c>
      <c r="AJ191" s="129">
        <v>0</v>
      </c>
      <c r="AK191" s="129">
        <v>66978</v>
      </c>
      <c r="AL191" s="129">
        <v>66978</v>
      </c>
      <c r="AM191" s="662" t="s">
        <v>248</v>
      </c>
      <c r="AN191" s="324" t="s">
        <v>486</v>
      </c>
      <c r="AO191" s="663" t="s">
        <v>512</v>
      </c>
      <c r="AP191" s="529" t="s">
        <v>1397</v>
      </c>
    </row>
    <row r="192" spans="1:42" ht="12.75" x14ac:dyDescent="0.2">
      <c r="A192" s="664">
        <v>185</v>
      </c>
      <c r="B192" s="665" t="s">
        <v>251</v>
      </c>
      <c r="C192" s="666" t="s">
        <v>1201</v>
      </c>
      <c r="D192" s="667" t="s">
        <v>1211</v>
      </c>
      <c r="E192" s="668" t="s">
        <v>250</v>
      </c>
      <c r="F192" s="129">
        <v>78308855</v>
      </c>
      <c r="G192" s="129">
        <v>0</v>
      </c>
      <c r="H192" s="129">
        <v>78308855</v>
      </c>
      <c r="I192" s="129">
        <v>-783089</v>
      </c>
      <c r="J192" s="129">
        <v>0</v>
      </c>
      <c r="K192" s="129">
        <v>-783089</v>
      </c>
      <c r="L192" s="129">
        <v>-978861</v>
      </c>
      <c r="M192" s="129">
        <v>0</v>
      </c>
      <c r="N192" s="129">
        <v>-978861</v>
      </c>
      <c r="O192" s="129">
        <v>76546905</v>
      </c>
      <c r="P192" s="129">
        <v>0</v>
      </c>
      <c r="Q192" s="129">
        <v>76546905</v>
      </c>
      <c r="R192" s="129">
        <v>0</v>
      </c>
      <c r="S192" s="129">
        <v>0</v>
      </c>
      <c r="T192" s="129">
        <v>0</v>
      </c>
      <c r="U192" s="129">
        <v>0</v>
      </c>
      <c r="V192" s="129">
        <v>0</v>
      </c>
      <c r="W192" s="129">
        <v>0</v>
      </c>
      <c r="X192" s="129">
        <v>0</v>
      </c>
      <c r="Y192" s="129">
        <v>0</v>
      </c>
      <c r="Z192" s="129">
        <v>0</v>
      </c>
      <c r="AA192" s="129">
        <v>0</v>
      </c>
      <c r="AB192" s="129">
        <v>0</v>
      </c>
      <c r="AC192" s="129">
        <v>0</v>
      </c>
      <c r="AD192" s="129">
        <v>0</v>
      </c>
      <c r="AE192" s="129">
        <v>0</v>
      </c>
      <c r="AF192" s="129">
        <v>0</v>
      </c>
      <c r="AG192" s="129">
        <v>0</v>
      </c>
      <c r="AH192" s="129">
        <v>0</v>
      </c>
      <c r="AI192" s="129">
        <v>0</v>
      </c>
      <c r="AJ192" s="129">
        <v>0</v>
      </c>
      <c r="AK192" s="129">
        <v>0</v>
      </c>
      <c r="AL192" s="129">
        <v>0</v>
      </c>
      <c r="AM192" s="662" t="s">
        <v>250</v>
      </c>
      <c r="AN192" s="324" t="s">
        <v>553</v>
      </c>
      <c r="AO192" s="663" t="s">
        <v>512</v>
      </c>
      <c r="AP192" s="529" t="s">
        <v>1398</v>
      </c>
    </row>
    <row r="193" spans="1:42" ht="12.75" x14ac:dyDescent="0.2">
      <c r="A193" s="664">
        <v>186</v>
      </c>
      <c r="B193" s="665" t="s">
        <v>253</v>
      </c>
      <c r="C193" s="666" t="s">
        <v>486</v>
      </c>
      <c r="D193" s="667" t="s">
        <v>1206</v>
      </c>
      <c r="E193" s="668" t="s">
        <v>557</v>
      </c>
      <c r="F193" s="129">
        <v>130202127</v>
      </c>
      <c r="G193" s="129">
        <v>10969322</v>
      </c>
      <c r="H193" s="129">
        <v>141171449</v>
      </c>
      <c r="I193" s="129">
        <v>-2790000</v>
      </c>
      <c r="J193" s="129">
        <v>-210000</v>
      </c>
      <c r="K193" s="129">
        <v>-3000000</v>
      </c>
      <c r="L193" s="129">
        <v>-3720000</v>
      </c>
      <c r="M193" s="129">
        <v>-280000</v>
      </c>
      <c r="N193" s="129">
        <v>-4000000</v>
      </c>
      <c r="O193" s="129">
        <v>123692127</v>
      </c>
      <c r="P193" s="129">
        <v>10479322</v>
      </c>
      <c r="Q193" s="129">
        <v>134171449</v>
      </c>
      <c r="R193" s="129">
        <v>0</v>
      </c>
      <c r="S193" s="129">
        <v>0</v>
      </c>
      <c r="T193" s="129">
        <v>0</v>
      </c>
      <c r="U193" s="129">
        <v>0</v>
      </c>
      <c r="V193" s="129">
        <v>0</v>
      </c>
      <c r="W193" s="129">
        <v>0</v>
      </c>
      <c r="X193" s="129">
        <v>10746</v>
      </c>
      <c r="Y193" s="129">
        <v>11710736</v>
      </c>
      <c r="Z193" s="129">
        <v>0</v>
      </c>
      <c r="AA193" s="129">
        <v>0</v>
      </c>
      <c r="AB193" s="129">
        <v>0</v>
      </c>
      <c r="AC193" s="129">
        <v>0</v>
      </c>
      <c r="AD193" s="129">
        <v>0</v>
      </c>
      <c r="AE193" s="129">
        <v>0</v>
      </c>
      <c r="AF193" s="129">
        <v>0</v>
      </c>
      <c r="AG193" s="129">
        <v>0</v>
      </c>
      <c r="AH193" s="129">
        <v>0</v>
      </c>
      <c r="AI193" s="129">
        <v>0</v>
      </c>
      <c r="AJ193" s="129">
        <v>0</v>
      </c>
      <c r="AK193" s="129">
        <v>0</v>
      </c>
      <c r="AL193" s="129">
        <v>0</v>
      </c>
      <c r="AM193" s="662" t="s">
        <v>557</v>
      </c>
      <c r="AN193" s="324" t="s">
        <v>486</v>
      </c>
      <c r="AO193" s="663" t="s">
        <v>558</v>
      </c>
      <c r="AP193" s="529" t="s">
        <v>1399</v>
      </c>
    </row>
    <row r="194" spans="1:42" ht="12.75" x14ac:dyDescent="0.2">
      <c r="A194" s="664">
        <v>187</v>
      </c>
      <c r="B194" s="665" t="s">
        <v>255</v>
      </c>
      <c r="C194" s="666" t="s">
        <v>1201</v>
      </c>
      <c r="D194" s="667" t="s">
        <v>1228</v>
      </c>
      <c r="E194" s="668" t="s">
        <v>254</v>
      </c>
      <c r="F194" s="129">
        <v>37219284</v>
      </c>
      <c r="G194" s="129">
        <v>0</v>
      </c>
      <c r="H194" s="129">
        <v>37219284</v>
      </c>
      <c r="I194" s="129">
        <v>-1000000</v>
      </c>
      <c r="J194" s="129">
        <v>0</v>
      </c>
      <c r="K194" s="129">
        <v>-1000000</v>
      </c>
      <c r="L194" s="129">
        <v>-2500000</v>
      </c>
      <c r="M194" s="129">
        <v>0</v>
      </c>
      <c r="N194" s="129">
        <v>-2500000</v>
      </c>
      <c r="O194" s="129">
        <v>33719284</v>
      </c>
      <c r="P194" s="129">
        <v>0</v>
      </c>
      <c r="Q194" s="129">
        <v>33719284</v>
      </c>
      <c r="R194" s="129">
        <v>0</v>
      </c>
      <c r="S194" s="129">
        <v>0</v>
      </c>
      <c r="T194" s="129">
        <v>0</v>
      </c>
      <c r="U194" s="129">
        <v>0</v>
      </c>
      <c r="V194" s="129">
        <v>0</v>
      </c>
      <c r="W194" s="129">
        <v>0</v>
      </c>
      <c r="X194" s="129">
        <v>0</v>
      </c>
      <c r="Y194" s="129">
        <v>0</v>
      </c>
      <c r="Z194" s="129">
        <v>0</v>
      </c>
      <c r="AA194" s="129">
        <v>0</v>
      </c>
      <c r="AB194" s="129">
        <v>0</v>
      </c>
      <c r="AC194" s="129">
        <v>0</v>
      </c>
      <c r="AD194" s="129">
        <v>0</v>
      </c>
      <c r="AE194" s="129">
        <v>0</v>
      </c>
      <c r="AF194" s="129">
        <v>0</v>
      </c>
      <c r="AG194" s="129">
        <v>0</v>
      </c>
      <c r="AH194" s="129">
        <v>0</v>
      </c>
      <c r="AI194" s="129">
        <v>0</v>
      </c>
      <c r="AJ194" s="129">
        <v>0</v>
      </c>
      <c r="AK194" s="129">
        <v>0</v>
      </c>
      <c r="AL194" s="129">
        <v>0</v>
      </c>
      <c r="AM194" s="662" t="s">
        <v>254</v>
      </c>
      <c r="AN194" s="324" t="s">
        <v>567</v>
      </c>
      <c r="AO194" s="663" t="s">
        <v>512</v>
      </c>
      <c r="AP194" s="529" t="s">
        <v>1400</v>
      </c>
    </row>
    <row r="195" spans="1:42" ht="12.75" x14ac:dyDescent="0.2">
      <c r="A195" s="664">
        <v>188</v>
      </c>
      <c r="B195" s="665" t="s">
        <v>257</v>
      </c>
      <c r="C195" s="666" t="s">
        <v>1201</v>
      </c>
      <c r="D195" s="667" t="s">
        <v>1206</v>
      </c>
      <c r="E195" s="668" t="s">
        <v>256</v>
      </c>
      <c r="F195" s="129">
        <v>13388063</v>
      </c>
      <c r="G195" s="129">
        <v>0</v>
      </c>
      <c r="H195" s="129">
        <v>13388063</v>
      </c>
      <c r="I195" s="129">
        <v>-90000</v>
      </c>
      <c r="J195" s="129">
        <v>0</v>
      </c>
      <c r="K195" s="129">
        <v>-90000</v>
      </c>
      <c r="L195" s="129">
        <v>-255318</v>
      </c>
      <c r="M195" s="129">
        <v>0</v>
      </c>
      <c r="N195" s="129">
        <v>-255318</v>
      </c>
      <c r="O195" s="129">
        <v>13042745</v>
      </c>
      <c r="P195" s="129">
        <v>0</v>
      </c>
      <c r="Q195" s="129">
        <v>13042745</v>
      </c>
      <c r="R195" s="129">
        <v>8446</v>
      </c>
      <c r="S195" s="129">
        <v>0</v>
      </c>
      <c r="T195" s="129">
        <v>8446</v>
      </c>
      <c r="U195" s="129">
        <v>0</v>
      </c>
      <c r="V195" s="129">
        <v>0</v>
      </c>
      <c r="W195" s="129">
        <v>0</v>
      </c>
      <c r="X195" s="129">
        <v>0</v>
      </c>
      <c r="Y195" s="129">
        <v>0</v>
      </c>
      <c r="Z195" s="129">
        <v>0</v>
      </c>
      <c r="AA195" s="129">
        <v>0</v>
      </c>
      <c r="AB195" s="129">
        <v>0</v>
      </c>
      <c r="AC195" s="129">
        <v>0</v>
      </c>
      <c r="AD195" s="129">
        <v>0</v>
      </c>
      <c r="AE195" s="129">
        <v>0</v>
      </c>
      <c r="AF195" s="129">
        <v>0</v>
      </c>
      <c r="AG195" s="129">
        <v>0</v>
      </c>
      <c r="AH195" s="129">
        <v>0</v>
      </c>
      <c r="AI195" s="129">
        <v>0</v>
      </c>
      <c r="AJ195" s="129">
        <v>0</v>
      </c>
      <c r="AK195" s="129">
        <v>0</v>
      </c>
      <c r="AL195" s="129">
        <v>0</v>
      </c>
      <c r="AM195" s="662" t="s">
        <v>256</v>
      </c>
      <c r="AN195" s="324" t="s">
        <v>551</v>
      </c>
      <c r="AO195" s="663" t="s">
        <v>549</v>
      </c>
      <c r="AP195" s="529" t="s">
        <v>1401</v>
      </c>
    </row>
    <row r="196" spans="1:42" ht="12.75" x14ac:dyDescent="0.2">
      <c r="A196" s="664">
        <v>189</v>
      </c>
      <c r="B196" s="665" t="s">
        <v>259</v>
      </c>
      <c r="C196" s="666" t="s">
        <v>1217</v>
      </c>
      <c r="D196" s="667" t="s">
        <v>1204</v>
      </c>
      <c r="E196" s="668" t="s">
        <v>258</v>
      </c>
      <c r="F196" s="129">
        <v>58877060</v>
      </c>
      <c r="G196" s="129">
        <v>0</v>
      </c>
      <c r="H196" s="129">
        <v>58877060</v>
      </c>
      <c r="I196" s="129">
        <v>-4121394</v>
      </c>
      <c r="J196" s="129">
        <v>0</v>
      </c>
      <c r="K196" s="129">
        <v>-4121394</v>
      </c>
      <c r="L196" s="129">
        <v>-2500000</v>
      </c>
      <c r="M196" s="129">
        <v>0</v>
      </c>
      <c r="N196" s="129">
        <v>-2500000</v>
      </c>
      <c r="O196" s="129">
        <v>52255666</v>
      </c>
      <c r="P196" s="129">
        <v>0</v>
      </c>
      <c r="Q196" s="129">
        <v>52255666</v>
      </c>
      <c r="R196" s="129">
        <v>0</v>
      </c>
      <c r="S196" s="129">
        <v>0</v>
      </c>
      <c r="T196" s="129">
        <v>0</v>
      </c>
      <c r="U196" s="129">
        <v>0</v>
      </c>
      <c r="V196" s="129">
        <v>0</v>
      </c>
      <c r="W196" s="129">
        <v>0</v>
      </c>
      <c r="X196" s="129">
        <v>0</v>
      </c>
      <c r="Y196" s="129">
        <v>0</v>
      </c>
      <c r="Z196" s="129">
        <v>0</v>
      </c>
      <c r="AA196" s="129">
        <v>0</v>
      </c>
      <c r="AB196" s="129">
        <v>0</v>
      </c>
      <c r="AC196" s="129">
        <v>0</v>
      </c>
      <c r="AD196" s="129">
        <v>0</v>
      </c>
      <c r="AE196" s="129">
        <v>0</v>
      </c>
      <c r="AF196" s="129">
        <v>0</v>
      </c>
      <c r="AG196" s="129">
        <v>0</v>
      </c>
      <c r="AH196" s="129">
        <v>0</v>
      </c>
      <c r="AI196" s="129">
        <v>0</v>
      </c>
      <c r="AJ196" s="129">
        <v>0</v>
      </c>
      <c r="AK196" s="129">
        <v>0</v>
      </c>
      <c r="AL196" s="129">
        <v>0</v>
      </c>
      <c r="AM196" s="662" t="s">
        <v>258</v>
      </c>
      <c r="AN196" s="324" t="s">
        <v>570</v>
      </c>
      <c r="AO196" s="663" t="s">
        <v>1915</v>
      </c>
      <c r="AP196" s="529" t="s">
        <v>1402</v>
      </c>
    </row>
    <row r="197" spans="1:42" ht="12.75" x14ac:dyDescent="0.2">
      <c r="A197" s="664">
        <v>190</v>
      </c>
      <c r="B197" s="665" t="s">
        <v>261</v>
      </c>
      <c r="C197" s="666" t="s">
        <v>1201</v>
      </c>
      <c r="D197" s="667" t="s">
        <v>1202</v>
      </c>
      <c r="E197" s="668" t="s">
        <v>260</v>
      </c>
      <c r="F197" s="129">
        <v>110420226</v>
      </c>
      <c r="G197" s="129">
        <v>0</v>
      </c>
      <c r="H197" s="129">
        <v>110420226</v>
      </c>
      <c r="I197" s="129">
        <v>-350000</v>
      </c>
      <c r="J197" s="129">
        <v>0</v>
      </c>
      <c r="K197" s="129">
        <v>-350000</v>
      </c>
      <c r="L197" s="129">
        <v>-8867587</v>
      </c>
      <c r="M197" s="129">
        <v>0</v>
      </c>
      <c r="N197" s="129">
        <v>-8867587</v>
      </c>
      <c r="O197" s="129">
        <v>101202639</v>
      </c>
      <c r="P197" s="129">
        <v>0</v>
      </c>
      <c r="Q197" s="129">
        <v>101202639</v>
      </c>
      <c r="R197" s="129">
        <v>10913</v>
      </c>
      <c r="S197" s="129">
        <v>0</v>
      </c>
      <c r="T197" s="129">
        <v>10913</v>
      </c>
      <c r="U197" s="129">
        <v>0</v>
      </c>
      <c r="V197" s="129">
        <v>0</v>
      </c>
      <c r="W197" s="129">
        <v>0</v>
      </c>
      <c r="X197" s="129">
        <v>0</v>
      </c>
      <c r="Y197" s="129">
        <v>0</v>
      </c>
      <c r="Z197" s="129">
        <v>0</v>
      </c>
      <c r="AA197" s="129">
        <v>0</v>
      </c>
      <c r="AB197" s="129">
        <v>0</v>
      </c>
      <c r="AC197" s="129">
        <v>0</v>
      </c>
      <c r="AD197" s="129">
        <v>0</v>
      </c>
      <c r="AE197" s="129">
        <v>0</v>
      </c>
      <c r="AF197" s="129">
        <v>0</v>
      </c>
      <c r="AG197" s="129">
        <v>0</v>
      </c>
      <c r="AH197" s="129">
        <v>0</v>
      </c>
      <c r="AI197" s="129">
        <v>0</v>
      </c>
      <c r="AJ197" s="129">
        <v>0</v>
      </c>
      <c r="AK197" s="129">
        <v>0</v>
      </c>
      <c r="AL197" s="129">
        <v>0</v>
      </c>
      <c r="AM197" s="662" t="s">
        <v>260</v>
      </c>
      <c r="AN197" s="324" t="s">
        <v>560</v>
      </c>
      <c r="AO197" s="663" t="s">
        <v>512</v>
      </c>
      <c r="AP197" s="529" t="s">
        <v>1403</v>
      </c>
    </row>
    <row r="198" spans="1:42" ht="12.75" x14ac:dyDescent="0.2">
      <c r="A198" s="664">
        <v>191</v>
      </c>
      <c r="B198" s="665" t="s">
        <v>263</v>
      </c>
      <c r="C198" s="666" t="s">
        <v>1201</v>
      </c>
      <c r="D198" s="667" t="s">
        <v>1204</v>
      </c>
      <c r="E198" s="668" t="s">
        <v>262</v>
      </c>
      <c r="F198" s="129">
        <v>19527084</v>
      </c>
      <c r="G198" s="129">
        <v>0</v>
      </c>
      <c r="H198" s="129">
        <v>19527084</v>
      </c>
      <c r="I198" s="129">
        <v>-58581</v>
      </c>
      <c r="J198" s="129">
        <v>0</v>
      </c>
      <c r="K198" s="129">
        <v>-58581</v>
      </c>
      <c r="L198" s="129">
        <v>-683448</v>
      </c>
      <c r="M198" s="129">
        <v>0</v>
      </c>
      <c r="N198" s="129">
        <v>-683448</v>
      </c>
      <c r="O198" s="129">
        <v>18785055</v>
      </c>
      <c r="P198" s="129">
        <v>0</v>
      </c>
      <c r="Q198" s="129">
        <v>18785055</v>
      </c>
      <c r="R198" s="129">
        <v>0</v>
      </c>
      <c r="S198" s="129">
        <v>0</v>
      </c>
      <c r="T198" s="129">
        <v>0</v>
      </c>
      <c r="U198" s="129">
        <v>0</v>
      </c>
      <c r="V198" s="129">
        <v>0</v>
      </c>
      <c r="W198" s="129">
        <v>0</v>
      </c>
      <c r="X198" s="129">
        <v>0</v>
      </c>
      <c r="Y198" s="129">
        <v>0</v>
      </c>
      <c r="Z198" s="129">
        <v>0</v>
      </c>
      <c r="AA198" s="129">
        <v>0</v>
      </c>
      <c r="AB198" s="129">
        <v>0</v>
      </c>
      <c r="AC198" s="129">
        <v>0</v>
      </c>
      <c r="AD198" s="129">
        <v>0</v>
      </c>
      <c r="AE198" s="129">
        <v>0</v>
      </c>
      <c r="AF198" s="129">
        <v>0</v>
      </c>
      <c r="AG198" s="129">
        <v>0</v>
      </c>
      <c r="AH198" s="129">
        <v>0</v>
      </c>
      <c r="AI198" s="129">
        <v>0</v>
      </c>
      <c r="AJ198" s="129">
        <v>0</v>
      </c>
      <c r="AK198" s="129">
        <v>0</v>
      </c>
      <c r="AL198" s="129">
        <v>0</v>
      </c>
      <c r="AM198" s="662" t="s">
        <v>262</v>
      </c>
      <c r="AN198" s="324" t="s">
        <v>547</v>
      </c>
      <c r="AO198" s="663" t="s">
        <v>545</v>
      </c>
      <c r="AP198" s="529" t="s">
        <v>1404</v>
      </c>
    </row>
    <row r="199" spans="1:42" ht="12.75" x14ac:dyDescent="0.2">
      <c r="A199" s="664">
        <v>192</v>
      </c>
      <c r="B199" s="665" t="s">
        <v>264</v>
      </c>
      <c r="C199" s="666" t="s">
        <v>486</v>
      </c>
      <c r="D199" s="667" t="s">
        <v>1211</v>
      </c>
      <c r="E199" s="668" t="s">
        <v>501</v>
      </c>
      <c r="F199" s="129">
        <v>108659740</v>
      </c>
      <c r="G199" s="129">
        <v>0</v>
      </c>
      <c r="H199" s="129">
        <v>108659740</v>
      </c>
      <c r="I199" s="129">
        <v>-3937107</v>
      </c>
      <c r="J199" s="129">
        <v>0</v>
      </c>
      <c r="K199" s="129">
        <v>-3937107</v>
      </c>
      <c r="L199" s="129">
        <v>-3872892</v>
      </c>
      <c r="M199" s="129">
        <v>0</v>
      </c>
      <c r="N199" s="129">
        <v>-3872892</v>
      </c>
      <c r="O199" s="129">
        <v>100849741</v>
      </c>
      <c r="P199" s="129">
        <v>0</v>
      </c>
      <c r="Q199" s="129">
        <v>100849741</v>
      </c>
      <c r="R199" s="129">
        <v>348685</v>
      </c>
      <c r="S199" s="129">
        <v>0</v>
      </c>
      <c r="T199" s="129">
        <v>348685</v>
      </c>
      <c r="U199" s="129">
        <v>0</v>
      </c>
      <c r="V199" s="129">
        <v>0</v>
      </c>
      <c r="W199" s="129">
        <v>0</v>
      </c>
      <c r="X199" s="129">
        <v>0</v>
      </c>
      <c r="Y199" s="129">
        <v>0</v>
      </c>
      <c r="Z199" s="129">
        <v>0</v>
      </c>
      <c r="AA199" s="129">
        <v>0</v>
      </c>
      <c r="AB199" s="129">
        <v>0</v>
      </c>
      <c r="AC199" s="129">
        <v>0</v>
      </c>
      <c r="AD199" s="129">
        <v>0</v>
      </c>
      <c r="AE199" s="129">
        <v>0</v>
      </c>
      <c r="AF199" s="129">
        <v>0</v>
      </c>
      <c r="AG199" s="129">
        <v>0</v>
      </c>
      <c r="AH199" s="129">
        <v>0</v>
      </c>
      <c r="AI199" s="129">
        <v>0</v>
      </c>
      <c r="AJ199" s="129">
        <v>0</v>
      </c>
      <c r="AK199" s="129">
        <v>0</v>
      </c>
      <c r="AL199" s="129">
        <v>0</v>
      </c>
      <c r="AM199" s="662" t="s">
        <v>501</v>
      </c>
      <c r="AN199" s="324" t="s">
        <v>486</v>
      </c>
      <c r="AO199" s="663" t="s">
        <v>502</v>
      </c>
      <c r="AP199" s="529" t="s">
        <v>1405</v>
      </c>
    </row>
    <row r="200" spans="1:42" ht="12.75" x14ac:dyDescent="0.2">
      <c r="A200" s="664">
        <v>193</v>
      </c>
      <c r="B200" s="665" t="s">
        <v>266</v>
      </c>
      <c r="C200" s="666" t="s">
        <v>486</v>
      </c>
      <c r="D200" s="667" t="s">
        <v>1224</v>
      </c>
      <c r="E200" s="668" t="s">
        <v>518</v>
      </c>
      <c r="F200" s="129">
        <v>91717704</v>
      </c>
      <c r="G200" s="129">
        <v>5240</v>
      </c>
      <c r="H200" s="129">
        <v>91722944</v>
      </c>
      <c r="I200" s="129">
        <v>-900000</v>
      </c>
      <c r="J200" s="129">
        <v>0</v>
      </c>
      <c r="K200" s="129">
        <v>-900000</v>
      </c>
      <c r="L200" s="129">
        <v>-1100000</v>
      </c>
      <c r="M200" s="129">
        <v>0</v>
      </c>
      <c r="N200" s="129">
        <v>-1100000</v>
      </c>
      <c r="O200" s="129">
        <v>89717704</v>
      </c>
      <c r="P200" s="129">
        <v>5240</v>
      </c>
      <c r="Q200" s="129">
        <v>89722944</v>
      </c>
      <c r="R200" s="129">
        <v>210228</v>
      </c>
      <c r="S200" s="129">
        <v>0</v>
      </c>
      <c r="T200" s="129">
        <v>210228</v>
      </c>
      <c r="U200" s="129">
        <v>0</v>
      </c>
      <c r="V200" s="129">
        <v>0</v>
      </c>
      <c r="W200" s="129">
        <v>0</v>
      </c>
      <c r="X200" s="129">
        <v>0</v>
      </c>
      <c r="Y200" s="129">
        <v>565889</v>
      </c>
      <c r="Z200" s="129">
        <v>0</v>
      </c>
      <c r="AA200" s="129">
        <v>0</v>
      </c>
      <c r="AB200" s="129">
        <v>0</v>
      </c>
      <c r="AC200" s="129">
        <v>0</v>
      </c>
      <c r="AD200" s="129">
        <v>0</v>
      </c>
      <c r="AE200" s="129">
        <v>0</v>
      </c>
      <c r="AF200" s="129">
        <v>15469</v>
      </c>
      <c r="AG200" s="129">
        <v>15469</v>
      </c>
      <c r="AH200" s="129">
        <v>0</v>
      </c>
      <c r="AI200" s="129">
        <v>0</v>
      </c>
      <c r="AJ200" s="129">
        <v>0</v>
      </c>
      <c r="AK200" s="129">
        <v>15469</v>
      </c>
      <c r="AL200" s="129">
        <v>15469</v>
      </c>
      <c r="AM200" s="662" t="s">
        <v>518</v>
      </c>
      <c r="AN200" s="324" t="s">
        <v>486</v>
      </c>
      <c r="AO200" s="663" t="s">
        <v>519</v>
      </c>
      <c r="AP200" s="529" t="s">
        <v>1406</v>
      </c>
    </row>
    <row r="201" spans="1:42" ht="12.75" x14ac:dyDescent="0.2">
      <c r="A201" s="664">
        <v>194</v>
      </c>
      <c r="B201" s="665" t="s">
        <v>267</v>
      </c>
      <c r="C201" s="666" t="s">
        <v>486</v>
      </c>
      <c r="D201" s="667" t="s">
        <v>1202</v>
      </c>
      <c r="E201" s="668" t="s">
        <v>530</v>
      </c>
      <c r="F201" s="129">
        <v>91702254</v>
      </c>
      <c r="G201" s="129">
        <v>0</v>
      </c>
      <c r="H201" s="129">
        <v>91702254</v>
      </c>
      <c r="I201" s="129">
        <v>-1020500</v>
      </c>
      <c r="J201" s="129">
        <v>0</v>
      </c>
      <c r="K201" s="129">
        <v>-1020500</v>
      </c>
      <c r="L201" s="129">
        <v>-6657584</v>
      </c>
      <c r="M201" s="129">
        <v>0</v>
      </c>
      <c r="N201" s="129">
        <v>-6657584</v>
      </c>
      <c r="O201" s="129">
        <v>84024170</v>
      </c>
      <c r="P201" s="129">
        <v>0</v>
      </c>
      <c r="Q201" s="129">
        <v>84024170</v>
      </c>
      <c r="R201" s="129">
        <v>0</v>
      </c>
      <c r="S201" s="129">
        <v>0</v>
      </c>
      <c r="T201" s="129">
        <v>0</v>
      </c>
      <c r="U201" s="129">
        <v>0</v>
      </c>
      <c r="V201" s="129">
        <v>0</v>
      </c>
      <c r="W201" s="129">
        <v>0</v>
      </c>
      <c r="X201" s="129">
        <v>0</v>
      </c>
      <c r="Y201" s="129">
        <v>0</v>
      </c>
      <c r="Z201" s="129">
        <v>0</v>
      </c>
      <c r="AA201" s="129">
        <v>0</v>
      </c>
      <c r="AB201" s="129">
        <v>0</v>
      </c>
      <c r="AC201" s="129">
        <v>0</v>
      </c>
      <c r="AD201" s="129">
        <v>0</v>
      </c>
      <c r="AE201" s="129">
        <v>0</v>
      </c>
      <c r="AF201" s="129">
        <v>0</v>
      </c>
      <c r="AG201" s="129">
        <v>0</v>
      </c>
      <c r="AH201" s="129">
        <v>0</v>
      </c>
      <c r="AI201" s="129">
        <v>0</v>
      </c>
      <c r="AJ201" s="129">
        <v>0</v>
      </c>
      <c r="AK201" s="129">
        <v>0</v>
      </c>
      <c r="AL201" s="129">
        <v>0</v>
      </c>
      <c r="AM201" s="662" t="s">
        <v>530</v>
      </c>
      <c r="AN201" s="324" t="s">
        <v>486</v>
      </c>
      <c r="AO201" s="663" t="s">
        <v>1914</v>
      </c>
      <c r="AP201" s="529" t="s">
        <v>1407</v>
      </c>
    </row>
    <row r="202" spans="1:42" ht="12.75" x14ac:dyDescent="0.2">
      <c r="A202" s="664">
        <v>195</v>
      </c>
      <c r="B202" s="665" t="s">
        <v>269</v>
      </c>
      <c r="C202" s="666" t="s">
        <v>1201</v>
      </c>
      <c r="D202" s="667" t="s">
        <v>1204</v>
      </c>
      <c r="E202" s="668" t="s">
        <v>268</v>
      </c>
      <c r="F202" s="129">
        <v>61614307</v>
      </c>
      <c r="G202" s="129">
        <v>0</v>
      </c>
      <c r="H202" s="129">
        <v>61614307</v>
      </c>
      <c r="I202" s="129">
        <v>-4125340</v>
      </c>
      <c r="J202" s="129">
        <v>0</v>
      </c>
      <c r="K202" s="129">
        <v>-4125340</v>
      </c>
      <c r="L202" s="129">
        <v>-5250300</v>
      </c>
      <c r="M202" s="129">
        <v>0</v>
      </c>
      <c r="N202" s="129">
        <v>-5250300</v>
      </c>
      <c r="O202" s="129">
        <v>52238667</v>
      </c>
      <c r="P202" s="129">
        <v>0</v>
      </c>
      <c r="Q202" s="129">
        <v>52238667</v>
      </c>
      <c r="R202" s="129">
        <v>22286</v>
      </c>
      <c r="S202" s="129">
        <v>0</v>
      </c>
      <c r="T202" s="129">
        <v>22286</v>
      </c>
      <c r="U202" s="129">
        <v>0</v>
      </c>
      <c r="V202" s="129">
        <v>0</v>
      </c>
      <c r="W202" s="129">
        <v>0</v>
      </c>
      <c r="X202" s="129">
        <v>0</v>
      </c>
      <c r="Y202" s="129">
        <v>0</v>
      </c>
      <c r="Z202" s="129">
        <v>0</v>
      </c>
      <c r="AA202" s="129">
        <v>0</v>
      </c>
      <c r="AB202" s="129">
        <v>0</v>
      </c>
      <c r="AC202" s="129">
        <v>0</v>
      </c>
      <c r="AD202" s="129">
        <v>0</v>
      </c>
      <c r="AE202" s="129">
        <v>0</v>
      </c>
      <c r="AF202" s="129">
        <v>0</v>
      </c>
      <c r="AG202" s="129">
        <v>0</v>
      </c>
      <c r="AH202" s="129">
        <v>0</v>
      </c>
      <c r="AI202" s="129">
        <v>0</v>
      </c>
      <c r="AJ202" s="129">
        <v>0</v>
      </c>
      <c r="AK202" s="129">
        <v>0</v>
      </c>
      <c r="AL202" s="129">
        <v>0</v>
      </c>
      <c r="AM202" s="662" t="s">
        <v>268</v>
      </c>
      <c r="AN202" s="324" t="s">
        <v>547</v>
      </c>
      <c r="AO202" s="663" t="s">
        <v>545</v>
      </c>
      <c r="AP202" s="529" t="s">
        <v>1408</v>
      </c>
    </row>
    <row r="203" spans="1:42" ht="12.75" x14ac:dyDescent="0.2">
      <c r="A203" s="664">
        <v>196</v>
      </c>
      <c r="B203" s="665" t="s">
        <v>270</v>
      </c>
      <c r="C203" s="666" t="s">
        <v>486</v>
      </c>
      <c r="D203" s="667" t="s">
        <v>1202</v>
      </c>
      <c r="E203" s="668" t="s">
        <v>496</v>
      </c>
      <c r="F203" s="129">
        <v>138081970</v>
      </c>
      <c r="G203" s="129">
        <v>0</v>
      </c>
      <c r="H203" s="129">
        <v>138081970</v>
      </c>
      <c r="I203" s="129">
        <v>-2555000</v>
      </c>
      <c r="J203" s="129">
        <v>0</v>
      </c>
      <c r="K203" s="129">
        <v>-2555000</v>
      </c>
      <c r="L203" s="129">
        <v>-3852889</v>
      </c>
      <c r="M203" s="129">
        <v>0</v>
      </c>
      <c r="N203" s="129">
        <v>-3852889</v>
      </c>
      <c r="O203" s="129">
        <v>131674081</v>
      </c>
      <c r="P203" s="129">
        <v>0</v>
      </c>
      <c r="Q203" s="129">
        <v>131674081</v>
      </c>
      <c r="R203" s="129">
        <v>0</v>
      </c>
      <c r="S203" s="129">
        <v>0</v>
      </c>
      <c r="T203" s="129">
        <v>0</v>
      </c>
      <c r="U203" s="129">
        <v>0</v>
      </c>
      <c r="V203" s="129">
        <v>0</v>
      </c>
      <c r="W203" s="129">
        <v>0</v>
      </c>
      <c r="X203" s="129">
        <v>0</v>
      </c>
      <c r="Y203" s="129">
        <v>0</v>
      </c>
      <c r="Z203" s="129">
        <v>0</v>
      </c>
      <c r="AA203" s="129">
        <v>0</v>
      </c>
      <c r="AB203" s="129">
        <v>0</v>
      </c>
      <c r="AC203" s="129">
        <v>0</v>
      </c>
      <c r="AD203" s="129">
        <v>0</v>
      </c>
      <c r="AE203" s="129">
        <v>0</v>
      </c>
      <c r="AF203" s="129">
        <v>0</v>
      </c>
      <c r="AG203" s="129">
        <v>0</v>
      </c>
      <c r="AH203" s="129">
        <v>0</v>
      </c>
      <c r="AI203" s="129">
        <v>0</v>
      </c>
      <c r="AJ203" s="129">
        <v>0</v>
      </c>
      <c r="AK203" s="129">
        <v>0</v>
      </c>
      <c r="AL203" s="129">
        <v>0</v>
      </c>
      <c r="AM203" s="662" t="s">
        <v>496</v>
      </c>
      <c r="AN203" s="324" t="s">
        <v>486</v>
      </c>
      <c r="AO203" s="663" t="s">
        <v>494</v>
      </c>
      <c r="AP203" s="529" t="s">
        <v>1409</v>
      </c>
    </row>
    <row r="204" spans="1:42" ht="12.75" x14ac:dyDescent="0.2">
      <c r="A204" s="664">
        <v>197</v>
      </c>
      <c r="B204" s="665" t="s">
        <v>272</v>
      </c>
      <c r="C204" s="666" t="s">
        <v>1213</v>
      </c>
      <c r="D204" s="667" t="s">
        <v>1214</v>
      </c>
      <c r="E204" s="668" t="s">
        <v>271</v>
      </c>
      <c r="F204" s="129">
        <v>61487002</v>
      </c>
      <c r="G204" s="129">
        <v>0</v>
      </c>
      <c r="H204" s="129">
        <v>61487002</v>
      </c>
      <c r="I204" s="129">
        <v>-1229740</v>
      </c>
      <c r="J204" s="129">
        <v>0</v>
      </c>
      <c r="K204" s="129">
        <v>-1229740</v>
      </c>
      <c r="L204" s="129">
        <v>-2077165</v>
      </c>
      <c r="M204" s="129">
        <v>0</v>
      </c>
      <c r="N204" s="129">
        <v>-2077165</v>
      </c>
      <c r="O204" s="129">
        <v>58180097</v>
      </c>
      <c r="P204" s="129">
        <v>0</v>
      </c>
      <c r="Q204" s="129">
        <v>58180097</v>
      </c>
      <c r="R204" s="129">
        <v>0</v>
      </c>
      <c r="S204" s="129">
        <v>0</v>
      </c>
      <c r="T204" s="129">
        <v>0</v>
      </c>
      <c r="U204" s="129">
        <v>0</v>
      </c>
      <c r="V204" s="129">
        <v>0</v>
      </c>
      <c r="W204" s="129">
        <v>0</v>
      </c>
      <c r="X204" s="129">
        <v>0</v>
      </c>
      <c r="Y204" s="129">
        <v>0</v>
      </c>
      <c r="Z204" s="129">
        <v>0</v>
      </c>
      <c r="AA204" s="129">
        <v>0</v>
      </c>
      <c r="AB204" s="129">
        <v>0</v>
      </c>
      <c r="AC204" s="129">
        <v>0</v>
      </c>
      <c r="AD204" s="129">
        <v>0</v>
      </c>
      <c r="AE204" s="129">
        <v>0</v>
      </c>
      <c r="AF204" s="129">
        <v>0</v>
      </c>
      <c r="AG204" s="129">
        <v>0</v>
      </c>
      <c r="AH204" s="129">
        <v>0</v>
      </c>
      <c r="AI204" s="129">
        <v>0</v>
      </c>
      <c r="AJ204" s="129">
        <v>0</v>
      </c>
      <c r="AK204" s="129">
        <v>0</v>
      </c>
      <c r="AL204" s="129">
        <v>0</v>
      </c>
      <c r="AM204" s="662" t="s">
        <v>271</v>
      </c>
      <c r="AN204" s="324" t="s">
        <v>576</v>
      </c>
      <c r="AO204" s="669" t="s">
        <v>485</v>
      </c>
      <c r="AP204" s="529" t="s">
        <v>1410</v>
      </c>
    </row>
    <row r="205" spans="1:42" ht="12.75" x14ac:dyDescent="0.2">
      <c r="A205" s="664">
        <v>198</v>
      </c>
      <c r="B205" s="665" t="s">
        <v>274</v>
      </c>
      <c r="C205" s="666" t="s">
        <v>486</v>
      </c>
      <c r="D205" s="667" t="s">
        <v>1283</v>
      </c>
      <c r="E205" s="668" t="s">
        <v>818</v>
      </c>
      <c r="F205" s="129">
        <v>39385051</v>
      </c>
      <c r="G205" s="129">
        <v>1886141</v>
      </c>
      <c r="H205" s="129">
        <v>41271192</v>
      </c>
      <c r="I205" s="129">
        <v>0</v>
      </c>
      <c r="J205" s="129">
        <v>0</v>
      </c>
      <c r="K205" s="129">
        <v>0</v>
      </c>
      <c r="L205" s="129">
        <v>-827086</v>
      </c>
      <c r="M205" s="129">
        <v>-39609</v>
      </c>
      <c r="N205" s="129">
        <v>-866695</v>
      </c>
      <c r="O205" s="129">
        <v>38557965</v>
      </c>
      <c r="P205" s="129">
        <v>1846532</v>
      </c>
      <c r="Q205" s="129">
        <v>40404497</v>
      </c>
      <c r="R205" s="129">
        <v>320000</v>
      </c>
      <c r="S205" s="129">
        <v>0</v>
      </c>
      <c r="T205" s="129">
        <v>320000</v>
      </c>
      <c r="U205" s="129">
        <v>0</v>
      </c>
      <c r="V205" s="129">
        <v>0</v>
      </c>
      <c r="W205" s="129">
        <v>0</v>
      </c>
      <c r="X205" s="129">
        <v>0</v>
      </c>
      <c r="Y205" s="129">
        <v>6927193</v>
      </c>
      <c r="Z205" s="129">
        <v>1846532</v>
      </c>
      <c r="AA205" s="129">
        <v>1846532</v>
      </c>
      <c r="AB205" s="129">
        <v>0</v>
      </c>
      <c r="AC205" s="129">
        <v>0</v>
      </c>
      <c r="AD205" s="129">
        <v>0</v>
      </c>
      <c r="AE205" s="129">
        <v>0</v>
      </c>
      <c r="AF205" s="129">
        <v>0</v>
      </c>
      <c r="AG205" s="129">
        <v>0</v>
      </c>
      <c r="AH205" s="129">
        <v>0</v>
      </c>
      <c r="AI205" s="129">
        <v>0</v>
      </c>
      <c r="AJ205" s="129">
        <v>0</v>
      </c>
      <c r="AK205" s="129">
        <v>0</v>
      </c>
      <c r="AL205" s="129">
        <v>0</v>
      </c>
      <c r="AM205" s="662" t="s">
        <v>818</v>
      </c>
      <c r="AN205" s="324" t="s">
        <v>486</v>
      </c>
      <c r="AO205" s="663" t="s">
        <v>509</v>
      </c>
      <c r="AP205" s="529" t="s">
        <v>1411</v>
      </c>
    </row>
    <row r="206" spans="1:42" ht="12.75" x14ac:dyDescent="0.2">
      <c r="A206" s="664">
        <v>199</v>
      </c>
      <c r="B206" s="665" t="s">
        <v>276</v>
      </c>
      <c r="C206" s="666" t="s">
        <v>1201</v>
      </c>
      <c r="D206" s="667" t="s">
        <v>1228</v>
      </c>
      <c r="E206" s="668" t="s">
        <v>275</v>
      </c>
      <c r="F206" s="129">
        <v>35138764</v>
      </c>
      <c r="G206" s="129">
        <v>0</v>
      </c>
      <c r="H206" s="129">
        <v>35138764</v>
      </c>
      <c r="I206" s="129">
        <v>-351388</v>
      </c>
      <c r="J206" s="129">
        <v>0</v>
      </c>
      <c r="K206" s="129">
        <v>-351388</v>
      </c>
      <c r="L206" s="129">
        <v>-1054163</v>
      </c>
      <c r="M206" s="129">
        <v>0</v>
      </c>
      <c r="N206" s="129">
        <v>-1054163</v>
      </c>
      <c r="O206" s="129">
        <v>33733213</v>
      </c>
      <c r="P206" s="129">
        <v>0</v>
      </c>
      <c r="Q206" s="129">
        <v>33733213</v>
      </c>
      <c r="R206" s="129">
        <v>0</v>
      </c>
      <c r="S206" s="129">
        <v>0</v>
      </c>
      <c r="T206" s="129">
        <v>0</v>
      </c>
      <c r="U206" s="129">
        <v>0</v>
      </c>
      <c r="V206" s="129">
        <v>0</v>
      </c>
      <c r="W206" s="129">
        <v>0</v>
      </c>
      <c r="X206" s="129">
        <v>0</v>
      </c>
      <c r="Y206" s="129">
        <v>0</v>
      </c>
      <c r="Z206" s="129">
        <v>0</v>
      </c>
      <c r="AA206" s="129">
        <v>0</v>
      </c>
      <c r="AB206" s="129">
        <v>0</v>
      </c>
      <c r="AC206" s="129">
        <v>0</v>
      </c>
      <c r="AD206" s="129">
        <v>0</v>
      </c>
      <c r="AE206" s="129">
        <v>0</v>
      </c>
      <c r="AF206" s="129">
        <v>0</v>
      </c>
      <c r="AG206" s="129">
        <v>0</v>
      </c>
      <c r="AH206" s="129">
        <v>0</v>
      </c>
      <c r="AI206" s="129">
        <v>0</v>
      </c>
      <c r="AJ206" s="129">
        <v>0</v>
      </c>
      <c r="AK206" s="129">
        <v>0</v>
      </c>
      <c r="AL206" s="129">
        <v>0</v>
      </c>
      <c r="AM206" s="662" t="s">
        <v>275</v>
      </c>
      <c r="AN206" s="324" t="s">
        <v>535</v>
      </c>
      <c r="AO206" s="663" t="s">
        <v>534</v>
      </c>
      <c r="AP206" s="529" t="s">
        <v>1412</v>
      </c>
    </row>
    <row r="207" spans="1:42" ht="12.75" x14ac:dyDescent="0.2">
      <c r="A207" s="664">
        <v>200</v>
      </c>
      <c r="B207" s="665" t="s">
        <v>278</v>
      </c>
      <c r="C207" s="666" t="s">
        <v>1201</v>
      </c>
      <c r="D207" s="667" t="s">
        <v>1202</v>
      </c>
      <c r="E207" s="668" t="s">
        <v>277</v>
      </c>
      <c r="F207" s="129">
        <v>55914525</v>
      </c>
      <c r="G207" s="129">
        <v>0</v>
      </c>
      <c r="H207" s="129">
        <v>55914525</v>
      </c>
      <c r="I207" s="129">
        <v>0</v>
      </c>
      <c r="J207" s="129">
        <v>0</v>
      </c>
      <c r="K207" s="129">
        <v>0</v>
      </c>
      <c r="L207" s="129">
        <v>-3582160</v>
      </c>
      <c r="M207" s="129">
        <v>0</v>
      </c>
      <c r="N207" s="129">
        <v>-3582160</v>
      </c>
      <c r="O207" s="129">
        <v>52332365</v>
      </c>
      <c r="P207" s="129">
        <v>0</v>
      </c>
      <c r="Q207" s="129">
        <v>52332365</v>
      </c>
      <c r="R207" s="129">
        <v>0</v>
      </c>
      <c r="S207" s="129">
        <v>0</v>
      </c>
      <c r="T207" s="129">
        <v>0</v>
      </c>
      <c r="U207" s="129">
        <v>0</v>
      </c>
      <c r="V207" s="129">
        <v>0</v>
      </c>
      <c r="W207" s="129">
        <v>0</v>
      </c>
      <c r="X207" s="129">
        <v>0</v>
      </c>
      <c r="Y207" s="129">
        <v>0</v>
      </c>
      <c r="Z207" s="129">
        <v>0</v>
      </c>
      <c r="AA207" s="129">
        <v>0</v>
      </c>
      <c r="AB207" s="129">
        <v>0</v>
      </c>
      <c r="AC207" s="129">
        <v>0</v>
      </c>
      <c r="AD207" s="129">
        <v>0</v>
      </c>
      <c r="AE207" s="129">
        <v>0</v>
      </c>
      <c r="AF207" s="129">
        <v>0</v>
      </c>
      <c r="AG207" s="129">
        <v>0</v>
      </c>
      <c r="AH207" s="129">
        <v>0</v>
      </c>
      <c r="AI207" s="129">
        <v>0</v>
      </c>
      <c r="AJ207" s="129">
        <v>0</v>
      </c>
      <c r="AK207" s="129">
        <v>0</v>
      </c>
      <c r="AL207" s="129">
        <v>0</v>
      </c>
      <c r="AM207" s="662" t="s">
        <v>277</v>
      </c>
      <c r="AN207" s="324" t="s">
        <v>566</v>
      </c>
      <c r="AO207" s="663" t="s">
        <v>512</v>
      </c>
      <c r="AP207" s="529" t="s">
        <v>1413</v>
      </c>
    </row>
    <row r="208" spans="1:42" ht="12.75" x14ac:dyDescent="0.2">
      <c r="A208" s="664">
        <v>201</v>
      </c>
      <c r="B208" s="665" t="s">
        <v>280</v>
      </c>
      <c r="C208" s="666" t="s">
        <v>1201</v>
      </c>
      <c r="D208" s="667" t="s">
        <v>1204</v>
      </c>
      <c r="E208" s="668" t="s">
        <v>279</v>
      </c>
      <c r="F208" s="129">
        <v>14058680</v>
      </c>
      <c r="G208" s="129">
        <v>2232320</v>
      </c>
      <c r="H208" s="129">
        <v>16291000</v>
      </c>
      <c r="I208" s="129">
        <v>-413097</v>
      </c>
      <c r="J208" s="129">
        <v>-22323</v>
      </c>
      <c r="K208" s="129">
        <v>-435420</v>
      </c>
      <c r="L208" s="129">
        <v>-421760</v>
      </c>
      <c r="M208" s="129">
        <v>-66969</v>
      </c>
      <c r="N208" s="129">
        <v>-488729</v>
      </c>
      <c r="O208" s="129">
        <v>13223823</v>
      </c>
      <c r="P208" s="129">
        <v>2143028</v>
      </c>
      <c r="Q208" s="129">
        <v>15366851</v>
      </c>
      <c r="R208" s="129">
        <v>46125</v>
      </c>
      <c r="S208" s="129">
        <v>49562</v>
      </c>
      <c r="T208" s="129">
        <v>95687</v>
      </c>
      <c r="U208" s="129">
        <v>0</v>
      </c>
      <c r="V208" s="129">
        <v>0</v>
      </c>
      <c r="W208" s="129">
        <v>0</v>
      </c>
      <c r="X208" s="129">
        <v>0</v>
      </c>
      <c r="Y208" s="129">
        <v>1970354</v>
      </c>
      <c r="Z208" s="129">
        <v>123112</v>
      </c>
      <c r="AA208" s="129">
        <v>123112</v>
      </c>
      <c r="AB208" s="129">
        <v>0</v>
      </c>
      <c r="AC208" s="129">
        <v>0</v>
      </c>
      <c r="AD208" s="129">
        <v>0</v>
      </c>
      <c r="AE208" s="129">
        <v>0</v>
      </c>
      <c r="AF208" s="129">
        <v>0</v>
      </c>
      <c r="AG208" s="129">
        <v>0</v>
      </c>
      <c r="AH208" s="129">
        <v>0</v>
      </c>
      <c r="AI208" s="129">
        <v>0</v>
      </c>
      <c r="AJ208" s="129">
        <v>0</v>
      </c>
      <c r="AK208" s="129">
        <v>0</v>
      </c>
      <c r="AL208" s="129">
        <v>0</v>
      </c>
      <c r="AM208" s="662" t="s">
        <v>279</v>
      </c>
      <c r="AN208" s="324" t="s">
        <v>547</v>
      </c>
      <c r="AO208" s="663" t="s">
        <v>545</v>
      </c>
      <c r="AP208" s="529" t="s">
        <v>1414</v>
      </c>
    </row>
    <row r="209" spans="1:42" ht="12.75" x14ac:dyDescent="0.2">
      <c r="A209" s="664">
        <v>202</v>
      </c>
      <c r="B209" s="665" t="s">
        <v>282</v>
      </c>
      <c r="C209" s="666" t="s">
        <v>1213</v>
      </c>
      <c r="D209" s="667" t="s">
        <v>1214</v>
      </c>
      <c r="E209" s="668" t="s">
        <v>281</v>
      </c>
      <c r="F209" s="129">
        <v>92987353</v>
      </c>
      <c r="G209" s="129">
        <v>0</v>
      </c>
      <c r="H209" s="129">
        <v>92987353</v>
      </c>
      <c r="I209" s="129">
        <v>-8400000</v>
      </c>
      <c r="J209" s="129">
        <v>0</v>
      </c>
      <c r="K209" s="129">
        <v>-8400000</v>
      </c>
      <c r="L209" s="129">
        <v>-650000</v>
      </c>
      <c r="M209" s="129">
        <v>0</v>
      </c>
      <c r="N209" s="129">
        <v>-650000</v>
      </c>
      <c r="O209" s="129">
        <v>83937353</v>
      </c>
      <c r="P209" s="129">
        <v>0</v>
      </c>
      <c r="Q209" s="129">
        <v>83937353</v>
      </c>
      <c r="R209" s="129">
        <v>0</v>
      </c>
      <c r="S209" s="129">
        <v>0</v>
      </c>
      <c r="T209" s="129">
        <v>0</v>
      </c>
      <c r="U209" s="129">
        <v>0</v>
      </c>
      <c r="V209" s="129">
        <v>0</v>
      </c>
      <c r="W209" s="129">
        <v>0</v>
      </c>
      <c r="X209" s="129">
        <v>0</v>
      </c>
      <c r="Y209" s="129">
        <v>0</v>
      </c>
      <c r="Z209" s="129">
        <v>0</v>
      </c>
      <c r="AA209" s="129">
        <v>0</v>
      </c>
      <c r="AB209" s="129">
        <v>0</v>
      </c>
      <c r="AC209" s="129">
        <v>0</v>
      </c>
      <c r="AD209" s="129">
        <v>0</v>
      </c>
      <c r="AE209" s="129">
        <v>0</v>
      </c>
      <c r="AF209" s="129">
        <v>0</v>
      </c>
      <c r="AG209" s="129">
        <v>0</v>
      </c>
      <c r="AH209" s="129">
        <v>0</v>
      </c>
      <c r="AI209" s="129">
        <v>0</v>
      </c>
      <c r="AJ209" s="129">
        <v>0</v>
      </c>
      <c r="AK209" s="129">
        <v>0</v>
      </c>
      <c r="AL209" s="129">
        <v>0</v>
      </c>
      <c r="AM209" s="662" t="s">
        <v>281</v>
      </c>
      <c r="AN209" s="324" t="s">
        <v>576</v>
      </c>
      <c r="AO209" s="669" t="s">
        <v>485</v>
      </c>
      <c r="AP209" s="529" t="s">
        <v>1415</v>
      </c>
    </row>
    <row r="210" spans="1:42" ht="12.75" x14ac:dyDescent="0.2">
      <c r="A210" s="664">
        <v>203</v>
      </c>
      <c r="B210" s="665" t="s">
        <v>284</v>
      </c>
      <c r="C210" s="666" t="s">
        <v>1201</v>
      </c>
      <c r="D210" s="667" t="s">
        <v>1218</v>
      </c>
      <c r="E210" s="668" t="s">
        <v>283</v>
      </c>
      <c r="F210" s="129">
        <v>14012926</v>
      </c>
      <c r="G210" s="129">
        <v>0</v>
      </c>
      <c r="H210" s="129">
        <v>14012926</v>
      </c>
      <c r="I210" s="129">
        <v>0</v>
      </c>
      <c r="J210" s="129">
        <v>0</v>
      </c>
      <c r="K210" s="129">
        <v>0</v>
      </c>
      <c r="L210" s="129">
        <v>0</v>
      </c>
      <c r="M210" s="129">
        <v>0</v>
      </c>
      <c r="N210" s="129">
        <v>0</v>
      </c>
      <c r="O210" s="129">
        <v>14012926</v>
      </c>
      <c r="P210" s="129">
        <v>0</v>
      </c>
      <c r="Q210" s="129">
        <v>14012926</v>
      </c>
      <c r="R210" s="129">
        <v>0</v>
      </c>
      <c r="S210" s="129">
        <v>0</v>
      </c>
      <c r="T210" s="129">
        <v>0</v>
      </c>
      <c r="U210" s="129">
        <v>0</v>
      </c>
      <c r="V210" s="129">
        <v>0</v>
      </c>
      <c r="W210" s="129">
        <v>0</v>
      </c>
      <c r="X210" s="129">
        <v>0</v>
      </c>
      <c r="Y210" s="129">
        <v>0</v>
      </c>
      <c r="Z210" s="129">
        <v>0</v>
      </c>
      <c r="AA210" s="129">
        <v>0</v>
      </c>
      <c r="AB210" s="129">
        <v>0</v>
      </c>
      <c r="AC210" s="129">
        <v>0</v>
      </c>
      <c r="AD210" s="129">
        <v>0</v>
      </c>
      <c r="AE210" s="129">
        <v>0</v>
      </c>
      <c r="AF210" s="129">
        <v>0</v>
      </c>
      <c r="AG210" s="129">
        <v>0</v>
      </c>
      <c r="AH210" s="129">
        <v>0</v>
      </c>
      <c r="AI210" s="129">
        <v>0</v>
      </c>
      <c r="AJ210" s="129">
        <v>0</v>
      </c>
      <c r="AK210" s="129">
        <v>0</v>
      </c>
      <c r="AL210" s="129">
        <v>0</v>
      </c>
      <c r="AM210" s="662" t="s">
        <v>283</v>
      </c>
      <c r="AN210" s="324" t="s">
        <v>556</v>
      </c>
      <c r="AO210" s="663" t="s">
        <v>555</v>
      </c>
      <c r="AP210" s="529" t="s">
        <v>1416</v>
      </c>
    </row>
    <row r="211" spans="1:42" ht="12.75" x14ac:dyDescent="0.2">
      <c r="A211" s="664">
        <v>204</v>
      </c>
      <c r="B211" s="665" t="s">
        <v>286</v>
      </c>
      <c r="C211" s="666" t="s">
        <v>1217</v>
      </c>
      <c r="D211" s="667" t="s">
        <v>1204</v>
      </c>
      <c r="E211" s="668" t="s">
        <v>285</v>
      </c>
      <c r="F211" s="129">
        <v>69496891</v>
      </c>
      <c r="G211" s="129">
        <v>0</v>
      </c>
      <c r="H211" s="129">
        <v>69496891</v>
      </c>
      <c r="I211" s="129">
        <v>-3000000</v>
      </c>
      <c r="J211" s="129">
        <v>0</v>
      </c>
      <c r="K211" s="129">
        <v>-3000000</v>
      </c>
      <c r="L211" s="129">
        <v>-3910777</v>
      </c>
      <c r="M211" s="129">
        <v>0</v>
      </c>
      <c r="N211" s="129">
        <v>-3910777</v>
      </c>
      <c r="O211" s="129">
        <v>62586114</v>
      </c>
      <c r="P211" s="129">
        <v>0</v>
      </c>
      <c r="Q211" s="129">
        <v>62586114</v>
      </c>
      <c r="R211" s="129">
        <v>582838</v>
      </c>
      <c r="S211" s="129">
        <v>0</v>
      </c>
      <c r="T211" s="129">
        <v>582838</v>
      </c>
      <c r="U211" s="129">
        <v>0</v>
      </c>
      <c r="V211" s="129">
        <v>0</v>
      </c>
      <c r="W211" s="129">
        <v>0</v>
      </c>
      <c r="X211" s="129">
        <v>0</v>
      </c>
      <c r="Y211" s="129">
        <v>0</v>
      </c>
      <c r="Z211" s="129">
        <v>0</v>
      </c>
      <c r="AA211" s="129">
        <v>0</v>
      </c>
      <c r="AB211" s="129">
        <v>0</v>
      </c>
      <c r="AC211" s="129">
        <v>0</v>
      </c>
      <c r="AD211" s="129">
        <v>0</v>
      </c>
      <c r="AE211" s="129">
        <v>0</v>
      </c>
      <c r="AF211" s="129">
        <v>0</v>
      </c>
      <c r="AG211" s="129">
        <v>0</v>
      </c>
      <c r="AH211" s="129">
        <v>0</v>
      </c>
      <c r="AI211" s="129">
        <v>0</v>
      </c>
      <c r="AJ211" s="129">
        <v>0</v>
      </c>
      <c r="AK211" s="129">
        <v>0</v>
      </c>
      <c r="AL211" s="129">
        <v>0</v>
      </c>
      <c r="AM211" s="662" t="s">
        <v>285</v>
      </c>
      <c r="AN211" s="324" t="s">
        <v>570</v>
      </c>
      <c r="AO211" s="663" t="s">
        <v>1915</v>
      </c>
      <c r="AP211" s="529" t="s">
        <v>1417</v>
      </c>
    </row>
    <row r="212" spans="1:42" ht="12.75" x14ac:dyDescent="0.2">
      <c r="A212" s="664">
        <v>205</v>
      </c>
      <c r="B212" s="665" t="s">
        <v>288</v>
      </c>
      <c r="C212" s="666" t="s">
        <v>1201</v>
      </c>
      <c r="D212" s="667" t="s">
        <v>1211</v>
      </c>
      <c r="E212" s="668" t="s">
        <v>287</v>
      </c>
      <c r="F212" s="129">
        <v>17661987</v>
      </c>
      <c r="G212" s="129">
        <v>0</v>
      </c>
      <c r="H212" s="129">
        <v>17661987</v>
      </c>
      <c r="I212" s="129">
        <v>-649961</v>
      </c>
      <c r="J212" s="129">
        <v>0</v>
      </c>
      <c r="K212" s="129">
        <v>-649961</v>
      </c>
      <c r="L212" s="129">
        <v>-874138</v>
      </c>
      <c r="M212" s="129">
        <v>0</v>
      </c>
      <c r="N212" s="129">
        <v>-874138</v>
      </c>
      <c r="O212" s="129">
        <v>16137888</v>
      </c>
      <c r="P212" s="129">
        <v>0</v>
      </c>
      <c r="Q212" s="129">
        <v>16137888</v>
      </c>
      <c r="R212" s="129">
        <v>48920</v>
      </c>
      <c r="S212" s="129">
        <v>0</v>
      </c>
      <c r="T212" s="129">
        <v>48920</v>
      </c>
      <c r="U212" s="129">
        <v>0</v>
      </c>
      <c r="V212" s="129">
        <v>0</v>
      </c>
      <c r="W212" s="129">
        <v>0</v>
      </c>
      <c r="X212" s="129">
        <v>0</v>
      </c>
      <c r="Y212" s="129">
        <v>0</v>
      </c>
      <c r="Z212" s="129">
        <v>0</v>
      </c>
      <c r="AA212" s="129">
        <v>0</v>
      </c>
      <c r="AB212" s="129">
        <v>0</v>
      </c>
      <c r="AC212" s="129">
        <v>0</v>
      </c>
      <c r="AD212" s="129">
        <v>0</v>
      </c>
      <c r="AE212" s="129">
        <v>0</v>
      </c>
      <c r="AF212" s="129">
        <v>0</v>
      </c>
      <c r="AG212" s="129">
        <v>0</v>
      </c>
      <c r="AH212" s="129">
        <v>0</v>
      </c>
      <c r="AI212" s="129">
        <v>0</v>
      </c>
      <c r="AJ212" s="129">
        <v>0</v>
      </c>
      <c r="AK212" s="129">
        <v>0</v>
      </c>
      <c r="AL212" s="129">
        <v>0</v>
      </c>
      <c r="AM212" s="662" t="s">
        <v>287</v>
      </c>
      <c r="AN212" s="324" t="s">
        <v>528</v>
      </c>
      <c r="AO212" s="663" t="s">
        <v>1913</v>
      </c>
      <c r="AP212" s="529" t="s">
        <v>1418</v>
      </c>
    </row>
    <row r="213" spans="1:42" ht="12.75" x14ac:dyDescent="0.2">
      <c r="A213" s="664">
        <v>206</v>
      </c>
      <c r="B213" s="665" t="s">
        <v>290</v>
      </c>
      <c r="C213" s="666" t="s">
        <v>1201</v>
      </c>
      <c r="D213" s="667" t="s">
        <v>1204</v>
      </c>
      <c r="E213" s="668" t="s">
        <v>289</v>
      </c>
      <c r="F213" s="129">
        <v>13324906</v>
      </c>
      <c r="G213" s="129">
        <v>0</v>
      </c>
      <c r="H213" s="129">
        <v>13324906</v>
      </c>
      <c r="I213" s="129">
        <v>-500000</v>
      </c>
      <c r="J213" s="129">
        <v>0</v>
      </c>
      <c r="K213" s="129">
        <v>-500000</v>
      </c>
      <c r="L213" s="129">
        <v>-530000</v>
      </c>
      <c r="M213" s="129">
        <v>0</v>
      </c>
      <c r="N213" s="129">
        <v>-530000</v>
      </c>
      <c r="O213" s="129">
        <v>12294906</v>
      </c>
      <c r="P213" s="129">
        <v>0</v>
      </c>
      <c r="Q213" s="129">
        <v>12294906</v>
      </c>
      <c r="R213" s="129">
        <v>183341</v>
      </c>
      <c r="S213" s="129">
        <v>0</v>
      </c>
      <c r="T213" s="129">
        <v>183341</v>
      </c>
      <c r="U213" s="129">
        <v>0</v>
      </c>
      <c r="V213" s="129">
        <v>0</v>
      </c>
      <c r="W213" s="129">
        <v>0</v>
      </c>
      <c r="X213" s="129">
        <v>0</v>
      </c>
      <c r="Y213" s="129">
        <v>0</v>
      </c>
      <c r="Z213" s="129">
        <v>0</v>
      </c>
      <c r="AA213" s="129">
        <v>0</v>
      </c>
      <c r="AB213" s="129">
        <v>0</v>
      </c>
      <c r="AC213" s="129">
        <v>0</v>
      </c>
      <c r="AD213" s="129">
        <v>0</v>
      </c>
      <c r="AE213" s="129">
        <v>0</v>
      </c>
      <c r="AF213" s="129">
        <v>0</v>
      </c>
      <c r="AG213" s="129">
        <v>0</v>
      </c>
      <c r="AH213" s="129">
        <v>0</v>
      </c>
      <c r="AI213" s="129">
        <v>0</v>
      </c>
      <c r="AJ213" s="129">
        <v>0</v>
      </c>
      <c r="AK213" s="129">
        <v>0</v>
      </c>
      <c r="AL213" s="129">
        <v>0</v>
      </c>
      <c r="AM213" s="662" t="s">
        <v>289</v>
      </c>
      <c r="AN213" s="324" t="s">
        <v>547</v>
      </c>
      <c r="AO213" s="663" t="s">
        <v>545</v>
      </c>
      <c r="AP213" s="529" t="s">
        <v>1419</v>
      </c>
    </row>
    <row r="214" spans="1:42" ht="12.75" x14ac:dyDescent="0.2">
      <c r="A214" s="664">
        <v>207</v>
      </c>
      <c r="B214" s="665" t="s">
        <v>292</v>
      </c>
      <c r="C214" s="666" t="s">
        <v>1201</v>
      </c>
      <c r="D214" s="667" t="s">
        <v>1202</v>
      </c>
      <c r="E214" s="668" t="s">
        <v>291</v>
      </c>
      <c r="F214" s="129">
        <v>19901307</v>
      </c>
      <c r="G214" s="129">
        <v>0</v>
      </c>
      <c r="H214" s="129">
        <v>19901307</v>
      </c>
      <c r="I214" s="129">
        <v>-298520</v>
      </c>
      <c r="J214" s="129">
        <v>0</v>
      </c>
      <c r="K214" s="129">
        <v>-298520</v>
      </c>
      <c r="L214" s="129">
        <v>-1444348</v>
      </c>
      <c r="M214" s="129">
        <v>0</v>
      </c>
      <c r="N214" s="129">
        <v>-1444348</v>
      </c>
      <c r="O214" s="129">
        <v>18158439</v>
      </c>
      <c r="P214" s="129">
        <v>0</v>
      </c>
      <c r="Q214" s="129">
        <v>18158439</v>
      </c>
      <c r="R214" s="129">
        <v>0</v>
      </c>
      <c r="S214" s="129">
        <v>0</v>
      </c>
      <c r="T214" s="129">
        <v>0</v>
      </c>
      <c r="U214" s="129">
        <v>0</v>
      </c>
      <c r="V214" s="129">
        <v>0</v>
      </c>
      <c r="W214" s="129">
        <v>0</v>
      </c>
      <c r="X214" s="129">
        <v>0</v>
      </c>
      <c r="Y214" s="129">
        <v>0</v>
      </c>
      <c r="Z214" s="129">
        <v>0</v>
      </c>
      <c r="AA214" s="129">
        <v>0</v>
      </c>
      <c r="AB214" s="129">
        <v>0</v>
      </c>
      <c r="AC214" s="129">
        <v>0</v>
      </c>
      <c r="AD214" s="129">
        <v>0</v>
      </c>
      <c r="AE214" s="129">
        <v>0</v>
      </c>
      <c r="AF214" s="129">
        <v>0</v>
      </c>
      <c r="AG214" s="129">
        <v>0</v>
      </c>
      <c r="AH214" s="129">
        <v>0</v>
      </c>
      <c r="AI214" s="129">
        <v>0</v>
      </c>
      <c r="AJ214" s="129">
        <v>0</v>
      </c>
      <c r="AK214" s="129">
        <v>0</v>
      </c>
      <c r="AL214" s="129">
        <v>0</v>
      </c>
      <c r="AM214" s="662" t="s">
        <v>291</v>
      </c>
      <c r="AN214" s="324" t="s">
        <v>525</v>
      </c>
      <c r="AO214" s="663" t="s">
        <v>524</v>
      </c>
      <c r="AP214" s="529" t="s">
        <v>1420</v>
      </c>
    </row>
    <row r="215" spans="1:42" ht="12.75" x14ac:dyDescent="0.2">
      <c r="A215" s="664">
        <v>208</v>
      </c>
      <c r="B215" s="665" t="s">
        <v>294</v>
      </c>
      <c r="C215" s="666" t="s">
        <v>1217</v>
      </c>
      <c r="D215" s="667" t="s">
        <v>1218</v>
      </c>
      <c r="E215" s="668" t="s">
        <v>293</v>
      </c>
      <c r="F215" s="129">
        <v>76415552</v>
      </c>
      <c r="G215" s="129">
        <v>960775</v>
      </c>
      <c r="H215" s="129">
        <v>77376327</v>
      </c>
      <c r="I215" s="129">
        <v>-1200000</v>
      </c>
      <c r="J215" s="129">
        <v>0</v>
      </c>
      <c r="K215" s="129">
        <v>-1200000</v>
      </c>
      <c r="L215" s="129">
        <v>-3566187</v>
      </c>
      <c r="M215" s="129">
        <v>0</v>
      </c>
      <c r="N215" s="129">
        <v>-3566187</v>
      </c>
      <c r="O215" s="129">
        <v>71649365</v>
      </c>
      <c r="P215" s="129">
        <v>960775</v>
      </c>
      <c r="Q215" s="129">
        <v>72610140</v>
      </c>
      <c r="R215" s="129">
        <v>367423</v>
      </c>
      <c r="S215" s="129">
        <v>0</v>
      </c>
      <c r="T215" s="129">
        <v>367423</v>
      </c>
      <c r="U215" s="129">
        <v>0</v>
      </c>
      <c r="V215" s="129">
        <v>0</v>
      </c>
      <c r="W215" s="129">
        <v>0</v>
      </c>
      <c r="X215" s="129">
        <v>0</v>
      </c>
      <c r="Y215" s="129">
        <v>344390</v>
      </c>
      <c r="Z215" s="129">
        <v>616385</v>
      </c>
      <c r="AA215" s="129">
        <v>616385</v>
      </c>
      <c r="AB215" s="129">
        <v>0</v>
      </c>
      <c r="AC215" s="129">
        <v>0</v>
      </c>
      <c r="AD215" s="129">
        <v>0</v>
      </c>
      <c r="AE215" s="129">
        <v>0</v>
      </c>
      <c r="AF215" s="129">
        <v>104809</v>
      </c>
      <c r="AG215" s="129">
        <v>104809</v>
      </c>
      <c r="AH215" s="129">
        <v>0</v>
      </c>
      <c r="AI215" s="129">
        <v>0</v>
      </c>
      <c r="AJ215" s="129">
        <v>0</v>
      </c>
      <c r="AK215" s="129">
        <v>104809</v>
      </c>
      <c r="AL215" s="129">
        <v>104809</v>
      </c>
      <c r="AM215" s="662" t="s">
        <v>293</v>
      </c>
      <c r="AN215" s="324" t="s">
        <v>570</v>
      </c>
      <c r="AO215" s="663" t="s">
        <v>572</v>
      </c>
      <c r="AP215" s="529" t="s">
        <v>1421</v>
      </c>
    </row>
    <row r="216" spans="1:42" ht="12.75" x14ac:dyDescent="0.2">
      <c r="A216" s="664">
        <v>209</v>
      </c>
      <c r="B216" s="665" t="s">
        <v>296</v>
      </c>
      <c r="C216" s="666" t="s">
        <v>1201</v>
      </c>
      <c r="D216" s="667" t="s">
        <v>1228</v>
      </c>
      <c r="E216" s="668" t="s">
        <v>295</v>
      </c>
      <c r="F216" s="129">
        <v>56763957</v>
      </c>
      <c r="G216" s="129">
        <v>0</v>
      </c>
      <c r="H216" s="129">
        <v>56763957</v>
      </c>
      <c r="I216" s="129">
        <v>-233000</v>
      </c>
      <c r="J216" s="129">
        <v>0</v>
      </c>
      <c r="K216" s="129">
        <v>-233000</v>
      </c>
      <c r="L216" s="129">
        <v>-4257554</v>
      </c>
      <c r="M216" s="129">
        <v>0</v>
      </c>
      <c r="N216" s="129">
        <v>-4257554</v>
      </c>
      <c r="O216" s="129">
        <v>52273403</v>
      </c>
      <c r="P216" s="129">
        <v>0</v>
      </c>
      <c r="Q216" s="129">
        <v>52273403</v>
      </c>
      <c r="R216" s="129">
        <v>0</v>
      </c>
      <c r="S216" s="129">
        <v>0</v>
      </c>
      <c r="T216" s="129">
        <v>0</v>
      </c>
      <c r="U216" s="129">
        <v>0</v>
      </c>
      <c r="V216" s="129">
        <v>0</v>
      </c>
      <c r="W216" s="129">
        <v>0</v>
      </c>
      <c r="X216" s="129">
        <v>0</v>
      </c>
      <c r="Y216" s="129">
        <v>0</v>
      </c>
      <c r="Z216" s="129">
        <v>0</v>
      </c>
      <c r="AA216" s="129">
        <v>0</v>
      </c>
      <c r="AB216" s="129">
        <v>0</v>
      </c>
      <c r="AC216" s="129">
        <v>0</v>
      </c>
      <c r="AD216" s="129">
        <v>0</v>
      </c>
      <c r="AE216" s="129">
        <v>0</v>
      </c>
      <c r="AF216" s="129">
        <v>0</v>
      </c>
      <c r="AG216" s="129">
        <v>0</v>
      </c>
      <c r="AH216" s="129">
        <v>0</v>
      </c>
      <c r="AI216" s="129">
        <v>0</v>
      </c>
      <c r="AJ216" s="129">
        <v>0</v>
      </c>
      <c r="AK216" s="129">
        <v>0</v>
      </c>
      <c r="AL216" s="129">
        <v>0</v>
      </c>
      <c r="AM216" s="662" t="s">
        <v>295</v>
      </c>
      <c r="AN216" s="324" t="s">
        <v>567</v>
      </c>
      <c r="AO216" s="663" t="s">
        <v>512</v>
      </c>
      <c r="AP216" s="529" t="s">
        <v>1422</v>
      </c>
    </row>
    <row r="217" spans="1:42" ht="14.25" x14ac:dyDescent="0.2">
      <c r="A217" s="664">
        <v>210</v>
      </c>
      <c r="B217" s="665" t="s">
        <v>298</v>
      </c>
      <c r="C217" s="666" t="s">
        <v>1201</v>
      </c>
      <c r="D217" s="667" t="s">
        <v>1202</v>
      </c>
      <c r="E217" s="668" t="s">
        <v>1869</v>
      </c>
      <c r="F217" s="129">
        <v>60953725</v>
      </c>
      <c r="G217" s="129">
        <v>751993</v>
      </c>
      <c r="H217" s="129">
        <v>61705718</v>
      </c>
      <c r="I217" s="129">
        <v>0</v>
      </c>
      <c r="J217" s="129">
        <v>0</v>
      </c>
      <c r="K217" s="129">
        <v>0</v>
      </c>
      <c r="L217" s="129">
        <v>0</v>
      </c>
      <c r="M217" s="129">
        <v>0</v>
      </c>
      <c r="N217" s="129">
        <v>0</v>
      </c>
      <c r="O217" s="129">
        <v>60953725</v>
      </c>
      <c r="P217" s="129">
        <v>751993</v>
      </c>
      <c r="Q217" s="129">
        <v>61705718</v>
      </c>
      <c r="R217" s="129">
        <v>0</v>
      </c>
      <c r="S217" s="129">
        <v>0</v>
      </c>
      <c r="T217" s="129">
        <v>0</v>
      </c>
      <c r="U217" s="129">
        <v>0</v>
      </c>
      <c r="V217" s="129">
        <v>0</v>
      </c>
      <c r="W217" s="129">
        <v>0</v>
      </c>
      <c r="X217" s="129">
        <v>0</v>
      </c>
      <c r="Y217" s="129">
        <v>645360</v>
      </c>
      <c r="Z217" s="129">
        <v>106633</v>
      </c>
      <c r="AA217" s="129">
        <v>106633</v>
      </c>
      <c r="AB217" s="129">
        <v>0</v>
      </c>
      <c r="AC217" s="129">
        <v>0</v>
      </c>
      <c r="AD217" s="129">
        <v>0</v>
      </c>
      <c r="AE217" s="129">
        <v>0</v>
      </c>
      <c r="AF217" s="129">
        <v>0</v>
      </c>
      <c r="AG217" s="129">
        <v>0</v>
      </c>
      <c r="AH217" s="129">
        <v>0</v>
      </c>
      <c r="AI217" s="129">
        <v>0</v>
      </c>
      <c r="AJ217" s="129">
        <v>0</v>
      </c>
      <c r="AK217" s="129">
        <v>0</v>
      </c>
      <c r="AL217" s="129">
        <v>0</v>
      </c>
      <c r="AM217" s="662" t="s">
        <v>297</v>
      </c>
      <c r="AN217" s="324" t="s">
        <v>566</v>
      </c>
      <c r="AO217" s="663" t="s">
        <v>512</v>
      </c>
      <c r="AP217" s="529" t="s">
        <v>1423</v>
      </c>
    </row>
    <row r="218" spans="1:42" ht="12.75" x14ac:dyDescent="0.2">
      <c r="A218" s="664">
        <v>211</v>
      </c>
      <c r="B218" s="665" t="s">
        <v>300</v>
      </c>
      <c r="C218" s="666" t="s">
        <v>1201</v>
      </c>
      <c r="D218" s="667" t="s">
        <v>1206</v>
      </c>
      <c r="E218" s="668" t="s">
        <v>299</v>
      </c>
      <c r="F218" s="129">
        <v>33111520</v>
      </c>
      <c r="G218" s="129">
        <v>0</v>
      </c>
      <c r="H218" s="129">
        <v>33111520</v>
      </c>
      <c r="I218" s="129">
        <v>-186750</v>
      </c>
      <c r="J218" s="129">
        <v>0</v>
      </c>
      <c r="K218" s="129">
        <v>-186750</v>
      </c>
      <c r="L218" s="129">
        <v>-1500000</v>
      </c>
      <c r="M218" s="129">
        <v>0</v>
      </c>
      <c r="N218" s="129">
        <v>-1500000</v>
      </c>
      <c r="O218" s="129">
        <v>31424770</v>
      </c>
      <c r="P218" s="129">
        <v>0</v>
      </c>
      <c r="Q218" s="129">
        <v>31424770</v>
      </c>
      <c r="R218" s="129">
        <v>461238</v>
      </c>
      <c r="S218" s="129">
        <v>0</v>
      </c>
      <c r="T218" s="129">
        <v>461238</v>
      </c>
      <c r="U218" s="129">
        <v>0</v>
      </c>
      <c r="V218" s="129">
        <v>0</v>
      </c>
      <c r="W218" s="129">
        <v>0</v>
      </c>
      <c r="X218" s="129">
        <v>0</v>
      </c>
      <c r="Y218" s="129">
        <v>0</v>
      </c>
      <c r="Z218" s="129">
        <v>0</v>
      </c>
      <c r="AA218" s="129">
        <v>0</v>
      </c>
      <c r="AB218" s="129">
        <v>0</v>
      </c>
      <c r="AC218" s="129">
        <v>0</v>
      </c>
      <c r="AD218" s="129">
        <v>0</v>
      </c>
      <c r="AE218" s="129">
        <v>0</v>
      </c>
      <c r="AF218" s="129">
        <v>0</v>
      </c>
      <c r="AG218" s="129">
        <v>0</v>
      </c>
      <c r="AH218" s="129">
        <v>0</v>
      </c>
      <c r="AI218" s="129">
        <v>0</v>
      </c>
      <c r="AJ218" s="129">
        <v>0</v>
      </c>
      <c r="AK218" s="129">
        <v>0</v>
      </c>
      <c r="AL218" s="129">
        <v>0</v>
      </c>
      <c r="AM218" s="662" t="s">
        <v>299</v>
      </c>
      <c r="AN218" s="324" t="s">
        <v>559</v>
      </c>
      <c r="AO218" s="663" t="s">
        <v>558</v>
      </c>
      <c r="AP218" s="529" t="s">
        <v>1424</v>
      </c>
    </row>
    <row r="219" spans="1:42" ht="12.75" x14ac:dyDescent="0.2">
      <c r="A219" s="664">
        <v>212</v>
      </c>
      <c r="B219" s="665" t="s">
        <v>302</v>
      </c>
      <c r="C219" s="666" t="s">
        <v>1201</v>
      </c>
      <c r="D219" s="667" t="s">
        <v>1202</v>
      </c>
      <c r="E219" s="668" t="s">
        <v>301</v>
      </c>
      <c r="F219" s="129">
        <v>52962522</v>
      </c>
      <c r="G219" s="129">
        <v>0</v>
      </c>
      <c r="H219" s="129">
        <v>52962522</v>
      </c>
      <c r="I219" s="129">
        <v>-550000</v>
      </c>
      <c r="J219" s="129">
        <v>0</v>
      </c>
      <c r="K219" s="129">
        <v>-550000</v>
      </c>
      <c r="L219" s="129">
        <v>-2519803</v>
      </c>
      <c r="M219" s="129">
        <v>0</v>
      </c>
      <c r="N219" s="129">
        <v>-2519803</v>
      </c>
      <c r="O219" s="129">
        <v>49892719</v>
      </c>
      <c r="P219" s="129">
        <v>0</v>
      </c>
      <c r="Q219" s="129">
        <v>49892719</v>
      </c>
      <c r="R219" s="129">
        <v>0</v>
      </c>
      <c r="S219" s="129">
        <v>0</v>
      </c>
      <c r="T219" s="129">
        <v>0</v>
      </c>
      <c r="U219" s="129">
        <v>0</v>
      </c>
      <c r="V219" s="129">
        <v>0</v>
      </c>
      <c r="W219" s="129">
        <v>0</v>
      </c>
      <c r="X219" s="129">
        <v>0</v>
      </c>
      <c r="Y219" s="129">
        <v>0</v>
      </c>
      <c r="Z219" s="129">
        <v>0</v>
      </c>
      <c r="AA219" s="129">
        <v>0</v>
      </c>
      <c r="AB219" s="129">
        <v>0</v>
      </c>
      <c r="AC219" s="129">
        <v>0</v>
      </c>
      <c r="AD219" s="129">
        <v>0</v>
      </c>
      <c r="AE219" s="129">
        <v>0</v>
      </c>
      <c r="AF219" s="129">
        <v>0</v>
      </c>
      <c r="AG219" s="129">
        <v>0</v>
      </c>
      <c r="AH219" s="129">
        <v>0</v>
      </c>
      <c r="AI219" s="129">
        <v>0</v>
      </c>
      <c r="AJ219" s="129">
        <v>0</v>
      </c>
      <c r="AK219" s="129">
        <v>0</v>
      </c>
      <c r="AL219" s="129">
        <v>0</v>
      </c>
      <c r="AM219" s="662" t="s">
        <v>301</v>
      </c>
      <c r="AN219" s="324" t="s">
        <v>532</v>
      </c>
      <c r="AO219" s="663" t="s">
        <v>1914</v>
      </c>
      <c r="AP219" s="529" t="s">
        <v>1425</v>
      </c>
    </row>
    <row r="220" spans="1:42" ht="12.75" x14ac:dyDescent="0.2">
      <c r="A220" s="664">
        <v>213</v>
      </c>
      <c r="B220" s="665" t="s">
        <v>303</v>
      </c>
      <c r="C220" s="666" t="s">
        <v>486</v>
      </c>
      <c r="D220" s="667" t="s">
        <v>1206</v>
      </c>
      <c r="E220" s="668" t="s">
        <v>550</v>
      </c>
      <c r="F220" s="129">
        <v>12182552</v>
      </c>
      <c r="G220" s="129">
        <v>0</v>
      </c>
      <c r="H220" s="129">
        <v>12182552</v>
      </c>
      <c r="I220" s="129">
        <v>-30000</v>
      </c>
      <c r="J220" s="129">
        <v>0</v>
      </c>
      <c r="K220" s="129">
        <v>-30000</v>
      </c>
      <c r="L220" s="129">
        <v>-570200</v>
      </c>
      <c r="M220" s="129">
        <v>0</v>
      </c>
      <c r="N220" s="129">
        <v>-570200</v>
      </c>
      <c r="O220" s="129">
        <v>11582352</v>
      </c>
      <c r="P220" s="129">
        <v>0</v>
      </c>
      <c r="Q220" s="129">
        <v>11582352</v>
      </c>
      <c r="R220" s="129">
        <v>35968</v>
      </c>
      <c r="S220" s="129">
        <v>0</v>
      </c>
      <c r="T220" s="129">
        <v>35968</v>
      </c>
      <c r="U220" s="129">
        <v>0</v>
      </c>
      <c r="V220" s="129">
        <v>0</v>
      </c>
      <c r="W220" s="129">
        <v>0</v>
      </c>
      <c r="X220" s="129">
        <v>0</v>
      </c>
      <c r="Y220" s="129">
        <v>0</v>
      </c>
      <c r="Z220" s="129">
        <v>0</v>
      </c>
      <c r="AA220" s="129">
        <v>0</v>
      </c>
      <c r="AB220" s="129">
        <v>0</v>
      </c>
      <c r="AC220" s="129">
        <v>0</v>
      </c>
      <c r="AD220" s="129">
        <v>0</v>
      </c>
      <c r="AE220" s="129">
        <v>0</v>
      </c>
      <c r="AF220" s="129">
        <v>0</v>
      </c>
      <c r="AG220" s="129">
        <v>0</v>
      </c>
      <c r="AH220" s="129">
        <v>0</v>
      </c>
      <c r="AI220" s="129">
        <v>0</v>
      </c>
      <c r="AJ220" s="129">
        <v>0</v>
      </c>
      <c r="AK220" s="129">
        <v>0</v>
      </c>
      <c r="AL220" s="129">
        <v>0</v>
      </c>
      <c r="AM220" s="662" t="s">
        <v>550</v>
      </c>
      <c r="AN220" s="324" t="s">
        <v>486</v>
      </c>
      <c r="AO220" s="663" t="s">
        <v>549</v>
      </c>
      <c r="AP220" s="529" t="s">
        <v>1426</v>
      </c>
    </row>
    <row r="221" spans="1:42" ht="12.75" x14ac:dyDescent="0.2">
      <c r="A221" s="664">
        <v>214</v>
      </c>
      <c r="B221" s="665" t="s">
        <v>305</v>
      </c>
      <c r="C221" s="666" t="s">
        <v>1201</v>
      </c>
      <c r="D221" s="667" t="s">
        <v>1218</v>
      </c>
      <c r="E221" s="668" t="s">
        <v>304</v>
      </c>
      <c r="F221" s="129">
        <v>19197786</v>
      </c>
      <c r="G221" s="129">
        <v>0</v>
      </c>
      <c r="H221" s="129">
        <v>19197786</v>
      </c>
      <c r="I221" s="129">
        <v>-173051</v>
      </c>
      <c r="J221" s="129">
        <v>0</v>
      </c>
      <c r="K221" s="129">
        <v>-173051</v>
      </c>
      <c r="L221" s="129">
        <v>-900634</v>
      </c>
      <c r="M221" s="129">
        <v>0</v>
      </c>
      <c r="N221" s="129">
        <v>-900634</v>
      </c>
      <c r="O221" s="129">
        <v>18124101</v>
      </c>
      <c r="P221" s="129">
        <v>0</v>
      </c>
      <c r="Q221" s="129">
        <v>18124101</v>
      </c>
      <c r="R221" s="129">
        <v>22455</v>
      </c>
      <c r="S221" s="129">
        <v>0</v>
      </c>
      <c r="T221" s="129">
        <v>22455</v>
      </c>
      <c r="U221" s="129">
        <v>0</v>
      </c>
      <c r="V221" s="129">
        <v>0</v>
      </c>
      <c r="W221" s="129">
        <v>0</v>
      </c>
      <c r="X221" s="129">
        <v>0</v>
      </c>
      <c r="Y221" s="129">
        <v>0</v>
      </c>
      <c r="Z221" s="129">
        <v>0</v>
      </c>
      <c r="AA221" s="129">
        <v>0</v>
      </c>
      <c r="AB221" s="129">
        <v>0</v>
      </c>
      <c r="AC221" s="129">
        <v>0</v>
      </c>
      <c r="AD221" s="129">
        <v>0</v>
      </c>
      <c r="AE221" s="129">
        <v>0</v>
      </c>
      <c r="AF221" s="129">
        <v>0</v>
      </c>
      <c r="AG221" s="129">
        <v>0</v>
      </c>
      <c r="AH221" s="129">
        <v>0</v>
      </c>
      <c r="AI221" s="129">
        <v>0</v>
      </c>
      <c r="AJ221" s="129">
        <v>0</v>
      </c>
      <c r="AK221" s="129">
        <v>0</v>
      </c>
      <c r="AL221" s="129">
        <v>0</v>
      </c>
      <c r="AM221" s="662" t="s">
        <v>304</v>
      </c>
      <c r="AN221" s="324" t="s">
        <v>556</v>
      </c>
      <c r="AO221" s="663" t="s">
        <v>555</v>
      </c>
      <c r="AP221" s="529" t="s">
        <v>1427</v>
      </c>
    </row>
    <row r="222" spans="1:42" ht="12.75" x14ac:dyDescent="0.2">
      <c r="A222" s="664">
        <v>215</v>
      </c>
      <c r="B222" s="665" t="s">
        <v>307</v>
      </c>
      <c r="C222" s="666" t="s">
        <v>1217</v>
      </c>
      <c r="D222" s="667" t="s">
        <v>1204</v>
      </c>
      <c r="E222" s="668" t="s">
        <v>306</v>
      </c>
      <c r="F222" s="129">
        <v>101881766</v>
      </c>
      <c r="G222" s="129">
        <v>0</v>
      </c>
      <c r="H222" s="129">
        <v>101881766</v>
      </c>
      <c r="I222" s="129">
        <v>-5094088</v>
      </c>
      <c r="J222" s="129">
        <v>0</v>
      </c>
      <c r="K222" s="129">
        <v>-5094088</v>
      </c>
      <c r="L222" s="129">
        <v>-5628908</v>
      </c>
      <c r="M222" s="129">
        <v>0</v>
      </c>
      <c r="N222" s="129">
        <v>-5628908</v>
      </c>
      <c r="O222" s="129">
        <v>91158770</v>
      </c>
      <c r="P222" s="129">
        <v>0</v>
      </c>
      <c r="Q222" s="129">
        <v>91158770</v>
      </c>
      <c r="R222" s="129">
        <v>0</v>
      </c>
      <c r="S222" s="129">
        <v>0</v>
      </c>
      <c r="T222" s="129">
        <v>0</v>
      </c>
      <c r="U222" s="129">
        <v>0</v>
      </c>
      <c r="V222" s="129">
        <v>0</v>
      </c>
      <c r="W222" s="129">
        <v>0</v>
      </c>
      <c r="X222" s="129">
        <v>0</v>
      </c>
      <c r="Y222" s="129">
        <v>0</v>
      </c>
      <c r="Z222" s="129">
        <v>0</v>
      </c>
      <c r="AA222" s="129">
        <v>0</v>
      </c>
      <c r="AB222" s="129">
        <v>0</v>
      </c>
      <c r="AC222" s="129">
        <v>0</v>
      </c>
      <c r="AD222" s="129">
        <v>0</v>
      </c>
      <c r="AE222" s="129">
        <v>0</v>
      </c>
      <c r="AF222" s="129">
        <v>0</v>
      </c>
      <c r="AG222" s="129">
        <v>0</v>
      </c>
      <c r="AH222" s="129">
        <v>0</v>
      </c>
      <c r="AI222" s="129">
        <v>0</v>
      </c>
      <c r="AJ222" s="129">
        <v>0</v>
      </c>
      <c r="AK222" s="129">
        <v>0</v>
      </c>
      <c r="AL222" s="129">
        <v>0</v>
      </c>
      <c r="AM222" s="662" t="s">
        <v>306</v>
      </c>
      <c r="AN222" s="324" t="s">
        <v>570</v>
      </c>
      <c r="AO222" s="663" t="s">
        <v>1915</v>
      </c>
      <c r="AP222" s="529" t="s">
        <v>1428</v>
      </c>
    </row>
    <row r="223" spans="1:42" ht="12.75" x14ac:dyDescent="0.2">
      <c r="A223" s="664">
        <v>216</v>
      </c>
      <c r="B223" s="665" t="s">
        <v>309</v>
      </c>
      <c r="C223" s="666" t="s">
        <v>1217</v>
      </c>
      <c r="D223" s="667" t="s">
        <v>1228</v>
      </c>
      <c r="E223" s="668" t="s">
        <v>308</v>
      </c>
      <c r="F223" s="129">
        <v>105921747</v>
      </c>
      <c r="G223" s="129">
        <v>0</v>
      </c>
      <c r="H223" s="129">
        <v>105921747</v>
      </c>
      <c r="I223" s="129">
        <v>-3500000</v>
      </c>
      <c r="J223" s="129">
        <v>0</v>
      </c>
      <c r="K223" s="129">
        <v>-3500000</v>
      </c>
      <c r="L223" s="129">
        <v>-1500000</v>
      </c>
      <c r="M223" s="129">
        <v>0</v>
      </c>
      <c r="N223" s="129">
        <v>-1500000</v>
      </c>
      <c r="O223" s="129">
        <v>100921747</v>
      </c>
      <c r="P223" s="129">
        <v>0</v>
      </c>
      <c r="Q223" s="129">
        <v>100921747</v>
      </c>
      <c r="R223" s="129">
        <v>0</v>
      </c>
      <c r="S223" s="129">
        <v>0</v>
      </c>
      <c r="T223" s="129">
        <v>0</v>
      </c>
      <c r="U223" s="129">
        <v>0</v>
      </c>
      <c r="V223" s="129">
        <v>0</v>
      </c>
      <c r="W223" s="129">
        <v>0</v>
      </c>
      <c r="X223" s="129">
        <v>0</v>
      </c>
      <c r="Y223" s="129">
        <v>0</v>
      </c>
      <c r="Z223" s="129">
        <v>0</v>
      </c>
      <c r="AA223" s="129">
        <v>0</v>
      </c>
      <c r="AB223" s="129">
        <v>0</v>
      </c>
      <c r="AC223" s="129">
        <v>0</v>
      </c>
      <c r="AD223" s="129">
        <v>0</v>
      </c>
      <c r="AE223" s="129">
        <v>0</v>
      </c>
      <c r="AF223" s="129">
        <v>0</v>
      </c>
      <c r="AG223" s="129">
        <v>0</v>
      </c>
      <c r="AH223" s="129">
        <v>0</v>
      </c>
      <c r="AI223" s="129">
        <v>0</v>
      </c>
      <c r="AJ223" s="129">
        <v>0</v>
      </c>
      <c r="AK223" s="129">
        <v>0</v>
      </c>
      <c r="AL223" s="129">
        <v>0</v>
      </c>
      <c r="AM223" s="662" t="s">
        <v>308</v>
      </c>
      <c r="AN223" s="324" t="s">
        <v>570</v>
      </c>
      <c r="AO223" s="663" t="s">
        <v>574</v>
      </c>
      <c r="AP223" s="529" t="s">
        <v>1429</v>
      </c>
    </row>
    <row r="224" spans="1:42" ht="12.75" x14ac:dyDescent="0.2">
      <c r="A224" s="664">
        <v>217</v>
      </c>
      <c r="B224" s="665" t="s">
        <v>311</v>
      </c>
      <c r="C224" s="666" t="s">
        <v>1201</v>
      </c>
      <c r="D224" s="667" t="s">
        <v>1218</v>
      </c>
      <c r="E224" s="668" t="s">
        <v>310</v>
      </c>
      <c r="F224" s="129">
        <v>37874319</v>
      </c>
      <c r="G224" s="129">
        <v>0</v>
      </c>
      <c r="H224" s="129">
        <v>37874319</v>
      </c>
      <c r="I224" s="129">
        <v>-500000</v>
      </c>
      <c r="J224" s="129">
        <v>0</v>
      </c>
      <c r="K224" s="129">
        <v>-500000</v>
      </c>
      <c r="L224" s="129">
        <v>-2000000</v>
      </c>
      <c r="M224" s="129">
        <v>0</v>
      </c>
      <c r="N224" s="129">
        <v>-2000000</v>
      </c>
      <c r="O224" s="129">
        <v>35374319</v>
      </c>
      <c r="P224" s="129">
        <v>0</v>
      </c>
      <c r="Q224" s="129">
        <v>35374319</v>
      </c>
      <c r="R224" s="129">
        <v>5000</v>
      </c>
      <c r="S224" s="129">
        <v>0</v>
      </c>
      <c r="T224" s="129">
        <v>5000</v>
      </c>
      <c r="U224" s="129">
        <v>0</v>
      </c>
      <c r="V224" s="129">
        <v>0</v>
      </c>
      <c r="W224" s="129">
        <v>0</v>
      </c>
      <c r="X224" s="129">
        <v>0</v>
      </c>
      <c r="Y224" s="129">
        <v>0</v>
      </c>
      <c r="Z224" s="129">
        <v>0</v>
      </c>
      <c r="AA224" s="129">
        <v>0</v>
      </c>
      <c r="AB224" s="129">
        <v>0</v>
      </c>
      <c r="AC224" s="129">
        <v>0</v>
      </c>
      <c r="AD224" s="129">
        <v>0</v>
      </c>
      <c r="AE224" s="129">
        <v>0</v>
      </c>
      <c r="AF224" s="129">
        <v>0</v>
      </c>
      <c r="AG224" s="129">
        <v>0</v>
      </c>
      <c r="AH224" s="129">
        <v>0</v>
      </c>
      <c r="AI224" s="129">
        <v>0</v>
      </c>
      <c r="AJ224" s="129">
        <v>0</v>
      </c>
      <c r="AK224" s="129">
        <v>0</v>
      </c>
      <c r="AL224" s="129">
        <v>0</v>
      </c>
      <c r="AM224" s="662" t="s">
        <v>310</v>
      </c>
      <c r="AN224" s="324" t="s">
        <v>556</v>
      </c>
      <c r="AO224" s="663" t="s">
        <v>555</v>
      </c>
      <c r="AP224" s="529" t="s">
        <v>1430</v>
      </c>
    </row>
    <row r="225" spans="1:42" ht="12.75" x14ac:dyDescent="0.2">
      <c r="A225" s="664">
        <v>218</v>
      </c>
      <c r="B225" s="665" t="s">
        <v>313</v>
      </c>
      <c r="C225" s="666" t="s">
        <v>1201</v>
      </c>
      <c r="D225" s="667" t="s">
        <v>1224</v>
      </c>
      <c r="E225" s="668" t="s">
        <v>312</v>
      </c>
      <c r="F225" s="129">
        <v>45543026</v>
      </c>
      <c r="G225" s="129">
        <v>18944</v>
      </c>
      <c r="H225" s="129">
        <v>45561970</v>
      </c>
      <c r="I225" s="129">
        <v>-341715</v>
      </c>
      <c r="J225" s="129">
        <v>0</v>
      </c>
      <c r="K225" s="129">
        <v>-341715</v>
      </c>
      <c r="L225" s="129">
        <v>-2023020</v>
      </c>
      <c r="M225" s="129">
        <v>0</v>
      </c>
      <c r="N225" s="129">
        <v>-2023020</v>
      </c>
      <c r="O225" s="129">
        <v>43178291</v>
      </c>
      <c r="P225" s="129">
        <v>18944</v>
      </c>
      <c r="Q225" s="129">
        <v>43197235</v>
      </c>
      <c r="R225" s="129">
        <v>227004</v>
      </c>
      <c r="S225" s="129">
        <v>0</v>
      </c>
      <c r="T225" s="129">
        <v>227004</v>
      </c>
      <c r="U225" s="129">
        <v>0</v>
      </c>
      <c r="V225" s="129">
        <v>0</v>
      </c>
      <c r="W225" s="129">
        <v>0</v>
      </c>
      <c r="X225" s="129">
        <v>0</v>
      </c>
      <c r="Y225" s="129">
        <v>22210</v>
      </c>
      <c r="Z225" s="129">
        <v>0</v>
      </c>
      <c r="AA225" s="129">
        <v>0</v>
      </c>
      <c r="AB225" s="129">
        <v>0</v>
      </c>
      <c r="AC225" s="129">
        <v>0</v>
      </c>
      <c r="AD225" s="129">
        <v>0</v>
      </c>
      <c r="AE225" s="129">
        <v>0</v>
      </c>
      <c r="AF225" s="129">
        <v>0</v>
      </c>
      <c r="AG225" s="129">
        <v>0</v>
      </c>
      <c r="AH225" s="129">
        <v>0</v>
      </c>
      <c r="AI225" s="129">
        <v>0</v>
      </c>
      <c r="AJ225" s="129">
        <v>0</v>
      </c>
      <c r="AK225" s="129">
        <v>0</v>
      </c>
      <c r="AL225" s="129">
        <v>0</v>
      </c>
      <c r="AM225" s="662" t="s">
        <v>312</v>
      </c>
      <c r="AN225" s="324" t="s">
        <v>562</v>
      </c>
      <c r="AO225" s="663" t="s">
        <v>519</v>
      </c>
      <c r="AP225" s="529" t="s">
        <v>1431</v>
      </c>
    </row>
    <row r="226" spans="1:42" ht="12.75" x14ac:dyDescent="0.2">
      <c r="A226" s="664">
        <v>219</v>
      </c>
      <c r="B226" s="665" t="s">
        <v>315</v>
      </c>
      <c r="C226" s="666" t="s">
        <v>1217</v>
      </c>
      <c r="D226" s="667" t="s">
        <v>1204</v>
      </c>
      <c r="E226" s="668" t="s">
        <v>314</v>
      </c>
      <c r="F226" s="129">
        <v>74313397</v>
      </c>
      <c r="G226" s="129">
        <v>0</v>
      </c>
      <c r="H226" s="129">
        <v>74313397</v>
      </c>
      <c r="I226" s="129">
        <v>-1400000</v>
      </c>
      <c r="J226" s="129">
        <v>0</v>
      </c>
      <c r="K226" s="129">
        <v>-1400000</v>
      </c>
      <c r="L226" s="129">
        <v>-3940000</v>
      </c>
      <c r="M226" s="129">
        <v>0</v>
      </c>
      <c r="N226" s="129">
        <v>-3940000</v>
      </c>
      <c r="O226" s="129">
        <v>68973397</v>
      </c>
      <c r="P226" s="129">
        <v>0</v>
      </c>
      <c r="Q226" s="129">
        <v>68973397</v>
      </c>
      <c r="R226" s="129">
        <v>0</v>
      </c>
      <c r="S226" s="129">
        <v>0</v>
      </c>
      <c r="T226" s="129">
        <v>0</v>
      </c>
      <c r="U226" s="129">
        <v>0</v>
      </c>
      <c r="V226" s="129">
        <v>0</v>
      </c>
      <c r="W226" s="129">
        <v>0</v>
      </c>
      <c r="X226" s="129">
        <v>0</v>
      </c>
      <c r="Y226" s="129">
        <v>0</v>
      </c>
      <c r="Z226" s="129">
        <v>0</v>
      </c>
      <c r="AA226" s="129">
        <v>0</v>
      </c>
      <c r="AB226" s="129">
        <v>0</v>
      </c>
      <c r="AC226" s="129">
        <v>0</v>
      </c>
      <c r="AD226" s="129">
        <v>0</v>
      </c>
      <c r="AE226" s="129">
        <v>0</v>
      </c>
      <c r="AF226" s="129">
        <v>0</v>
      </c>
      <c r="AG226" s="129">
        <v>0</v>
      </c>
      <c r="AH226" s="129">
        <v>0</v>
      </c>
      <c r="AI226" s="129">
        <v>0</v>
      </c>
      <c r="AJ226" s="129">
        <v>0</v>
      </c>
      <c r="AK226" s="129">
        <v>0</v>
      </c>
      <c r="AL226" s="129">
        <v>0</v>
      </c>
      <c r="AM226" s="662" t="s">
        <v>314</v>
      </c>
      <c r="AN226" s="324" t="s">
        <v>570</v>
      </c>
      <c r="AO226" s="663" t="s">
        <v>571</v>
      </c>
      <c r="AP226" s="529" t="s">
        <v>1432</v>
      </c>
    </row>
    <row r="227" spans="1:42" ht="12.75" x14ac:dyDescent="0.2">
      <c r="A227" s="664">
        <v>220</v>
      </c>
      <c r="B227" s="665" t="s">
        <v>317</v>
      </c>
      <c r="C227" s="666" t="s">
        <v>1201</v>
      </c>
      <c r="D227" s="667" t="s">
        <v>1218</v>
      </c>
      <c r="E227" s="668" t="s">
        <v>316</v>
      </c>
      <c r="F227" s="129">
        <v>39907213</v>
      </c>
      <c r="G227" s="129">
        <v>0</v>
      </c>
      <c r="H227" s="129">
        <v>39907213</v>
      </c>
      <c r="I227" s="129">
        <v>-726070</v>
      </c>
      <c r="J227" s="129">
        <v>0</v>
      </c>
      <c r="K227" s="129">
        <v>-726070</v>
      </c>
      <c r="L227" s="129">
        <v>-1875639</v>
      </c>
      <c r="M227" s="129">
        <v>0</v>
      </c>
      <c r="N227" s="129">
        <v>-1875639</v>
      </c>
      <c r="O227" s="129">
        <v>37305504</v>
      </c>
      <c r="P227" s="129">
        <v>0</v>
      </c>
      <c r="Q227" s="129">
        <v>37305504</v>
      </c>
      <c r="R227" s="129">
        <v>9013151</v>
      </c>
      <c r="S227" s="129">
        <v>0</v>
      </c>
      <c r="T227" s="129">
        <v>9013151</v>
      </c>
      <c r="U227" s="129">
        <v>0</v>
      </c>
      <c r="V227" s="129">
        <v>0</v>
      </c>
      <c r="W227" s="129">
        <v>0</v>
      </c>
      <c r="X227" s="129">
        <v>0</v>
      </c>
      <c r="Y227" s="129">
        <v>0</v>
      </c>
      <c r="Z227" s="129">
        <v>0</v>
      </c>
      <c r="AA227" s="129">
        <v>0</v>
      </c>
      <c r="AB227" s="129">
        <v>0</v>
      </c>
      <c r="AC227" s="129">
        <v>0</v>
      </c>
      <c r="AD227" s="129">
        <v>0</v>
      </c>
      <c r="AE227" s="129">
        <v>0</v>
      </c>
      <c r="AF227" s="129">
        <v>0</v>
      </c>
      <c r="AG227" s="129">
        <v>0</v>
      </c>
      <c r="AH227" s="129">
        <v>0</v>
      </c>
      <c r="AI227" s="129">
        <v>0</v>
      </c>
      <c r="AJ227" s="129">
        <v>0</v>
      </c>
      <c r="AK227" s="129">
        <v>0</v>
      </c>
      <c r="AL227" s="129">
        <v>0</v>
      </c>
      <c r="AM227" s="662" t="s">
        <v>316</v>
      </c>
      <c r="AN227" s="324" t="s">
        <v>556</v>
      </c>
      <c r="AO227" s="663" t="s">
        <v>555</v>
      </c>
      <c r="AP227" s="529" t="s">
        <v>1433</v>
      </c>
    </row>
    <row r="228" spans="1:42" ht="12.75" x14ac:dyDescent="0.2">
      <c r="A228" s="664">
        <v>221</v>
      </c>
      <c r="B228" s="665" t="s">
        <v>319</v>
      </c>
      <c r="C228" s="666" t="s">
        <v>1201</v>
      </c>
      <c r="D228" s="667" t="s">
        <v>1202</v>
      </c>
      <c r="E228" s="668" t="s">
        <v>318</v>
      </c>
      <c r="F228" s="129">
        <v>38713652</v>
      </c>
      <c r="G228" s="129">
        <v>0</v>
      </c>
      <c r="H228" s="129">
        <v>38713652</v>
      </c>
      <c r="I228" s="129">
        <v>-387000</v>
      </c>
      <c r="J228" s="129">
        <v>0</v>
      </c>
      <c r="K228" s="129">
        <v>-387000</v>
      </c>
      <c r="L228" s="129">
        <v>-1700000</v>
      </c>
      <c r="M228" s="129">
        <v>0</v>
      </c>
      <c r="N228" s="129">
        <v>-1700000</v>
      </c>
      <c r="O228" s="129">
        <v>36626652</v>
      </c>
      <c r="P228" s="129">
        <v>0</v>
      </c>
      <c r="Q228" s="129">
        <v>36626652</v>
      </c>
      <c r="R228" s="129">
        <v>0</v>
      </c>
      <c r="S228" s="129">
        <v>0</v>
      </c>
      <c r="T228" s="129">
        <v>0</v>
      </c>
      <c r="U228" s="129">
        <v>0</v>
      </c>
      <c r="V228" s="129">
        <v>0</v>
      </c>
      <c r="W228" s="129">
        <v>0</v>
      </c>
      <c r="X228" s="129">
        <v>0</v>
      </c>
      <c r="Y228" s="129">
        <v>0</v>
      </c>
      <c r="Z228" s="129">
        <v>0</v>
      </c>
      <c r="AA228" s="129">
        <v>0</v>
      </c>
      <c r="AB228" s="129">
        <v>0</v>
      </c>
      <c r="AC228" s="129">
        <v>0</v>
      </c>
      <c r="AD228" s="129">
        <v>0</v>
      </c>
      <c r="AE228" s="129">
        <v>0</v>
      </c>
      <c r="AF228" s="129">
        <v>0</v>
      </c>
      <c r="AG228" s="129">
        <v>0</v>
      </c>
      <c r="AH228" s="129">
        <v>0</v>
      </c>
      <c r="AI228" s="129">
        <v>0</v>
      </c>
      <c r="AJ228" s="129">
        <v>0</v>
      </c>
      <c r="AK228" s="129">
        <v>0</v>
      </c>
      <c r="AL228" s="129">
        <v>0</v>
      </c>
      <c r="AM228" s="662" t="s">
        <v>318</v>
      </c>
      <c r="AN228" s="324" t="s">
        <v>543</v>
      </c>
      <c r="AO228" s="663" t="s">
        <v>542</v>
      </c>
      <c r="AP228" s="529" t="s">
        <v>1434</v>
      </c>
    </row>
    <row r="229" spans="1:42" ht="12.75" x14ac:dyDescent="0.2">
      <c r="A229" s="664">
        <v>222</v>
      </c>
      <c r="B229" s="665" t="s">
        <v>321</v>
      </c>
      <c r="C229" s="666" t="s">
        <v>1217</v>
      </c>
      <c r="D229" s="667" t="s">
        <v>1218</v>
      </c>
      <c r="E229" s="668" t="s">
        <v>320</v>
      </c>
      <c r="F229" s="129">
        <v>215424608</v>
      </c>
      <c r="G229" s="129">
        <v>4255516</v>
      </c>
      <c r="H229" s="129">
        <v>219680124</v>
      </c>
      <c r="I229" s="129">
        <v>-6100000</v>
      </c>
      <c r="J229" s="129">
        <v>-10000</v>
      </c>
      <c r="K229" s="129">
        <v>-6110000</v>
      </c>
      <c r="L229" s="129">
        <v>-9100000</v>
      </c>
      <c r="M229" s="129">
        <v>0</v>
      </c>
      <c r="N229" s="129">
        <v>-9100000</v>
      </c>
      <c r="O229" s="129">
        <v>200224608</v>
      </c>
      <c r="P229" s="129">
        <v>4245516</v>
      </c>
      <c r="Q229" s="129">
        <v>204470124</v>
      </c>
      <c r="R229" s="129">
        <v>1584720</v>
      </c>
      <c r="S229" s="129">
        <v>0</v>
      </c>
      <c r="T229" s="129">
        <v>1584720</v>
      </c>
      <c r="U229" s="129">
        <v>0</v>
      </c>
      <c r="V229" s="129">
        <v>0</v>
      </c>
      <c r="W229" s="129">
        <v>0</v>
      </c>
      <c r="X229" s="129">
        <v>0</v>
      </c>
      <c r="Y229" s="129">
        <v>3547894</v>
      </c>
      <c r="Z229" s="129">
        <v>697622</v>
      </c>
      <c r="AA229" s="129">
        <v>697622</v>
      </c>
      <c r="AB229" s="129">
        <v>0</v>
      </c>
      <c r="AC229" s="129">
        <v>0</v>
      </c>
      <c r="AD229" s="129">
        <v>0</v>
      </c>
      <c r="AE229" s="129">
        <v>0</v>
      </c>
      <c r="AF229" s="129">
        <v>0</v>
      </c>
      <c r="AG229" s="129">
        <v>0</v>
      </c>
      <c r="AH229" s="129">
        <v>0</v>
      </c>
      <c r="AI229" s="129">
        <v>0</v>
      </c>
      <c r="AJ229" s="129">
        <v>0</v>
      </c>
      <c r="AK229" s="129">
        <v>0</v>
      </c>
      <c r="AL229" s="129">
        <v>0</v>
      </c>
      <c r="AM229" s="662" t="s">
        <v>320</v>
      </c>
      <c r="AN229" s="324" t="s">
        <v>570</v>
      </c>
      <c r="AO229" s="663" t="s">
        <v>572</v>
      </c>
      <c r="AP229" s="529" t="s">
        <v>1435</v>
      </c>
    </row>
    <row r="230" spans="1:42" ht="12.75" x14ac:dyDescent="0.2">
      <c r="A230" s="664">
        <v>223</v>
      </c>
      <c r="B230" s="665" t="s">
        <v>324</v>
      </c>
      <c r="C230" s="666" t="s">
        <v>486</v>
      </c>
      <c r="D230" s="667" t="s">
        <v>1228</v>
      </c>
      <c r="E230" s="668" t="s">
        <v>323</v>
      </c>
      <c r="F230" s="129">
        <v>91407339</v>
      </c>
      <c r="G230" s="129">
        <v>0</v>
      </c>
      <c r="H230" s="129">
        <v>91407339</v>
      </c>
      <c r="I230" s="129">
        <v>-921071</v>
      </c>
      <c r="J230" s="129">
        <v>0</v>
      </c>
      <c r="K230" s="129">
        <v>-921071</v>
      </c>
      <c r="L230" s="129">
        <v>-3692035</v>
      </c>
      <c r="M230" s="129">
        <v>0</v>
      </c>
      <c r="N230" s="129">
        <v>-3692035</v>
      </c>
      <c r="O230" s="129">
        <v>86794233</v>
      </c>
      <c r="P230" s="129">
        <v>0</v>
      </c>
      <c r="Q230" s="129">
        <v>86794233</v>
      </c>
      <c r="R230" s="129">
        <v>1035710</v>
      </c>
      <c r="S230" s="129">
        <v>0</v>
      </c>
      <c r="T230" s="129">
        <v>1035710</v>
      </c>
      <c r="U230" s="129">
        <v>0</v>
      </c>
      <c r="V230" s="129">
        <v>0</v>
      </c>
      <c r="W230" s="129">
        <v>0</v>
      </c>
      <c r="X230" s="129">
        <v>0</v>
      </c>
      <c r="Y230" s="129">
        <v>0</v>
      </c>
      <c r="Z230" s="129">
        <v>0</v>
      </c>
      <c r="AA230" s="129">
        <v>0</v>
      </c>
      <c r="AB230" s="129">
        <v>0</v>
      </c>
      <c r="AC230" s="129">
        <v>0</v>
      </c>
      <c r="AD230" s="129">
        <v>0</v>
      </c>
      <c r="AE230" s="129">
        <v>0</v>
      </c>
      <c r="AF230" s="129">
        <v>0</v>
      </c>
      <c r="AG230" s="129">
        <v>0</v>
      </c>
      <c r="AH230" s="129">
        <v>0</v>
      </c>
      <c r="AI230" s="129">
        <v>0</v>
      </c>
      <c r="AJ230" s="129">
        <v>0</v>
      </c>
      <c r="AK230" s="129">
        <v>0</v>
      </c>
      <c r="AL230" s="129">
        <v>0</v>
      </c>
      <c r="AM230" s="662" t="s">
        <v>323</v>
      </c>
      <c r="AN230" s="324" t="s">
        <v>486</v>
      </c>
      <c r="AO230" s="663" t="s">
        <v>561</v>
      </c>
      <c r="AP230" s="529" t="s">
        <v>1436</v>
      </c>
    </row>
    <row r="231" spans="1:42" ht="12.75" x14ac:dyDescent="0.2">
      <c r="A231" s="664">
        <v>224</v>
      </c>
      <c r="B231" s="665" t="s">
        <v>325</v>
      </c>
      <c r="C231" s="666" t="s">
        <v>486</v>
      </c>
      <c r="D231" s="667" t="s">
        <v>1202</v>
      </c>
      <c r="E231" s="668" t="s">
        <v>497</v>
      </c>
      <c r="F231" s="129">
        <v>112691683</v>
      </c>
      <c r="G231" s="129">
        <v>0</v>
      </c>
      <c r="H231" s="129">
        <v>112691683</v>
      </c>
      <c r="I231" s="129">
        <v>-2817000</v>
      </c>
      <c r="J231" s="129">
        <v>0</v>
      </c>
      <c r="K231" s="129">
        <v>-2817000</v>
      </c>
      <c r="L231" s="129">
        <v>-4507700</v>
      </c>
      <c r="M231" s="129">
        <v>0</v>
      </c>
      <c r="N231" s="129">
        <v>-4507700</v>
      </c>
      <c r="O231" s="129">
        <v>105366983</v>
      </c>
      <c r="P231" s="129">
        <v>0</v>
      </c>
      <c r="Q231" s="129">
        <v>105366983</v>
      </c>
      <c r="R231" s="129">
        <v>0</v>
      </c>
      <c r="S231" s="129">
        <v>0</v>
      </c>
      <c r="T231" s="129">
        <v>0</v>
      </c>
      <c r="U231" s="129">
        <v>0</v>
      </c>
      <c r="V231" s="129">
        <v>0</v>
      </c>
      <c r="W231" s="129">
        <v>0</v>
      </c>
      <c r="X231" s="129">
        <v>0</v>
      </c>
      <c r="Y231" s="129">
        <v>0</v>
      </c>
      <c r="Z231" s="129">
        <v>0</v>
      </c>
      <c r="AA231" s="129">
        <v>0</v>
      </c>
      <c r="AB231" s="129">
        <v>0</v>
      </c>
      <c r="AC231" s="129">
        <v>0</v>
      </c>
      <c r="AD231" s="129">
        <v>0</v>
      </c>
      <c r="AE231" s="129">
        <v>0</v>
      </c>
      <c r="AF231" s="129">
        <v>0</v>
      </c>
      <c r="AG231" s="129">
        <v>0</v>
      </c>
      <c r="AH231" s="129">
        <v>0</v>
      </c>
      <c r="AI231" s="129">
        <v>0</v>
      </c>
      <c r="AJ231" s="129">
        <v>0</v>
      </c>
      <c r="AK231" s="129">
        <v>0</v>
      </c>
      <c r="AL231" s="129">
        <v>0</v>
      </c>
      <c r="AM231" s="662" t="s">
        <v>497</v>
      </c>
      <c r="AN231" s="324" t="s">
        <v>486</v>
      </c>
      <c r="AO231" s="663" t="s">
        <v>494</v>
      </c>
      <c r="AP231" s="529" t="s">
        <v>1437</v>
      </c>
    </row>
    <row r="232" spans="1:42" ht="12.75" x14ac:dyDescent="0.2">
      <c r="A232" s="664">
        <v>225</v>
      </c>
      <c r="B232" s="665" t="s">
        <v>327</v>
      </c>
      <c r="C232" s="666" t="s">
        <v>1217</v>
      </c>
      <c r="D232" s="667" t="s">
        <v>1228</v>
      </c>
      <c r="E232" s="668" t="s">
        <v>326</v>
      </c>
      <c r="F232" s="129">
        <v>120911122</v>
      </c>
      <c r="G232" s="129">
        <v>0</v>
      </c>
      <c r="H232" s="129">
        <v>120911122</v>
      </c>
      <c r="I232" s="129">
        <v>-962000</v>
      </c>
      <c r="J232" s="129">
        <v>0</v>
      </c>
      <c r="K232" s="129">
        <v>-962000</v>
      </c>
      <c r="L232" s="129">
        <v>-2500000</v>
      </c>
      <c r="M232" s="129">
        <v>0</v>
      </c>
      <c r="N232" s="129">
        <v>-2500000</v>
      </c>
      <c r="O232" s="129">
        <v>117449122</v>
      </c>
      <c r="P232" s="129">
        <v>0</v>
      </c>
      <c r="Q232" s="129">
        <v>117449122</v>
      </c>
      <c r="R232" s="129">
        <v>0</v>
      </c>
      <c r="S232" s="129">
        <v>0</v>
      </c>
      <c r="T232" s="129">
        <v>0</v>
      </c>
      <c r="U232" s="129">
        <v>0</v>
      </c>
      <c r="V232" s="129">
        <v>0</v>
      </c>
      <c r="W232" s="129">
        <v>0</v>
      </c>
      <c r="X232" s="129">
        <v>0</v>
      </c>
      <c r="Y232" s="129">
        <v>0</v>
      </c>
      <c r="Z232" s="129">
        <v>0</v>
      </c>
      <c r="AA232" s="129">
        <v>0</v>
      </c>
      <c r="AB232" s="129">
        <v>0</v>
      </c>
      <c r="AC232" s="129">
        <v>0</v>
      </c>
      <c r="AD232" s="129">
        <v>0</v>
      </c>
      <c r="AE232" s="129">
        <v>0</v>
      </c>
      <c r="AF232" s="129">
        <v>0</v>
      </c>
      <c r="AG232" s="129">
        <v>0</v>
      </c>
      <c r="AH232" s="129">
        <v>0</v>
      </c>
      <c r="AI232" s="129">
        <v>0</v>
      </c>
      <c r="AJ232" s="129">
        <v>0</v>
      </c>
      <c r="AK232" s="129">
        <v>0</v>
      </c>
      <c r="AL232" s="129">
        <v>0</v>
      </c>
      <c r="AM232" s="662" t="s">
        <v>326</v>
      </c>
      <c r="AN232" s="324" t="s">
        <v>570</v>
      </c>
      <c r="AO232" s="663" t="s">
        <v>574</v>
      </c>
      <c r="AP232" s="529" t="s">
        <v>1438</v>
      </c>
    </row>
    <row r="233" spans="1:42" ht="12.75" x14ac:dyDescent="0.2">
      <c r="A233" s="664">
        <v>226</v>
      </c>
      <c r="B233" s="665" t="s">
        <v>1023</v>
      </c>
      <c r="C233" s="666" t="s">
        <v>1201</v>
      </c>
      <c r="D233" s="667" t="s">
        <v>1224</v>
      </c>
      <c r="E233" s="668" t="s">
        <v>1022</v>
      </c>
      <c r="F233" s="129">
        <v>62494914</v>
      </c>
      <c r="G233" s="129">
        <v>0</v>
      </c>
      <c r="H233" s="129">
        <v>62494914</v>
      </c>
      <c r="I233" s="129">
        <v>-1250000</v>
      </c>
      <c r="J233" s="129">
        <v>0</v>
      </c>
      <c r="K233" s="129">
        <v>-1250000</v>
      </c>
      <c r="L233" s="129">
        <v>-1875000</v>
      </c>
      <c r="M233" s="129">
        <v>0</v>
      </c>
      <c r="N233" s="129">
        <v>-1875000</v>
      </c>
      <c r="O233" s="129">
        <v>59369914</v>
      </c>
      <c r="P233" s="129">
        <v>0</v>
      </c>
      <c r="Q233" s="129">
        <v>59369914</v>
      </c>
      <c r="R233" s="129">
        <v>204676</v>
      </c>
      <c r="S233" s="129">
        <v>0</v>
      </c>
      <c r="T233" s="129">
        <v>204676</v>
      </c>
      <c r="U233" s="129">
        <v>0</v>
      </c>
      <c r="V233" s="129">
        <v>0</v>
      </c>
      <c r="W233" s="129">
        <v>0</v>
      </c>
      <c r="X233" s="129">
        <v>0</v>
      </c>
      <c r="Y233" s="129">
        <v>0</v>
      </c>
      <c r="Z233" s="129">
        <v>0</v>
      </c>
      <c r="AA233" s="129">
        <v>0</v>
      </c>
      <c r="AB233" s="129">
        <v>0</v>
      </c>
      <c r="AC233" s="129">
        <v>0</v>
      </c>
      <c r="AD233" s="129">
        <v>0</v>
      </c>
      <c r="AE233" s="129">
        <v>0</v>
      </c>
      <c r="AF233" s="129">
        <v>0</v>
      </c>
      <c r="AG233" s="129">
        <v>0</v>
      </c>
      <c r="AH233" s="129">
        <v>0</v>
      </c>
      <c r="AI233" s="129">
        <v>0</v>
      </c>
      <c r="AJ233" s="129">
        <v>0</v>
      </c>
      <c r="AK233" s="129">
        <v>0</v>
      </c>
      <c r="AL233" s="129">
        <v>0</v>
      </c>
      <c r="AM233" s="662" t="s">
        <v>1022</v>
      </c>
      <c r="AN233" s="324" t="s">
        <v>562</v>
      </c>
      <c r="AO233" s="663" t="s">
        <v>519</v>
      </c>
      <c r="AP233" s="529" t="s">
        <v>1439</v>
      </c>
    </row>
    <row r="234" spans="1:42" ht="12.75" x14ac:dyDescent="0.2">
      <c r="A234" s="664">
        <v>227</v>
      </c>
      <c r="B234" s="665" t="s">
        <v>329</v>
      </c>
      <c r="C234" s="666" t="s">
        <v>1201</v>
      </c>
      <c r="D234" s="667" t="s">
        <v>1211</v>
      </c>
      <c r="E234" s="668" t="s">
        <v>328</v>
      </c>
      <c r="F234" s="129">
        <v>94105138</v>
      </c>
      <c r="G234" s="129">
        <v>902941</v>
      </c>
      <c r="H234" s="129">
        <v>95008079</v>
      </c>
      <c r="I234" s="129">
        <v>-250000</v>
      </c>
      <c r="J234" s="129">
        <v>0</v>
      </c>
      <c r="K234" s="129">
        <v>-250000</v>
      </c>
      <c r="L234" s="129">
        <v>-4422942</v>
      </c>
      <c r="M234" s="129">
        <v>0</v>
      </c>
      <c r="N234" s="129">
        <v>-4422942</v>
      </c>
      <c r="O234" s="129">
        <v>89432196</v>
      </c>
      <c r="P234" s="129">
        <v>902941</v>
      </c>
      <c r="Q234" s="129">
        <v>90335137</v>
      </c>
      <c r="R234" s="129">
        <v>764626</v>
      </c>
      <c r="S234" s="129">
        <v>0</v>
      </c>
      <c r="T234" s="129">
        <v>764626</v>
      </c>
      <c r="U234" s="129">
        <v>0</v>
      </c>
      <c r="V234" s="129">
        <v>0</v>
      </c>
      <c r="W234" s="129">
        <v>0</v>
      </c>
      <c r="X234" s="129">
        <v>0</v>
      </c>
      <c r="Y234" s="129">
        <v>0</v>
      </c>
      <c r="Z234" s="129">
        <v>902941</v>
      </c>
      <c r="AA234" s="129">
        <v>902941</v>
      </c>
      <c r="AB234" s="129">
        <v>0</v>
      </c>
      <c r="AC234" s="129">
        <v>0</v>
      </c>
      <c r="AD234" s="129">
        <v>0</v>
      </c>
      <c r="AE234" s="129">
        <v>0</v>
      </c>
      <c r="AF234" s="129">
        <v>223869</v>
      </c>
      <c r="AG234" s="129">
        <v>223869</v>
      </c>
      <c r="AH234" s="129">
        <v>0</v>
      </c>
      <c r="AI234" s="129">
        <v>0</v>
      </c>
      <c r="AJ234" s="129">
        <v>0</v>
      </c>
      <c r="AK234" s="129">
        <v>223869</v>
      </c>
      <c r="AL234" s="129">
        <v>223869</v>
      </c>
      <c r="AM234" s="662" t="s">
        <v>328</v>
      </c>
      <c r="AN234" s="324" t="s">
        <v>503</v>
      </c>
      <c r="AO234" s="663" t="s">
        <v>502</v>
      </c>
      <c r="AP234" s="529" t="s">
        <v>1440</v>
      </c>
    </row>
    <row r="235" spans="1:42" ht="12.75" x14ac:dyDescent="0.2">
      <c r="A235" s="664">
        <v>228</v>
      </c>
      <c r="B235" s="665" t="s">
        <v>331</v>
      </c>
      <c r="C235" s="666" t="s">
        <v>1201</v>
      </c>
      <c r="D235" s="667" t="s">
        <v>1206</v>
      </c>
      <c r="E235" s="668" t="s">
        <v>330</v>
      </c>
      <c r="F235" s="129">
        <v>28307808</v>
      </c>
      <c r="G235" s="129">
        <v>0</v>
      </c>
      <c r="H235" s="129">
        <v>28307808</v>
      </c>
      <c r="I235" s="129">
        <v>-199401</v>
      </c>
      <c r="J235" s="129">
        <v>0</v>
      </c>
      <c r="K235" s="129">
        <v>-199401</v>
      </c>
      <c r="L235" s="129">
        <v>-449522</v>
      </c>
      <c r="M235" s="129">
        <v>0</v>
      </c>
      <c r="N235" s="129">
        <v>-449522</v>
      </c>
      <c r="O235" s="129">
        <v>27658885</v>
      </c>
      <c r="P235" s="129">
        <v>0</v>
      </c>
      <c r="Q235" s="129">
        <v>27658885</v>
      </c>
      <c r="R235" s="129">
        <v>0</v>
      </c>
      <c r="S235" s="129">
        <v>0</v>
      </c>
      <c r="T235" s="129">
        <v>0</v>
      </c>
      <c r="U235" s="129">
        <v>0</v>
      </c>
      <c r="V235" s="129">
        <v>0</v>
      </c>
      <c r="W235" s="129">
        <v>0</v>
      </c>
      <c r="X235" s="129">
        <v>0</v>
      </c>
      <c r="Y235" s="129">
        <v>0</v>
      </c>
      <c r="Z235" s="129">
        <v>0</v>
      </c>
      <c r="AA235" s="129">
        <v>0</v>
      </c>
      <c r="AB235" s="129">
        <v>0</v>
      </c>
      <c r="AC235" s="129">
        <v>0</v>
      </c>
      <c r="AD235" s="129">
        <v>0</v>
      </c>
      <c r="AE235" s="129">
        <v>0</v>
      </c>
      <c r="AF235" s="129">
        <v>0</v>
      </c>
      <c r="AG235" s="129">
        <v>0</v>
      </c>
      <c r="AH235" s="129">
        <v>0</v>
      </c>
      <c r="AI235" s="129">
        <v>0</v>
      </c>
      <c r="AJ235" s="129">
        <v>0</v>
      </c>
      <c r="AK235" s="129">
        <v>0</v>
      </c>
      <c r="AL235" s="129">
        <v>0</v>
      </c>
      <c r="AM235" s="662" t="s">
        <v>330</v>
      </c>
      <c r="AN235" s="324" t="s">
        <v>516</v>
      </c>
      <c r="AO235" s="663" t="s">
        <v>515</v>
      </c>
      <c r="AP235" s="529" t="s">
        <v>1441</v>
      </c>
    </row>
    <row r="236" spans="1:42" ht="12.75" x14ac:dyDescent="0.2">
      <c r="A236" s="664">
        <v>229</v>
      </c>
      <c r="B236" s="665" t="s">
        <v>333</v>
      </c>
      <c r="C236" s="666" t="s">
        <v>486</v>
      </c>
      <c r="D236" s="667" t="s">
        <v>1224</v>
      </c>
      <c r="E236" s="668" t="s">
        <v>489</v>
      </c>
      <c r="F236" s="129">
        <v>132120992</v>
      </c>
      <c r="G236" s="129">
        <v>20623954</v>
      </c>
      <c r="H236" s="129">
        <v>152744946</v>
      </c>
      <c r="I236" s="129">
        <v>-725682</v>
      </c>
      <c r="J236" s="129">
        <v>-194919</v>
      </c>
      <c r="K236" s="129">
        <v>-920601</v>
      </c>
      <c r="L236" s="129">
        <v>-3908493</v>
      </c>
      <c r="M236" s="129">
        <v>-777010</v>
      </c>
      <c r="N236" s="129">
        <v>-4685503</v>
      </c>
      <c r="O236" s="129">
        <v>127486817</v>
      </c>
      <c r="P236" s="129">
        <v>19652025</v>
      </c>
      <c r="Q236" s="129">
        <v>147138842</v>
      </c>
      <c r="R236" s="129">
        <v>236284</v>
      </c>
      <c r="S236" s="129">
        <v>277810</v>
      </c>
      <c r="T236" s="129">
        <v>514094</v>
      </c>
      <c r="U236" s="129">
        <v>0</v>
      </c>
      <c r="V236" s="129">
        <v>0</v>
      </c>
      <c r="W236" s="129">
        <v>0</v>
      </c>
      <c r="X236" s="129">
        <v>0</v>
      </c>
      <c r="Y236" s="129">
        <v>742522</v>
      </c>
      <c r="Z236" s="129">
        <v>18631693</v>
      </c>
      <c r="AA236" s="129">
        <v>18631693</v>
      </c>
      <c r="AB236" s="129">
        <v>0</v>
      </c>
      <c r="AC236" s="129">
        <v>0</v>
      </c>
      <c r="AD236" s="129">
        <v>0</v>
      </c>
      <c r="AE236" s="129">
        <v>0</v>
      </c>
      <c r="AF236" s="129">
        <v>0</v>
      </c>
      <c r="AG236" s="129">
        <v>0</v>
      </c>
      <c r="AH236" s="129">
        <v>0</v>
      </c>
      <c r="AI236" s="129">
        <v>0</v>
      </c>
      <c r="AJ236" s="129">
        <v>0</v>
      </c>
      <c r="AK236" s="129">
        <v>0</v>
      </c>
      <c r="AL236" s="129">
        <v>0</v>
      </c>
      <c r="AM236" s="662" t="s">
        <v>489</v>
      </c>
      <c r="AN236" s="324" t="s">
        <v>486</v>
      </c>
      <c r="AO236" s="663" t="s">
        <v>487</v>
      </c>
      <c r="AP236" s="529" t="s">
        <v>1442</v>
      </c>
    </row>
    <row r="237" spans="1:42" ht="12.75" x14ac:dyDescent="0.2">
      <c r="A237" s="664">
        <v>230</v>
      </c>
      <c r="B237" s="665" t="s">
        <v>335</v>
      </c>
      <c r="C237" s="666" t="s">
        <v>1201</v>
      </c>
      <c r="D237" s="667" t="s">
        <v>1224</v>
      </c>
      <c r="E237" s="668" t="s">
        <v>334</v>
      </c>
      <c r="F237" s="129">
        <v>29995035</v>
      </c>
      <c r="G237" s="129">
        <v>0</v>
      </c>
      <c r="H237" s="129">
        <v>29995035</v>
      </c>
      <c r="I237" s="129">
        <v>-299950</v>
      </c>
      <c r="J237" s="129">
        <v>0</v>
      </c>
      <c r="K237" s="129">
        <v>-299950</v>
      </c>
      <c r="L237" s="129">
        <v>-854391</v>
      </c>
      <c r="M237" s="129">
        <v>0</v>
      </c>
      <c r="N237" s="129">
        <v>-854391</v>
      </c>
      <c r="O237" s="129">
        <v>28840694</v>
      </c>
      <c r="P237" s="129">
        <v>0</v>
      </c>
      <c r="Q237" s="129">
        <v>28840694</v>
      </c>
      <c r="R237" s="129">
        <v>0</v>
      </c>
      <c r="S237" s="129">
        <v>0</v>
      </c>
      <c r="T237" s="129">
        <v>0</v>
      </c>
      <c r="U237" s="129">
        <v>0</v>
      </c>
      <c r="V237" s="129">
        <v>0</v>
      </c>
      <c r="W237" s="129">
        <v>0</v>
      </c>
      <c r="X237" s="129">
        <v>0</v>
      </c>
      <c r="Y237" s="129">
        <v>0</v>
      </c>
      <c r="Z237" s="129">
        <v>0</v>
      </c>
      <c r="AA237" s="129">
        <v>0</v>
      </c>
      <c r="AB237" s="129">
        <v>0</v>
      </c>
      <c r="AC237" s="129">
        <v>0</v>
      </c>
      <c r="AD237" s="129">
        <v>0</v>
      </c>
      <c r="AE237" s="129">
        <v>0</v>
      </c>
      <c r="AF237" s="129">
        <v>0</v>
      </c>
      <c r="AG237" s="129">
        <v>0</v>
      </c>
      <c r="AH237" s="129">
        <v>0</v>
      </c>
      <c r="AI237" s="129">
        <v>0</v>
      </c>
      <c r="AJ237" s="129">
        <v>0</v>
      </c>
      <c r="AK237" s="129">
        <v>0</v>
      </c>
      <c r="AL237" s="129">
        <v>0</v>
      </c>
      <c r="AM237" s="662" t="s">
        <v>334</v>
      </c>
      <c r="AN237" s="324" t="s">
        <v>521</v>
      </c>
      <c r="AO237" s="663" t="s">
        <v>519</v>
      </c>
      <c r="AP237" s="529" t="s">
        <v>1443</v>
      </c>
    </row>
    <row r="238" spans="1:42" ht="12.75" x14ac:dyDescent="0.2">
      <c r="A238" s="664">
        <v>231</v>
      </c>
      <c r="B238" s="665" t="s">
        <v>337</v>
      </c>
      <c r="C238" s="666" t="s">
        <v>1201</v>
      </c>
      <c r="D238" s="667" t="s">
        <v>1206</v>
      </c>
      <c r="E238" s="668" t="s">
        <v>336</v>
      </c>
      <c r="F238" s="129">
        <v>28034244</v>
      </c>
      <c r="G238" s="129">
        <v>0</v>
      </c>
      <c r="H238" s="129">
        <v>28034244</v>
      </c>
      <c r="I238" s="129">
        <v>-210257</v>
      </c>
      <c r="J238" s="129">
        <v>0</v>
      </c>
      <c r="K238" s="129">
        <v>-210257</v>
      </c>
      <c r="L238" s="129">
        <v>-270381</v>
      </c>
      <c r="M238" s="129">
        <v>0</v>
      </c>
      <c r="N238" s="129">
        <v>-270381</v>
      </c>
      <c r="O238" s="129">
        <v>27553606</v>
      </c>
      <c r="P238" s="129">
        <v>0</v>
      </c>
      <c r="Q238" s="129">
        <v>27553606</v>
      </c>
      <c r="R238" s="129">
        <v>358647</v>
      </c>
      <c r="S238" s="129">
        <v>0</v>
      </c>
      <c r="T238" s="129">
        <v>358647</v>
      </c>
      <c r="U238" s="129">
        <v>0</v>
      </c>
      <c r="V238" s="129">
        <v>0</v>
      </c>
      <c r="W238" s="129">
        <v>0</v>
      </c>
      <c r="X238" s="129">
        <v>0</v>
      </c>
      <c r="Y238" s="129">
        <v>0</v>
      </c>
      <c r="Z238" s="129">
        <v>0</v>
      </c>
      <c r="AA238" s="129">
        <v>0</v>
      </c>
      <c r="AB238" s="129">
        <v>0</v>
      </c>
      <c r="AC238" s="129">
        <v>0</v>
      </c>
      <c r="AD238" s="129">
        <v>0</v>
      </c>
      <c r="AE238" s="129">
        <v>0</v>
      </c>
      <c r="AF238" s="129">
        <v>0</v>
      </c>
      <c r="AG238" s="129">
        <v>0</v>
      </c>
      <c r="AH238" s="129">
        <v>0</v>
      </c>
      <c r="AI238" s="129">
        <v>0</v>
      </c>
      <c r="AJ238" s="129">
        <v>0</v>
      </c>
      <c r="AK238" s="129">
        <v>0</v>
      </c>
      <c r="AL238" s="129">
        <v>0</v>
      </c>
      <c r="AM238" s="662" t="s">
        <v>336</v>
      </c>
      <c r="AN238" s="324" t="s">
        <v>552</v>
      </c>
      <c r="AO238" s="663" t="s">
        <v>512</v>
      </c>
      <c r="AP238" s="529" t="s">
        <v>1444</v>
      </c>
    </row>
    <row r="239" spans="1:42" ht="12.75" x14ac:dyDescent="0.2">
      <c r="A239" s="664">
        <v>232</v>
      </c>
      <c r="B239" s="665" t="s">
        <v>339</v>
      </c>
      <c r="C239" s="666" t="s">
        <v>1201</v>
      </c>
      <c r="D239" s="667" t="s">
        <v>1206</v>
      </c>
      <c r="E239" s="668" t="s">
        <v>338</v>
      </c>
      <c r="F239" s="129">
        <v>44514241</v>
      </c>
      <c r="G239" s="129">
        <v>0</v>
      </c>
      <c r="H239" s="129">
        <v>44514241</v>
      </c>
      <c r="I239" s="129">
        <v>-500000</v>
      </c>
      <c r="J239" s="129">
        <v>0</v>
      </c>
      <c r="K239" s="129">
        <v>-500000</v>
      </c>
      <c r="L239" s="129">
        <v>-1780570</v>
      </c>
      <c r="M239" s="129">
        <v>0</v>
      </c>
      <c r="N239" s="129">
        <v>-1780570</v>
      </c>
      <c r="O239" s="129">
        <v>42233671</v>
      </c>
      <c r="P239" s="129">
        <v>0</v>
      </c>
      <c r="Q239" s="129">
        <v>42233671</v>
      </c>
      <c r="R239" s="129">
        <v>225223</v>
      </c>
      <c r="S239" s="129">
        <v>0</v>
      </c>
      <c r="T239" s="129">
        <v>225223</v>
      </c>
      <c r="U239" s="129">
        <v>0</v>
      </c>
      <c r="V239" s="129">
        <v>0</v>
      </c>
      <c r="W239" s="129">
        <v>0</v>
      </c>
      <c r="X239" s="129">
        <v>0</v>
      </c>
      <c r="Y239" s="129">
        <v>0</v>
      </c>
      <c r="Z239" s="129">
        <v>0</v>
      </c>
      <c r="AA239" s="129">
        <v>0</v>
      </c>
      <c r="AB239" s="129">
        <v>0</v>
      </c>
      <c r="AC239" s="129">
        <v>0</v>
      </c>
      <c r="AD239" s="129">
        <v>0</v>
      </c>
      <c r="AE239" s="129">
        <v>0</v>
      </c>
      <c r="AF239" s="129">
        <v>0</v>
      </c>
      <c r="AG239" s="129">
        <v>0</v>
      </c>
      <c r="AH239" s="129">
        <v>0</v>
      </c>
      <c r="AI239" s="129">
        <v>0</v>
      </c>
      <c r="AJ239" s="129">
        <v>0</v>
      </c>
      <c r="AK239" s="129">
        <v>0</v>
      </c>
      <c r="AL239" s="129">
        <v>0</v>
      </c>
      <c r="AM239" s="662" t="s">
        <v>338</v>
      </c>
      <c r="AN239" s="324" t="s">
        <v>552</v>
      </c>
      <c r="AO239" s="663" t="s">
        <v>512</v>
      </c>
      <c r="AP239" s="529" t="s">
        <v>1445</v>
      </c>
    </row>
    <row r="240" spans="1:42" ht="12.75" x14ac:dyDescent="0.2">
      <c r="A240" s="664">
        <v>233</v>
      </c>
      <c r="B240" s="665" t="s">
        <v>341</v>
      </c>
      <c r="C240" s="666" t="s">
        <v>1201</v>
      </c>
      <c r="D240" s="667" t="s">
        <v>1204</v>
      </c>
      <c r="E240" s="668" t="s">
        <v>340</v>
      </c>
      <c r="F240" s="129">
        <v>46564507</v>
      </c>
      <c r="G240" s="129">
        <v>0</v>
      </c>
      <c r="H240" s="129">
        <v>46564507</v>
      </c>
      <c r="I240" s="129">
        <v>-465645</v>
      </c>
      <c r="J240" s="129">
        <v>0</v>
      </c>
      <c r="K240" s="129">
        <v>-465645</v>
      </c>
      <c r="L240" s="129">
        <v>-1330132</v>
      </c>
      <c r="M240" s="129">
        <v>0</v>
      </c>
      <c r="N240" s="129">
        <v>-1330132</v>
      </c>
      <c r="O240" s="129">
        <v>44768730</v>
      </c>
      <c r="P240" s="129">
        <v>0</v>
      </c>
      <c r="Q240" s="129">
        <v>44768730</v>
      </c>
      <c r="R240" s="129">
        <v>0</v>
      </c>
      <c r="S240" s="129">
        <v>0</v>
      </c>
      <c r="T240" s="129">
        <v>0</v>
      </c>
      <c r="U240" s="129">
        <v>0</v>
      </c>
      <c r="V240" s="129">
        <v>0</v>
      </c>
      <c r="W240" s="129">
        <v>0</v>
      </c>
      <c r="X240" s="129">
        <v>0</v>
      </c>
      <c r="Y240" s="129">
        <v>0</v>
      </c>
      <c r="Z240" s="129">
        <v>0</v>
      </c>
      <c r="AA240" s="129">
        <v>0</v>
      </c>
      <c r="AB240" s="129">
        <v>0</v>
      </c>
      <c r="AC240" s="129">
        <v>0</v>
      </c>
      <c r="AD240" s="129">
        <v>0</v>
      </c>
      <c r="AE240" s="129">
        <v>0</v>
      </c>
      <c r="AF240" s="129">
        <v>0</v>
      </c>
      <c r="AG240" s="129">
        <v>0</v>
      </c>
      <c r="AH240" s="129">
        <v>0</v>
      </c>
      <c r="AI240" s="129">
        <v>0</v>
      </c>
      <c r="AJ240" s="129">
        <v>0</v>
      </c>
      <c r="AK240" s="129">
        <v>0</v>
      </c>
      <c r="AL240" s="129">
        <v>0</v>
      </c>
      <c r="AM240" s="662" t="s">
        <v>340</v>
      </c>
      <c r="AN240" s="324" t="s">
        <v>513</v>
      </c>
      <c r="AO240" s="663" t="s">
        <v>512</v>
      </c>
      <c r="AP240" s="529" t="s">
        <v>1446</v>
      </c>
    </row>
    <row r="241" spans="1:42" ht="12.75" x14ac:dyDescent="0.2">
      <c r="A241" s="664">
        <v>234</v>
      </c>
      <c r="B241" s="665" t="s">
        <v>343</v>
      </c>
      <c r="C241" s="666" t="s">
        <v>1201</v>
      </c>
      <c r="D241" s="667" t="s">
        <v>1211</v>
      </c>
      <c r="E241" s="668" t="s">
        <v>342</v>
      </c>
      <c r="F241" s="129">
        <v>32992582</v>
      </c>
      <c r="G241" s="129">
        <v>453092</v>
      </c>
      <c r="H241" s="129">
        <v>33445674</v>
      </c>
      <c r="I241" s="129">
        <v>-329269</v>
      </c>
      <c r="J241" s="129">
        <v>0</v>
      </c>
      <c r="K241" s="129">
        <v>-329269</v>
      </c>
      <c r="L241" s="129">
        <v>-482253</v>
      </c>
      <c r="M241" s="129">
        <v>-16497</v>
      </c>
      <c r="N241" s="129">
        <v>-498750</v>
      </c>
      <c r="O241" s="129">
        <v>32181060</v>
      </c>
      <c r="P241" s="129">
        <v>436595</v>
      </c>
      <c r="Q241" s="129">
        <v>32617655</v>
      </c>
      <c r="R241" s="129">
        <v>180236</v>
      </c>
      <c r="S241" s="129">
        <v>102</v>
      </c>
      <c r="T241" s="129">
        <v>180338</v>
      </c>
      <c r="U241" s="129">
        <v>0</v>
      </c>
      <c r="V241" s="129">
        <v>0</v>
      </c>
      <c r="W241" s="129">
        <v>0</v>
      </c>
      <c r="X241" s="129">
        <v>0</v>
      </c>
      <c r="Y241" s="129">
        <v>211640</v>
      </c>
      <c r="Z241" s="129">
        <v>224853</v>
      </c>
      <c r="AA241" s="129">
        <v>224853</v>
      </c>
      <c r="AB241" s="129">
        <v>0</v>
      </c>
      <c r="AC241" s="129">
        <v>0</v>
      </c>
      <c r="AD241" s="129">
        <v>0</v>
      </c>
      <c r="AE241" s="129">
        <v>0</v>
      </c>
      <c r="AF241" s="129">
        <v>361954</v>
      </c>
      <c r="AG241" s="129">
        <v>361954</v>
      </c>
      <c r="AH241" s="129">
        <v>0</v>
      </c>
      <c r="AI241" s="129">
        <v>0</v>
      </c>
      <c r="AJ241" s="129">
        <v>0</v>
      </c>
      <c r="AK241" s="129">
        <v>361954</v>
      </c>
      <c r="AL241" s="129">
        <v>361954</v>
      </c>
      <c r="AM241" s="662" t="s">
        <v>342</v>
      </c>
      <c r="AN241" s="324" t="s">
        <v>553</v>
      </c>
      <c r="AO241" s="663" t="s">
        <v>512</v>
      </c>
      <c r="AP241" s="529" t="s">
        <v>1447</v>
      </c>
    </row>
    <row r="242" spans="1:42" ht="12.75" x14ac:dyDescent="0.2">
      <c r="A242" s="664">
        <v>235</v>
      </c>
      <c r="B242" s="665" t="s">
        <v>345</v>
      </c>
      <c r="C242" s="666" t="s">
        <v>1201</v>
      </c>
      <c r="D242" s="667" t="s">
        <v>1202</v>
      </c>
      <c r="E242" s="668" t="s">
        <v>344</v>
      </c>
      <c r="F242" s="129">
        <v>48287911</v>
      </c>
      <c r="G242" s="129">
        <v>243200</v>
      </c>
      <c r="H242" s="129">
        <v>48531111</v>
      </c>
      <c r="I242" s="129">
        <v>-579455</v>
      </c>
      <c r="J242" s="129">
        <v>-4864</v>
      </c>
      <c r="K242" s="129">
        <v>-584319</v>
      </c>
      <c r="L242" s="129">
        <v>-2414396</v>
      </c>
      <c r="M242" s="129">
        <v>-12159</v>
      </c>
      <c r="N242" s="129">
        <v>-2426555</v>
      </c>
      <c r="O242" s="129">
        <v>45294060</v>
      </c>
      <c r="P242" s="129">
        <v>226177</v>
      </c>
      <c r="Q242" s="129">
        <v>45520237</v>
      </c>
      <c r="R242" s="129">
        <v>76894</v>
      </c>
      <c r="S242" s="129">
        <v>0</v>
      </c>
      <c r="T242" s="129">
        <v>76894</v>
      </c>
      <c r="U242" s="129">
        <v>0</v>
      </c>
      <c r="V242" s="129">
        <v>0</v>
      </c>
      <c r="W242" s="129">
        <v>0</v>
      </c>
      <c r="X242" s="129">
        <v>0</v>
      </c>
      <c r="Y242" s="129">
        <v>195868</v>
      </c>
      <c r="Z242" s="129">
        <v>33616</v>
      </c>
      <c r="AA242" s="129">
        <v>33616</v>
      </c>
      <c r="AB242" s="129">
        <v>0</v>
      </c>
      <c r="AC242" s="129">
        <v>0</v>
      </c>
      <c r="AD242" s="129">
        <v>0</v>
      </c>
      <c r="AE242" s="129">
        <v>0</v>
      </c>
      <c r="AF242" s="129">
        <v>0</v>
      </c>
      <c r="AG242" s="129">
        <v>0</v>
      </c>
      <c r="AH242" s="129">
        <v>0</v>
      </c>
      <c r="AI242" s="129">
        <v>0</v>
      </c>
      <c r="AJ242" s="129">
        <v>0</v>
      </c>
      <c r="AK242" s="129">
        <v>0</v>
      </c>
      <c r="AL242" s="129">
        <v>0</v>
      </c>
      <c r="AM242" s="662" t="s">
        <v>344</v>
      </c>
      <c r="AN242" s="324" t="s">
        <v>560</v>
      </c>
      <c r="AO242" s="663" t="s">
        <v>512</v>
      </c>
      <c r="AP242" s="529" t="s">
        <v>1448</v>
      </c>
    </row>
    <row r="243" spans="1:42" ht="12.75" x14ac:dyDescent="0.2">
      <c r="A243" s="664">
        <v>236</v>
      </c>
      <c r="B243" s="665" t="s">
        <v>347</v>
      </c>
      <c r="C243" s="666" t="s">
        <v>1201</v>
      </c>
      <c r="D243" s="667" t="s">
        <v>1204</v>
      </c>
      <c r="E243" s="668" t="s">
        <v>346</v>
      </c>
      <c r="F243" s="129">
        <v>38132573</v>
      </c>
      <c r="G243" s="129">
        <v>170241</v>
      </c>
      <c r="H243" s="129">
        <v>38302814</v>
      </c>
      <c r="I243" s="129">
        <v>-766056</v>
      </c>
      <c r="J243" s="129">
        <v>0</v>
      </c>
      <c r="K243" s="129">
        <v>-766056</v>
      </c>
      <c r="L243" s="129">
        <v>-1532113</v>
      </c>
      <c r="M243" s="129">
        <v>0</v>
      </c>
      <c r="N243" s="129">
        <v>-1532113</v>
      </c>
      <c r="O243" s="129">
        <v>35834404</v>
      </c>
      <c r="P243" s="129">
        <v>170241</v>
      </c>
      <c r="Q243" s="129">
        <v>36004645</v>
      </c>
      <c r="R243" s="129">
        <v>78211</v>
      </c>
      <c r="S243" s="129">
        <v>0</v>
      </c>
      <c r="T243" s="129">
        <v>78211</v>
      </c>
      <c r="U243" s="129">
        <v>0</v>
      </c>
      <c r="V243" s="129">
        <v>0</v>
      </c>
      <c r="W243" s="129">
        <v>0</v>
      </c>
      <c r="X243" s="129">
        <v>0</v>
      </c>
      <c r="Y243" s="129">
        <v>0</v>
      </c>
      <c r="Z243" s="129">
        <v>170241</v>
      </c>
      <c r="AA243" s="129">
        <v>170241</v>
      </c>
      <c r="AB243" s="129">
        <v>0</v>
      </c>
      <c r="AC243" s="129">
        <v>0</v>
      </c>
      <c r="AD243" s="129">
        <v>0</v>
      </c>
      <c r="AE243" s="129">
        <v>0</v>
      </c>
      <c r="AF243" s="129">
        <v>0</v>
      </c>
      <c r="AG243" s="129">
        <v>0</v>
      </c>
      <c r="AH243" s="129">
        <v>0</v>
      </c>
      <c r="AI243" s="129">
        <v>0</v>
      </c>
      <c r="AJ243" s="129">
        <v>0</v>
      </c>
      <c r="AK243" s="129">
        <v>0</v>
      </c>
      <c r="AL243" s="129">
        <v>0</v>
      </c>
      <c r="AM243" s="662" t="s">
        <v>346</v>
      </c>
      <c r="AN243" s="324" t="s">
        <v>547</v>
      </c>
      <c r="AO243" s="663" t="s">
        <v>545</v>
      </c>
      <c r="AP243" s="529" t="s">
        <v>1449</v>
      </c>
    </row>
    <row r="244" spans="1:42" ht="12.75" x14ac:dyDescent="0.2">
      <c r="A244" s="664">
        <v>237</v>
      </c>
      <c r="B244" s="665" t="s">
        <v>349</v>
      </c>
      <c r="C244" s="666" t="s">
        <v>1201</v>
      </c>
      <c r="D244" s="667" t="s">
        <v>1224</v>
      </c>
      <c r="E244" s="668" t="s">
        <v>348</v>
      </c>
      <c r="F244" s="129">
        <v>47774961</v>
      </c>
      <c r="G244" s="129">
        <v>0</v>
      </c>
      <c r="H244" s="129">
        <v>47774961</v>
      </c>
      <c r="I244" s="129">
        <v>-716624</v>
      </c>
      <c r="J244" s="129">
        <v>0</v>
      </c>
      <c r="K244" s="129">
        <v>-716624</v>
      </c>
      <c r="L244" s="129">
        <v>-1194374</v>
      </c>
      <c r="M244" s="129">
        <v>0</v>
      </c>
      <c r="N244" s="129">
        <v>-1194374</v>
      </c>
      <c r="O244" s="129">
        <v>45863963</v>
      </c>
      <c r="P244" s="129">
        <v>0</v>
      </c>
      <c r="Q244" s="129">
        <v>45863963</v>
      </c>
      <c r="R244" s="129">
        <v>465497</v>
      </c>
      <c r="S244" s="129">
        <v>0</v>
      </c>
      <c r="T244" s="129">
        <v>465497</v>
      </c>
      <c r="U244" s="129">
        <v>0</v>
      </c>
      <c r="V244" s="129">
        <v>0</v>
      </c>
      <c r="W244" s="129">
        <v>0</v>
      </c>
      <c r="X244" s="129">
        <v>0</v>
      </c>
      <c r="Y244" s="129">
        <v>0</v>
      </c>
      <c r="Z244" s="129">
        <v>0</v>
      </c>
      <c r="AA244" s="129">
        <v>0</v>
      </c>
      <c r="AB244" s="129">
        <v>0</v>
      </c>
      <c r="AC244" s="129">
        <v>0</v>
      </c>
      <c r="AD244" s="129">
        <v>0</v>
      </c>
      <c r="AE244" s="129">
        <v>0</v>
      </c>
      <c r="AF244" s="129">
        <v>0</v>
      </c>
      <c r="AG244" s="129">
        <v>0</v>
      </c>
      <c r="AH244" s="129">
        <v>0</v>
      </c>
      <c r="AI244" s="129">
        <v>0</v>
      </c>
      <c r="AJ244" s="129">
        <v>0</v>
      </c>
      <c r="AK244" s="129">
        <v>0</v>
      </c>
      <c r="AL244" s="129">
        <v>0</v>
      </c>
      <c r="AM244" s="662" t="s">
        <v>348</v>
      </c>
      <c r="AN244" s="324" t="s">
        <v>562</v>
      </c>
      <c r="AO244" s="663" t="s">
        <v>519</v>
      </c>
      <c r="AP244" s="529" t="s">
        <v>1450</v>
      </c>
    </row>
    <row r="245" spans="1:42" ht="12.75" x14ac:dyDescent="0.2">
      <c r="A245" s="664">
        <v>238</v>
      </c>
      <c r="B245" s="665" t="s">
        <v>351</v>
      </c>
      <c r="C245" s="666" t="s">
        <v>1201</v>
      </c>
      <c r="D245" s="667" t="s">
        <v>1228</v>
      </c>
      <c r="E245" s="668" t="s">
        <v>350</v>
      </c>
      <c r="F245" s="129">
        <v>23311422</v>
      </c>
      <c r="G245" s="129">
        <v>4813137</v>
      </c>
      <c r="H245" s="129">
        <v>28124559</v>
      </c>
      <c r="I245" s="129">
        <v>-200000</v>
      </c>
      <c r="J245" s="129">
        <v>0</v>
      </c>
      <c r="K245" s="129">
        <v>-200000</v>
      </c>
      <c r="L245" s="129">
        <v>-1057792</v>
      </c>
      <c r="M245" s="129">
        <v>0</v>
      </c>
      <c r="N245" s="129">
        <v>-1057792</v>
      </c>
      <c r="O245" s="129">
        <v>22053630</v>
      </c>
      <c r="P245" s="129">
        <v>4813137</v>
      </c>
      <c r="Q245" s="129">
        <v>26866767</v>
      </c>
      <c r="R245" s="129">
        <v>234397</v>
      </c>
      <c r="S245" s="129">
        <v>0</v>
      </c>
      <c r="T245" s="129">
        <v>234397</v>
      </c>
      <c r="U245" s="129">
        <v>0</v>
      </c>
      <c r="V245" s="129">
        <v>0</v>
      </c>
      <c r="W245" s="129">
        <v>0</v>
      </c>
      <c r="X245" s="129">
        <v>0</v>
      </c>
      <c r="Y245" s="129">
        <v>0</v>
      </c>
      <c r="Z245" s="129">
        <v>4813137</v>
      </c>
      <c r="AA245" s="129">
        <v>4813137</v>
      </c>
      <c r="AB245" s="129">
        <v>0</v>
      </c>
      <c r="AC245" s="129">
        <v>0</v>
      </c>
      <c r="AD245" s="129">
        <v>0</v>
      </c>
      <c r="AE245" s="129">
        <v>0</v>
      </c>
      <c r="AF245" s="129">
        <v>110000</v>
      </c>
      <c r="AG245" s="129">
        <v>110000</v>
      </c>
      <c r="AH245" s="129">
        <v>0</v>
      </c>
      <c r="AI245" s="129">
        <v>0</v>
      </c>
      <c r="AJ245" s="129">
        <v>0</v>
      </c>
      <c r="AK245" s="129">
        <v>110000</v>
      </c>
      <c r="AL245" s="129">
        <v>110000</v>
      </c>
      <c r="AM245" s="662" t="s">
        <v>350</v>
      </c>
      <c r="AN245" s="324" t="s">
        <v>564</v>
      </c>
      <c r="AO245" s="663" t="s">
        <v>1917</v>
      </c>
      <c r="AP245" s="529" t="s">
        <v>1451</v>
      </c>
    </row>
    <row r="246" spans="1:42" ht="12.75" x14ac:dyDescent="0.2">
      <c r="A246" s="664">
        <v>239</v>
      </c>
      <c r="B246" s="665" t="s">
        <v>353</v>
      </c>
      <c r="C246" s="666" t="s">
        <v>1217</v>
      </c>
      <c r="D246" s="667" t="s">
        <v>1283</v>
      </c>
      <c r="E246" s="668" t="s">
        <v>352</v>
      </c>
      <c r="F246" s="129">
        <v>30951908</v>
      </c>
      <c r="G246" s="129">
        <v>0</v>
      </c>
      <c r="H246" s="129">
        <v>30951908</v>
      </c>
      <c r="I246" s="129">
        <v>-750000</v>
      </c>
      <c r="J246" s="129">
        <v>0</v>
      </c>
      <c r="K246" s="129">
        <v>-750000</v>
      </c>
      <c r="L246" s="129">
        <v>-1000000</v>
      </c>
      <c r="M246" s="129">
        <v>0</v>
      </c>
      <c r="N246" s="129">
        <v>-1000000</v>
      </c>
      <c r="O246" s="129">
        <v>29201908</v>
      </c>
      <c r="P246" s="129">
        <v>0</v>
      </c>
      <c r="Q246" s="129">
        <v>29201908</v>
      </c>
      <c r="R246" s="129">
        <v>0</v>
      </c>
      <c r="S246" s="129">
        <v>0</v>
      </c>
      <c r="T246" s="129">
        <v>0</v>
      </c>
      <c r="U246" s="129">
        <v>0</v>
      </c>
      <c r="V246" s="129">
        <v>0</v>
      </c>
      <c r="W246" s="129">
        <v>0</v>
      </c>
      <c r="X246" s="129">
        <v>0</v>
      </c>
      <c r="Y246" s="129">
        <v>0</v>
      </c>
      <c r="Z246" s="129">
        <v>0</v>
      </c>
      <c r="AA246" s="129">
        <v>0</v>
      </c>
      <c r="AB246" s="129">
        <v>0</v>
      </c>
      <c r="AC246" s="129">
        <v>0</v>
      </c>
      <c r="AD246" s="129">
        <v>0</v>
      </c>
      <c r="AE246" s="129">
        <v>0</v>
      </c>
      <c r="AF246" s="129">
        <v>0</v>
      </c>
      <c r="AG246" s="129">
        <v>0</v>
      </c>
      <c r="AH246" s="129">
        <v>0</v>
      </c>
      <c r="AI246" s="129">
        <v>0</v>
      </c>
      <c r="AJ246" s="129">
        <v>0</v>
      </c>
      <c r="AK246" s="129">
        <v>0</v>
      </c>
      <c r="AL246" s="129">
        <v>0</v>
      </c>
      <c r="AM246" s="662" t="s">
        <v>352</v>
      </c>
      <c r="AN246" s="324" t="s">
        <v>570</v>
      </c>
      <c r="AO246" s="663" t="s">
        <v>573</v>
      </c>
      <c r="AP246" s="529" t="s">
        <v>1452</v>
      </c>
    </row>
    <row r="247" spans="1:42" ht="12.75" x14ac:dyDescent="0.2">
      <c r="A247" s="664">
        <v>240</v>
      </c>
      <c r="B247" s="665" t="s">
        <v>354</v>
      </c>
      <c r="C247" s="666" t="s">
        <v>486</v>
      </c>
      <c r="D247" s="667" t="s">
        <v>1202</v>
      </c>
      <c r="E247" s="668" t="s">
        <v>531</v>
      </c>
      <c r="F247" s="129">
        <v>111052046</v>
      </c>
      <c r="G247" s="129">
        <v>0</v>
      </c>
      <c r="H247" s="129">
        <v>111052046</v>
      </c>
      <c r="I247" s="129">
        <v>-2221041</v>
      </c>
      <c r="J247" s="129">
        <v>0</v>
      </c>
      <c r="K247" s="129">
        <v>-2221041</v>
      </c>
      <c r="L247" s="129">
        <v>-8277000</v>
      </c>
      <c r="M247" s="129">
        <v>0</v>
      </c>
      <c r="N247" s="129">
        <v>-8277000</v>
      </c>
      <c r="O247" s="129">
        <v>100554005</v>
      </c>
      <c r="P247" s="129">
        <v>0</v>
      </c>
      <c r="Q247" s="129">
        <v>100554005</v>
      </c>
      <c r="R247" s="129">
        <v>0</v>
      </c>
      <c r="S247" s="129">
        <v>0</v>
      </c>
      <c r="T247" s="129">
        <v>0</v>
      </c>
      <c r="U247" s="129">
        <v>0</v>
      </c>
      <c r="V247" s="129">
        <v>0</v>
      </c>
      <c r="W247" s="129">
        <v>0</v>
      </c>
      <c r="X247" s="129">
        <v>0</v>
      </c>
      <c r="Y247" s="129">
        <v>0</v>
      </c>
      <c r="Z247" s="129">
        <v>0</v>
      </c>
      <c r="AA247" s="129">
        <v>0</v>
      </c>
      <c r="AB247" s="129">
        <v>0</v>
      </c>
      <c r="AC247" s="129">
        <v>0</v>
      </c>
      <c r="AD247" s="129">
        <v>0</v>
      </c>
      <c r="AE247" s="129">
        <v>0</v>
      </c>
      <c r="AF247" s="129">
        <v>0</v>
      </c>
      <c r="AG247" s="129">
        <v>0</v>
      </c>
      <c r="AH247" s="129">
        <v>0</v>
      </c>
      <c r="AI247" s="129">
        <v>0</v>
      </c>
      <c r="AJ247" s="129">
        <v>0</v>
      </c>
      <c r="AK247" s="129">
        <v>0</v>
      </c>
      <c r="AL247" s="129">
        <v>0</v>
      </c>
      <c r="AM247" s="662" t="s">
        <v>531</v>
      </c>
      <c r="AN247" s="324" t="s">
        <v>486</v>
      </c>
      <c r="AO247" s="663" t="s">
        <v>1914</v>
      </c>
      <c r="AP247" s="529" t="s">
        <v>1453</v>
      </c>
    </row>
    <row r="248" spans="1:42" ht="12.75" x14ac:dyDescent="0.2">
      <c r="A248" s="664">
        <v>241</v>
      </c>
      <c r="B248" s="665" t="s">
        <v>355</v>
      </c>
      <c r="C248" s="666" t="s">
        <v>486</v>
      </c>
      <c r="D248" s="667" t="s">
        <v>1211</v>
      </c>
      <c r="E248" s="668" t="s">
        <v>526</v>
      </c>
      <c r="F248" s="129">
        <v>45965007</v>
      </c>
      <c r="G248" s="129">
        <v>0</v>
      </c>
      <c r="H248" s="129">
        <v>45965007</v>
      </c>
      <c r="I248" s="129">
        <v>-234422</v>
      </c>
      <c r="J248" s="129">
        <v>0</v>
      </c>
      <c r="K248" s="129">
        <v>-234422</v>
      </c>
      <c r="L248" s="129">
        <v>-1440684</v>
      </c>
      <c r="M248" s="129">
        <v>0</v>
      </c>
      <c r="N248" s="129">
        <v>-1440684</v>
      </c>
      <c r="O248" s="129">
        <v>44289901</v>
      </c>
      <c r="P248" s="129">
        <v>0</v>
      </c>
      <c r="Q248" s="129">
        <v>44289901</v>
      </c>
      <c r="R248" s="129">
        <v>0</v>
      </c>
      <c r="S248" s="129">
        <v>0</v>
      </c>
      <c r="T248" s="129">
        <v>0</v>
      </c>
      <c r="U248" s="129">
        <v>0</v>
      </c>
      <c r="V248" s="129">
        <v>0</v>
      </c>
      <c r="W248" s="129">
        <v>0</v>
      </c>
      <c r="X248" s="129">
        <v>0</v>
      </c>
      <c r="Y248" s="129">
        <v>0</v>
      </c>
      <c r="Z248" s="129">
        <v>0</v>
      </c>
      <c r="AA248" s="129">
        <v>0</v>
      </c>
      <c r="AB248" s="129">
        <v>0</v>
      </c>
      <c r="AC248" s="129">
        <v>0</v>
      </c>
      <c r="AD248" s="129">
        <v>0</v>
      </c>
      <c r="AE248" s="129">
        <v>0</v>
      </c>
      <c r="AF248" s="129">
        <v>0</v>
      </c>
      <c r="AG248" s="129">
        <v>0</v>
      </c>
      <c r="AH248" s="129">
        <v>0</v>
      </c>
      <c r="AI248" s="129">
        <v>0</v>
      </c>
      <c r="AJ248" s="129">
        <v>0</v>
      </c>
      <c r="AK248" s="129">
        <v>0</v>
      </c>
      <c r="AL248" s="129">
        <v>0</v>
      </c>
      <c r="AM248" s="662" t="s">
        <v>526</v>
      </c>
      <c r="AN248" s="324" t="s">
        <v>486</v>
      </c>
      <c r="AO248" s="663" t="s">
        <v>1913</v>
      </c>
      <c r="AP248" s="529" t="s">
        <v>1454</v>
      </c>
    </row>
    <row r="249" spans="1:42" ht="12.75" x14ac:dyDescent="0.2">
      <c r="A249" s="664">
        <v>242</v>
      </c>
      <c r="B249" s="665" t="s">
        <v>357</v>
      </c>
      <c r="C249" s="666" t="s">
        <v>1257</v>
      </c>
      <c r="D249" s="667" t="s">
        <v>1214</v>
      </c>
      <c r="E249" s="668" t="s">
        <v>356</v>
      </c>
      <c r="F249" s="129">
        <v>328415194</v>
      </c>
      <c r="G249" s="129">
        <v>0</v>
      </c>
      <c r="H249" s="129">
        <v>328415194</v>
      </c>
      <c r="I249" s="129">
        <v>-1000000</v>
      </c>
      <c r="J249" s="129">
        <v>0</v>
      </c>
      <c r="K249" s="129">
        <v>-1000000</v>
      </c>
      <c r="L249" s="129">
        <v>-7000000</v>
      </c>
      <c r="M249" s="129">
        <v>0</v>
      </c>
      <c r="N249" s="129">
        <v>-7000000</v>
      </c>
      <c r="O249" s="129">
        <v>320415194</v>
      </c>
      <c r="P249" s="129">
        <v>0</v>
      </c>
      <c r="Q249" s="129">
        <v>320415194</v>
      </c>
      <c r="R249" s="129">
        <v>0</v>
      </c>
      <c r="S249" s="129">
        <v>0</v>
      </c>
      <c r="T249" s="129">
        <v>0</v>
      </c>
      <c r="U249" s="129">
        <v>0</v>
      </c>
      <c r="V249" s="129">
        <v>0</v>
      </c>
      <c r="W249" s="129">
        <v>0</v>
      </c>
      <c r="X249" s="129">
        <v>0</v>
      </c>
      <c r="Y249" s="129">
        <v>0</v>
      </c>
      <c r="Z249" s="129">
        <v>0</v>
      </c>
      <c r="AA249" s="129">
        <v>0</v>
      </c>
      <c r="AB249" s="129">
        <v>0</v>
      </c>
      <c r="AC249" s="129">
        <v>0</v>
      </c>
      <c r="AD249" s="129">
        <v>0</v>
      </c>
      <c r="AE249" s="129">
        <v>0</v>
      </c>
      <c r="AF249" s="129">
        <v>0</v>
      </c>
      <c r="AG249" s="129">
        <v>0</v>
      </c>
      <c r="AH249" s="129">
        <v>0</v>
      </c>
      <c r="AI249" s="129">
        <v>0</v>
      </c>
      <c r="AJ249" s="129">
        <v>0</v>
      </c>
      <c r="AK249" s="129">
        <v>0</v>
      </c>
      <c r="AL249" s="129">
        <v>0</v>
      </c>
      <c r="AM249" s="662" t="s">
        <v>356</v>
      </c>
      <c r="AN249" s="324" t="s">
        <v>576</v>
      </c>
      <c r="AO249" s="669" t="s">
        <v>485</v>
      </c>
      <c r="AP249" s="529" t="s">
        <v>1455</v>
      </c>
    </row>
    <row r="250" spans="1:42" ht="12.75" x14ac:dyDescent="0.2">
      <c r="A250" s="664">
        <v>243</v>
      </c>
      <c r="B250" s="665" t="s">
        <v>359</v>
      </c>
      <c r="C250" s="666" t="s">
        <v>1201</v>
      </c>
      <c r="D250" s="667" t="s">
        <v>1202</v>
      </c>
      <c r="E250" s="668" t="s">
        <v>358</v>
      </c>
      <c r="F250" s="129">
        <v>45501028</v>
      </c>
      <c r="G250" s="129">
        <v>0</v>
      </c>
      <c r="H250" s="129">
        <v>45501028</v>
      </c>
      <c r="I250" s="129">
        <v>-1820041</v>
      </c>
      <c r="J250" s="129">
        <v>0</v>
      </c>
      <c r="K250" s="129">
        <v>-1820041</v>
      </c>
      <c r="L250" s="129">
        <v>-689575</v>
      </c>
      <c r="M250" s="129">
        <v>0</v>
      </c>
      <c r="N250" s="129">
        <v>-689575</v>
      </c>
      <c r="O250" s="129">
        <v>42991412</v>
      </c>
      <c r="P250" s="129">
        <v>0</v>
      </c>
      <c r="Q250" s="129">
        <v>42991412</v>
      </c>
      <c r="R250" s="129">
        <v>0</v>
      </c>
      <c r="S250" s="129">
        <v>0</v>
      </c>
      <c r="T250" s="129">
        <v>0</v>
      </c>
      <c r="U250" s="129">
        <v>0</v>
      </c>
      <c r="V250" s="129">
        <v>0</v>
      </c>
      <c r="W250" s="129">
        <v>0</v>
      </c>
      <c r="X250" s="129">
        <v>0</v>
      </c>
      <c r="Y250" s="129">
        <v>0</v>
      </c>
      <c r="Z250" s="129">
        <v>0</v>
      </c>
      <c r="AA250" s="129">
        <v>0</v>
      </c>
      <c r="AB250" s="129">
        <v>0</v>
      </c>
      <c r="AC250" s="129">
        <v>0</v>
      </c>
      <c r="AD250" s="129">
        <v>0</v>
      </c>
      <c r="AE250" s="129">
        <v>0</v>
      </c>
      <c r="AF250" s="129">
        <v>0</v>
      </c>
      <c r="AG250" s="129">
        <v>0</v>
      </c>
      <c r="AH250" s="129">
        <v>0</v>
      </c>
      <c r="AI250" s="129">
        <v>0</v>
      </c>
      <c r="AJ250" s="129">
        <v>0</v>
      </c>
      <c r="AK250" s="129">
        <v>0</v>
      </c>
      <c r="AL250" s="129">
        <v>0</v>
      </c>
      <c r="AM250" s="662" t="s">
        <v>358</v>
      </c>
      <c r="AN250" s="324" t="s">
        <v>566</v>
      </c>
      <c r="AO250" s="663" t="s">
        <v>512</v>
      </c>
      <c r="AP250" s="529" t="s">
        <v>1456</v>
      </c>
    </row>
    <row r="251" spans="1:42" ht="12.75" x14ac:dyDescent="0.2">
      <c r="A251" s="664">
        <v>244</v>
      </c>
      <c r="B251" s="665" t="s">
        <v>361</v>
      </c>
      <c r="C251" s="666" t="s">
        <v>1201</v>
      </c>
      <c r="D251" s="667" t="s">
        <v>1211</v>
      </c>
      <c r="E251" s="668" t="s">
        <v>360</v>
      </c>
      <c r="F251" s="129">
        <v>62801190</v>
      </c>
      <c r="G251" s="129">
        <v>626837</v>
      </c>
      <c r="H251" s="129">
        <v>63428027</v>
      </c>
      <c r="I251" s="129">
        <v>-500000</v>
      </c>
      <c r="J251" s="129">
        <v>0</v>
      </c>
      <c r="K251" s="129">
        <v>-500000</v>
      </c>
      <c r="L251" s="129">
        <v>-1194000</v>
      </c>
      <c r="M251" s="129">
        <v>0</v>
      </c>
      <c r="N251" s="129">
        <v>-1194000</v>
      </c>
      <c r="O251" s="129">
        <v>61107190</v>
      </c>
      <c r="P251" s="129">
        <v>626837</v>
      </c>
      <c r="Q251" s="129">
        <v>61734027</v>
      </c>
      <c r="R251" s="129">
        <v>0</v>
      </c>
      <c r="S251" s="129">
        <v>0</v>
      </c>
      <c r="T251" s="129">
        <v>0</v>
      </c>
      <c r="U251" s="129">
        <v>0</v>
      </c>
      <c r="V251" s="129">
        <v>0</v>
      </c>
      <c r="W251" s="129">
        <v>0</v>
      </c>
      <c r="X251" s="129">
        <v>0</v>
      </c>
      <c r="Y251" s="129">
        <v>1067721</v>
      </c>
      <c r="Z251" s="129">
        <v>131133</v>
      </c>
      <c r="AA251" s="129">
        <v>131133</v>
      </c>
      <c r="AB251" s="129">
        <v>0</v>
      </c>
      <c r="AC251" s="129">
        <v>0</v>
      </c>
      <c r="AD251" s="129">
        <v>0</v>
      </c>
      <c r="AE251" s="129">
        <v>0</v>
      </c>
      <c r="AF251" s="129">
        <v>0</v>
      </c>
      <c r="AG251" s="129">
        <v>0</v>
      </c>
      <c r="AH251" s="129">
        <v>0</v>
      </c>
      <c r="AI251" s="129">
        <v>0</v>
      </c>
      <c r="AJ251" s="129">
        <v>0</v>
      </c>
      <c r="AK251" s="129">
        <v>0</v>
      </c>
      <c r="AL251" s="129">
        <v>0</v>
      </c>
      <c r="AM251" s="662" t="s">
        <v>360</v>
      </c>
      <c r="AN251" s="324" t="s">
        <v>536</v>
      </c>
      <c r="AO251" s="663" t="s">
        <v>512</v>
      </c>
      <c r="AP251" s="529" t="s">
        <v>1457</v>
      </c>
    </row>
    <row r="252" spans="1:42" ht="12.75" x14ac:dyDescent="0.2">
      <c r="A252" s="664">
        <v>245</v>
      </c>
      <c r="B252" s="665" t="s">
        <v>362</v>
      </c>
      <c r="C252" s="666" t="s">
        <v>1217</v>
      </c>
      <c r="D252" s="667" t="s">
        <v>1204</v>
      </c>
      <c r="E252" s="668" t="s">
        <v>817</v>
      </c>
      <c r="F252" s="129">
        <v>56221195</v>
      </c>
      <c r="G252" s="129">
        <v>0</v>
      </c>
      <c r="H252" s="129">
        <v>56221195</v>
      </c>
      <c r="I252" s="129">
        <v>-2000000</v>
      </c>
      <c r="J252" s="129">
        <v>0</v>
      </c>
      <c r="K252" s="129">
        <v>-2000000</v>
      </c>
      <c r="L252" s="129">
        <v>-2444000</v>
      </c>
      <c r="M252" s="129">
        <v>0</v>
      </c>
      <c r="N252" s="129">
        <v>-2444000</v>
      </c>
      <c r="O252" s="129">
        <v>51777195</v>
      </c>
      <c r="P252" s="129">
        <v>0</v>
      </c>
      <c r="Q252" s="129">
        <v>51777195</v>
      </c>
      <c r="R252" s="129">
        <v>0</v>
      </c>
      <c r="S252" s="129">
        <v>0</v>
      </c>
      <c r="T252" s="129">
        <v>0</v>
      </c>
      <c r="U252" s="129">
        <v>0</v>
      </c>
      <c r="V252" s="129">
        <v>0</v>
      </c>
      <c r="W252" s="129">
        <v>0</v>
      </c>
      <c r="X252" s="129">
        <v>0</v>
      </c>
      <c r="Y252" s="129">
        <v>0</v>
      </c>
      <c r="Z252" s="129">
        <v>0</v>
      </c>
      <c r="AA252" s="129">
        <v>0</v>
      </c>
      <c r="AB252" s="129">
        <v>0</v>
      </c>
      <c r="AC252" s="129">
        <v>0</v>
      </c>
      <c r="AD252" s="129">
        <v>0</v>
      </c>
      <c r="AE252" s="129">
        <v>0</v>
      </c>
      <c r="AF252" s="129">
        <v>0</v>
      </c>
      <c r="AG252" s="129">
        <v>0</v>
      </c>
      <c r="AH252" s="129">
        <v>0</v>
      </c>
      <c r="AI252" s="129">
        <v>0</v>
      </c>
      <c r="AJ252" s="129">
        <v>0</v>
      </c>
      <c r="AK252" s="129">
        <v>0</v>
      </c>
      <c r="AL252" s="129">
        <v>0</v>
      </c>
      <c r="AM252" s="662" t="s">
        <v>817</v>
      </c>
      <c r="AN252" s="324" t="s">
        <v>570</v>
      </c>
      <c r="AO252" s="663" t="s">
        <v>571</v>
      </c>
      <c r="AP252" s="529" t="s">
        <v>1458</v>
      </c>
    </row>
    <row r="253" spans="1:42" ht="12.75" x14ac:dyDescent="0.2">
      <c r="A253" s="664">
        <v>246</v>
      </c>
      <c r="B253" s="665" t="s">
        <v>364</v>
      </c>
      <c r="C253" s="666" t="s">
        <v>1201</v>
      </c>
      <c r="D253" s="667" t="s">
        <v>1228</v>
      </c>
      <c r="E253" s="668" t="s">
        <v>363</v>
      </c>
      <c r="F253" s="129">
        <v>50822909</v>
      </c>
      <c r="G253" s="129">
        <v>0</v>
      </c>
      <c r="H253" s="129">
        <v>50822909</v>
      </c>
      <c r="I253" s="129">
        <v>-1143515</v>
      </c>
      <c r="J253" s="129">
        <v>0</v>
      </c>
      <c r="K253" s="129">
        <v>-1143515</v>
      </c>
      <c r="L253" s="129">
        <v>-1681040</v>
      </c>
      <c r="M253" s="129">
        <v>0</v>
      </c>
      <c r="N253" s="129">
        <v>-1681040</v>
      </c>
      <c r="O253" s="129">
        <v>47998354</v>
      </c>
      <c r="P253" s="129">
        <v>0</v>
      </c>
      <c r="Q253" s="129">
        <v>47998354</v>
      </c>
      <c r="R253" s="129">
        <v>0</v>
      </c>
      <c r="S253" s="129">
        <v>0</v>
      </c>
      <c r="T253" s="129">
        <v>0</v>
      </c>
      <c r="U253" s="129">
        <v>0</v>
      </c>
      <c r="V253" s="129">
        <v>0</v>
      </c>
      <c r="W253" s="129">
        <v>0</v>
      </c>
      <c r="X253" s="129">
        <v>0</v>
      </c>
      <c r="Y253" s="129">
        <v>0</v>
      </c>
      <c r="Z253" s="129">
        <v>0</v>
      </c>
      <c r="AA253" s="129">
        <v>0</v>
      </c>
      <c r="AB253" s="129">
        <v>0</v>
      </c>
      <c r="AC253" s="129">
        <v>0</v>
      </c>
      <c r="AD253" s="129">
        <v>0</v>
      </c>
      <c r="AE253" s="129">
        <v>0</v>
      </c>
      <c r="AF253" s="129">
        <v>0</v>
      </c>
      <c r="AG253" s="129">
        <v>0</v>
      </c>
      <c r="AH253" s="129">
        <v>0</v>
      </c>
      <c r="AI253" s="129">
        <v>0</v>
      </c>
      <c r="AJ253" s="129">
        <v>0</v>
      </c>
      <c r="AK253" s="129">
        <v>0</v>
      </c>
      <c r="AL253" s="129">
        <v>0</v>
      </c>
      <c r="AM253" s="662" t="s">
        <v>363</v>
      </c>
      <c r="AN253" s="324" t="s">
        <v>564</v>
      </c>
      <c r="AO253" s="663" t="s">
        <v>1917</v>
      </c>
      <c r="AP253" s="529" t="s">
        <v>1459</v>
      </c>
    </row>
    <row r="254" spans="1:42" ht="12.75" x14ac:dyDescent="0.2">
      <c r="A254" s="664">
        <v>247</v>
      </c>
      <c r="B254" s="665" t="s">
        <v>366</v>
      </c>
      <c r="C254" s="666" t="s">
        <v>1201</v>
      </c>
      <c r="D254" s="667" t="s">
        <v>1228</v>
      </c>
      <c r="E254" s="668" t="s">
        <v>365</v>
      </c>
      <c r="F254" s="129">
        <v>20816319</v>
      </c>
      <c r="G254" s="129">
        <v>0</v>
      </c>
      <c r="H254" s="129">
        <v>20816319</v>
      </c>
      <c r="I254" s="129">
        <v>-208163</v>
      </c>
      <c r="J254" s="129">
        <v>0</v>
      </c>
      <c r="K254" s="129">
        <v>-208163</v>
      </c>
      <c r="L254" s="129">
        <v>-782694</v>
      </c>
      <c r="M254" s="129">
        <v>0</v>
      </c>
      <c r="N254" s="129">
        <v>-782694</v>
      </c>
      <c r="O254" s="129">
        <v>19825462</v>
      </c>
      <c r="P254" s="129">
        <v>0</v>
      </c>
      <c r="Q254" s="129">
        <v>19825462</v>
      </c>
      <c r="R254" s="129">
        <v>0</v>
      </c>
      <c r="S254" s="129">
        <v>0</v>
      </c>
      <c r="T254" s="129">
        <v>0</v>
      </c>
      <c r="U254" s="129">
        <v>0</v>
      </c>
      <c r="V254" s="129">
        <v>0</v>
      </c>
      <c r="W254" s="129">
        <v>0</v>
      </c>
      <c r="X254" s="129">
        <v>0</v>
      </c>
      <c r="Y254" s="129">
        <v>0</v>
      </c>
      <c r="Z254" s="129">
        <v>0</v>
      </c>
      <c r="AA254" s="129">
        <v>0</v>
      </c>
      <c r="AB254" s="129">
        <v>0</v>
      </c>
      <c r="AC254" s="129">
        <v>0</v>
      </c>
      <c r="AD254" s="129">
        <v>0</v>
      </c>
      <c r="AE254" s="129">
        <v>0</v>
      </c>
      <c r="AF254" s="129">
        <v>0</v>
      </c>
      <c r="AG254" s="129">
        <v>0</v>
      </c>
      <c r="AH254" s="129">
        <v>0</v>
      </c>
      <c r="AI254" s="129">
        <v>0</v>
      </c>
      <c r="AJ254" s="129">
        <v>0</v>
      </c>
      <c r="AK254" s="129">
        <v>0</v>
      </c>
      <c r="AL254" s="129">
        <v>0</v>
      </c>
      <c r="AM254" s="662" t="s">
        <v>365</v>
      </c>
      <c r="AN254" s="324" t="s">
        <v>564</v>
      </c>
      <c r="AO254" s="663" t="s">
        <v>1917</v>
      </c>
      <c r="AP254" s="529" t="s">
        <v>1460</v>
      </c>
    </row>
    <row r="255" spans="1:42" ht="12.75" x14ac:dyDescent="0.2">
      <c r="A255" s="664">
        <v>248</v>
      </c>
      <c r="B255" s="665" t="s">
        <v>368</v>
      </c>
      <c r="C255" s="666" t="s">
        <v>1201</v>
      </c>
      <c r="D255" s="667" t="s">
        <v>1211</v>
      </c>
      <c r="E255" s="668" t="s">
        <v>367</v>
      </c>
      <c r="F255" s="129">
        <v>49018720</v>
      </c>
      <c r="G255" s="129">
        <v>0</v>
      </c>
      <c r="H255" s="129">
        <v>49018720</v>
      </c>
      <c r="I255" s="129">
        <v>-1000000</v>
      </c>
      <c r="J255" s="129">
        <v>0</v>
      </c>
      <c r="K255" s="129">
        <v>-1000000</v>
      </c>
      <c r="L255" s="129">
        <v>-2300000</v>
      </c>
      <c r="M255" s="129">
        <v>0</v>
      </c>
      <c r="N255" s="129">
        <v>-2300000</v>
      </c>
      <c r="O255" s="129">
        <v>45718720</v>
      </c>
      <c r="P255" s="129">
        <v>0</v>
      </c>
      <c r="Q255" s="129">
        <v>45718720</v>
      </c>
      <c r="R255" s="129">
        <v>0</v>
      </c>
      <c r="S255" s="129">
        <v>0</v>
      </c>
      <c r="T255" s="129">
        <v>0</v>
      </c>
      <c r="U255" s="129">
        <v>0</v>
      </c>
      <c r="V255" s="129">
        <v>0</v>
      </c>
      <c r="W255" s="129">
        <v>0</v>
      </c>
      <c r="X255" s="129">
        <v>0</v>
      </c>
      <c r="Y255" s="129">
        <v>0</v>
      </c>
      <c r="Z255" s="129">
        <v>0</v>
      </c>
      <c r="AA255" s="129">
        <v>0</v>
      </c>
      <c r="AB255" s="129">
        <v>0</v>
      </c>
      <c r="AC255" s="129">
        <v>0</v>
      </c>
      <c r="AD255" s="129">
        <v>0</v>
      </c>
      <c r="AE255" s="129">
        <v>0</v>
      </c>
      <c r="AF255" s="129">
        <v>0</v>
      </c>
      <c r="AG255" s="129">
        <v>0</v>
      </c>
      <c r="AH255" s="129">
        <v>0</v>
      </c>
      <c r="AI255" s="129">
        <v>0</v>
      </c>
      <c r="AJ255" s="129">
        <v>0</v>
      </c>
      <c r="AK255" s="129">
        <v>0</v>
      </c>
      <c r="AL255" s="129">
        <v>0</v>
      </c>
      <c r="AM255" s="662" t="s">
        <v>367</v>
      </c>
      <c r="AN255" s="324" t="s">
        <v>536</v>
      </c>
      <c r="AO255" s="663" t="s">
        <v>512</v>
      </c>
      <c r="AP255" s="529" t="s">
        <v>1461</v>
      </c>
    </row>
    <row r="256" spans="1:42" ht="12.75" x14ac:dyDescent="0.2">
      <c r="A256" s="664">
        <v>249</v>
      </c>
      <c r="B256" s="665" t="s">
        <v>370</v>
      </c>
      <c r="C256" s="666" t="s">
        <v>1217</v>
      </c>
      <c r="D256" s="667" t="s">
        <v>1204</v>
      </c>
      <c r="E256" s="668" t="s">
        <v>369</v>
      </c>
      <c r="F256" s="129">
        <v>92270976</v>
      </c>
      <c r="G256" s="129">
        <v>0</v>
      </c>
      <c r="H256" s="129">
        <v>92270976</v>
      </c>
      <c r="I256" s="129">
        <v>-3762000</v>
      </c>
      <c r="J256" s="129">
        <v>0</v>
      </c>
      <c r="K256" s="129">
        <v>-3762000</v>
      </c>
      <c r="L256" s="129">
        <v>-5638140</v>
      </c>
      <c r="M256" s="129">
        <v>0</v>
      </c>
      <c r="N256" s="129">
        <v>-5638140</v>
      </c>
      <c r="O256" s="129">
        <v>82870836</v>
      </c>
      <c r="P256" s="129">
        <v>0</v>
      </c>
      <c r="Q256" s="129">
        <v>82870836</v>
      </c>
      <c r="R256" s="129">
        <v>0</v>
      </c>
      <c r="S256" s="129">
        <v>0</v>
      </c>
      <c r="T256" s="129">
        <v>0</v>
      </c>
      <c r="U256" s="129">
        <v>0</v>
      </c>
      <c r="V256" s="129">
        <v>0</v>
      </c>
      <c r="W256" s="129">
        <v>0</v>
      </c>
      <c r="X256" s="129">
        <v>0</v>
      </c>
      <c r="Y256" s="129">
        <v>0</v>
      </c>
      <c r="Z256" s="129">
        <v>0</v>
      </c>
      <c r="AA256" s="129">
        <v>0</v>
      </c>
      <c r="AB256" s="129">
        <v>0</v>
      </c>
      <c r="AC256" s="129">
        <v>0</v>
      </c>
      <c r="AD256" s="129">
        <v>0</v>
      </c>
      <c r="AE256" s="129">
        <v>0</v>
      </c>
      <c r="AF256" s="129">
        <v>0</v>
      </c>
      <c r="AG256" s="129">
        <v>0</v>
      </c>
      <c r="AH256" s="129">
        <v>0</v>
      </c>
      <c r="AI256" s="129">
        <v>0</v>
      </c>
      <c r="AJ256" s="129">
        <v>0</v>
      </c>
      <c r="AK256" s="129">
        <v>0</v>
      </c>
      <c r="AL256" s="129">
        <v>0</v>
      </c>
      <c r="AM256" s="662" t="s">
        <v>369</v>
      </c>
      <c r="AN256" s="324" t="s">
        <v>570</v>
      </c>
      <c r="AO256" s="663" t="s">
        <v>1915</v>
      </c>
      <c r="AP256" s="529" t="s">
        <v>1462</v>
      </c>
    </row>
    <row r="257" spans="1:42" ht="12.75" x14ac:dyDescent="0.2">
      <c r="A257" s="664">
        <v>250</v>
      </c>
      <c r="B257" s="665" t="s">
        <v>372</v>
      </c>
      <c r="C257" s="666" t="s">
        <v>486</v>
      </c>
      <c r="D257" s="667" t="s">
        <v>1283</v>
      </c>
      <c r="E257" s="668" t="s">
        <v>511</v>
      </c>
      <c r="F257" s="129">
        <v>87849690</v>
      </c>
      <c r="G257" s="129">
        <v>301795</v>
      </c>
      <c r="H257" s="129">
        <v>88151485</v>
      </c>
      <c r="I257" s="129">
        <v>-966347</v>
      </c>
      <c r="J257" s="129">
        <v>-3320</v>
      </c>
      <c r="K257" s="129">
        <v>-969667</v>
      </c>
      <c r="L257" s="129">
        <v>-3513988</v>
      </c>
      <c r="M257" s="129">
        <v>-12072</v>
      </c>
      <c r="N257" s="129">
        <v>-3526060</v>
      </c>
      <c r="O257" s="129">
        <v>83369355</v>
      </c>
      <c r="P257" s="129">
        <v>286403</v>
      </c>
      <c r="Q257" s="129">
        <v>83655758</v>
      </c>
      <c r="R257" s="129">
        <v>110637</v>
      </c>
      <c r="S257" s="129">
        <v>0</v>
      </c>
      <c r="T257" s="129">
        <v>110637</v>
      </c>
      <c r="U257" s="129">
        <v>0</v>
      </c>
      <c r="V257" s="129">
        <v>0</v>
      </c>
      <c r="W257" s="129">
        <v>0</v>
      </c>
      <c r="X257" s="129">
        <v>-28342</v>
      </c>
      <c r="Y257" s="129">
        <v>77591</v>
      </c>
      <c r="Z257" s="129">
        <v>229350</v>
      </c>
      <c r="AA257" s="129">
        <v>229350</v>
      </c>
      <c r="AB257" s="129">
        <v>0</v>
      </c>
      <c r="AC257" s="129">
        <v>0</v>
      </c>
      <c r="AD257" s="129">
        <v>0</v>
      </c>
      <c r="AE257" s="129">
        <v>5577</v>
      </c>
      <c r="AF257" s="129">
        <v>0</v>
      </c>
      <c r="AG257" s="129">
        <v>5577</v>
      </c>
      <c r="AH257" s="129">
        <v>0</v>
      </c>
      <c r="AI257" s="129">
        <v>0</v>
      </c>
      <c r="AJ257" s="129">
        <v>5577</v>
      </c>
      <c r="AK257" s="129">
        <v>0</v>
      </c>
      <c r="AL257" s="129">
        <v>5577</v>
      </c>
      <c r="AM257" s="662" t="s">
        <v>511</v>
      </c>
      <c r="AN257" s="324" t="s">
        <v>486</v>
      </c>
      <c r="AO257" s="663" t="s">
        <v>509</v>
      </c>
      <c r="AP257" s="529" t="s">
        <v>1463</v>
      </c>
    </row>
    <row r="258" spans="1:42" ht="12.75" x14ac:dyDescent="0.2">
      <c r="A258" s="664">
        <v>251</v>
      </c>
      <c r="B258" s="665" t="s">
        <v>374</v>
      </c>
      <c r="C258" s="666" t="s">
        <v>486</v>
      </c>
      <c r="D258" s="667" t="s">
        <v>1228</v>
      </c>
      <c r="E258" s="668" t="s">
        <v>563</v>
      </c>
      <c r="F258" s="129">
        <v>96176613</v>
      </c>
      <c r="G258" s="129">
        <v>1460435</v>
      </c>
      <c r="H258" s="129">
        <v>97637048</v>
      </c>
      <c r="I258" s="129">
        <v>-9617661</v>
      </c>
      <c r="J258" s="129">
        <v>0</v>
      </c>
      <c r="K258" s="129">
        <v>-9617661</v>
      </c>
      <c r="L258" s="129">
        <v>0</v>
      </c>
      <c r="M258" s="129">
        <v>0</v>
      </c>
      <c r="N258" s="129">
        <v>0</v>
      </c>
      <c r="O258" s="129">
        <v>86558952</v>
      </c>
      <c r="P258" s="129">
        <v>1460435</v>
      </c>
      <c r="Q258" s="129">
        <v>88019387</v>
      </c>
      <c r="R258" s="129">
        <v>0</v>
      </c>
      <c r="S258" s="129">
        <v>0</v>
      </c>
      <c r="T258" s="129">
        <v>0</v>
      </c>
      <c r="U258" s="129">
        <v>0</v>
      </c>
      <c r="V258" s="129">
        <v>0</v>
      </c>
      <c r="W258" s="129">
        <v>0</v>
      </c>
      <c r="X258" s="129">
        <v>1591</v>
      </c>
      <c r="Y258" s="129">
        <v>395922</v>
      </c>
      <c r="Z258" s="129">
        <v>1133933</v>
      </c>
      <c r="AA258" s="129">
        <v>1133933</v>
      </c>
      <c r="AB258" s="129">
        <v>0</v>
      </c>
      <c r="AC258" s="129">
        <v>0</v>
      </c>
      <c r="AD258" s="129">
        <v>0</v>
      </c>
      <c r="AE258" s="129">
        <v>0</v>
      </c>
      <c r="AF258" s="129">
        <v>438552</v>
      </c>
      <c r="AG258" s="129">
        <v>438552</v>
      </c>
      <c r="AH258" s="129">
        <v>0</v>
      </c>
      <c r="AI258" s="129">
        <v>0</v>
      </c>
      <c r="AJ258" s="129">
        <v>0</v>
      </c>
      <c r="AK258" s="129">
        <v>438552</v>
      </c>
      <c r="AL258" s="129">
        <v>438552</v>
      </c>
      <c r="AM258" s="662" t="s">
        <v>563</v>
      </c>
      <c r="AN258" s="324" t="s">
        <v>486</v>
      </c>
      <c r="AO258" s="663" t="s">
        <v>1917</v>
      </c>
      <c r="AP258" s="529" t="s">
        <v>1464</v>
      </c>
    </row>
    <row r="259" spans="1:42" ht="12.75" x14ac:dyDescent="0.2">
      <c r="A259" s="664">
        <v>252</v>
      </c>
      <c r="B259" s="665" t="s">
        <v>376</v>
      </c>
      <c r="C259" s="666" t="s">
        <v>1201</v>
      </c>
      <c r="D259" s="667" t="s">
        <v>1228</v>
      </c>
      <c r="E259" s="668" t="s">
        <v>375</v>
      </c>
      <c r="F259" s="129">
        <v>62054614</v>
      </c>
      <c r="G259" s="129">
        <v>0</v>
      </c>
      <c r="H259" s="129">
        <v>62054614</v>
      </c>
      <c r="I259" s="129">
        <v>-1421000</v>
      </c>
      <c r="J259" s="129">
        <v>0</v>
      </c>
      <c r="K259" s="129">
        <v>-1421000</v>
      </c>
      <c r="L259" s="129">
        <v>-3488000</v>
      </c>
      <c r="M259" s="129">
        <v>0</v>
      </c>
      <c r="N259" s="129">
        <v>-3488000</v>
      </c>
      <c r="O259" s="129">
        <v>57145614</v>
      </c>
      <c r="P259" s="129">
        <v>0</v>
      </c>
      <c r="Q259" s="129">
        <v>57145614</v>
      </c>
      <c r="R259" s="129">
        <v>28942</v>
      </c>
      <c r="S259" s="129">
        <v>0</v>
      </c>
      <c r="T259" s="129">
        <v>28942</v>
      </c>
      <c r="U259" s="129">
        <v>0</v>
      </c>
      <c r="V259" s="129">
        <v>0</v>
      </c>
      <c r="W259" s="129">
        <v>0</v>
      </c>
      <c r="X259" s="129">
        <v>0</v>
      </c>
      <c r="Y259" s="129">
        <v>0</v>
      </c>
      <c r="Z259" s="129">
        <v>0</v>
      </c>
      <c r="AA259" s="129">
        <v>0</v>
      </c>
      <c r="AB259" s="129">
        <v>0</v>
      </c>
      <c r="AC259" s="129">
        <v>0</v>
      </c>
      <c r="AD259" s="129">
        <v>0</v>
      </c>
      <c r="AE259" s="129">
        <v>0</v>
      </c>
      <c r="AF259" s="129">
        <v>0</v>
      </c>
      <c r="AG259" s="129">
        <v>0</v>
      </c>
      <c r="AH259" s="129">
        <v>0</v>
      </c>
      <c r="AI259" s="129">
        <v>0</v>
      </c>
      <c r="AJ259" s="129">
        <v>0</v>
      </c>
      <c r="AK259" s="129">
        <v>0</v>
      </c>
      <c r="AL259" s="129">
        <v>0</v>
      </c>
      <c r="AM259" s="662" t="s">
        <v>375</v>
      </c>
      <c r="AN259" s="324" t="s">
        <v>567</v>
      </c>
      <c r="AO259" s="663" t="s">
        <v>512</v>
      </c>
      <c r="AP259" s="529" t="s">
        <v>1465</v>
      </c>
    </row>
    <row r="260" spans="1:42" ht="12.75" x14ac:dyDescent="0.2">
      <c r="A260" s="664">
        <v>253</v>
      </c>
      <c r="B260" s="665" t="s">
        <v>378</v>
      </c>
      <c r="C260" s="666" t="s">
        <v>1201</v>
      </c>
      <c r="D260" s="667" t="s">
        <v>1224</v>
      </c>
      <c r="E260" s="668" t="s">
        <v>377</v>
      </c>
      <c r="F260" s="129">
        <v>32437101</v>
      </c>
      <c r="G260" s="129">
        <v>0</v>
      </c>
      <c r="H260" s="129">
        <v>32437101</v>
      </c>
      <c r="I260" s="129">
        <v>-324000</v>
      </c>
      <c r="J260" s="129">
        <v>0</v>
      </c>
      <c r="K260" s="129">
        <v>-324000</v>
      </c>
      <c r="L260" s="129">
        <v>-1500000</v>
      </c>
      <c r="M260" s="129">
        <v>0</v>
      </c>
      <c r="N260" s="129">
        <v>-1500000</v>
      </c>
      <c r="O260" s="129">
        <v>30613101</v>
      </c>
      <c r="P260" s="129">
        <v>0</v>
      </c>
      <c r="Q260" s="129">
        <v>30613101</v>
      </c>
      <c r="R260" s="129">
        <v>1377076</v>
      </c>
      <c r="S260" s="129">
        <v>0</v>
      </c>
      <c r="T260" s="129">
        <v>1377076</v>
      </c>
      <c r="U260" s="129">
        <v>0</v>
      </c>
      <c r="V260" s="129">
        <v>0</v>
      </c>
      <c r="W260" s="129">
        <v>0</v>
      </c>
      <c r="X260" s="129">
        <v>0</v>
      </c>
      <c r="Y260" s="129">
        <v>0</v>
      </c>
      <c r="Z260" s="129">
        <v>0</v>
      </c>
      <c r="AA260" s="129">
        <v>0</v>
      </c>
      <c r="AB260" s="129">
        <v>0</v>
      </c>
      <c r="AC260" s="129">
        <v>0</v>
      </c>
      <c r="AD260" s="129">
        <v>0</v>
      </c>
      <c r="AE260" s="129">
        <v>0</v>
      </c>
      <c r="AF260" s="129">
        <v>0</v>
      </c>
      <c r="AG260" s="129">
        <v>0</v>
      </c>
      <c r="AH260" s="129">
        <v>0</v>
      </c>
      <c r="AI260" s="129">
        <v>0</v>
      </c>
      <c r="AJ260" s="129">
        <v>0</v>
      </c>
      <c r="AK260" s="129">
        <v>0</v>
      </c>
      <c r="AL260" s="129">
        <v>0</v>
      </c>
      <c r="AM260" s="662" t="s">
        <v>377</v>
      </c>
      <c r="AN260" s="324" t="s">
        <v>529</v>
      </c>
      <c r="AO260" s="663" t="s">
        <v>512</v>
      </c>
      <c r="AP260" s="529" t="s">
        <v>1466</v>
      </c>
    </row>
    <row r="261" spans="1:42" ht="12.75" x14ac:dyDescent="0.2">
      <c r="A261" s="664">
        <v>254</v>
      </c>
      <c r="B261" s="665" t="s">
        <v>380</v>
      </c>
      <c r="C261" s="666" t="s">
        <v>1217</v>
      </c>
      <c r="D261" s="667" t="s">
        <v>1283</v>
      </c>
      <c r="E261" s="668" t="s">
        <v>379</v>
      </c>
      <c r="F261" s="129">
        <v>96374932</v>
      </c>
      <c r="G261" s="129">
        <v>1651925</v>
      </c>
      <c r="H261" s="129">
        <v>98026857</v>
      </c>
      <c r="I261" s="129">
        <v>-2891248</v>
      </c>
      <c r="J261" s="129">
        <v>0</v>
      </c>
      <c r="K261" s="129">
        <v>-2891248</v>
      </c>
      <c r="L261" s="129">
        <v>-4586022</v>
      </c>
      <c r="M261" s="129">
        <v>0</v>
      </c>
      <c r="N261" s="129">
        <v>-4586022</v>
      </c>
      <c r="O261" s="129">
        <v>88897662</v>
      </c>
      <c r="P261" s="129">
        <v>1651925</v>
      </c>
      <c r="Q261" s="129">
        <v>90549587</v>
      </c>
      <c r="R261" s="129">
        <v>0</v>
      </c>
      <c r="S261" s="129">
        <v>0</v>
      </c>
      <c r="T261" s="129">
        <v>0</v>
      </c>
      <c r="U261" s="129">
        <v>0</v>
      </c>
      <c r="V261" s="129">
        <v>0</v>
      </c>
      <c r="W261" s="129">
        <v>0</v>
      </c>
      <c r="X261" s="129">
        <v>0</v>
      </c>
      <c r="Y261" s="129">
        <v>144320</v>
      </c>
      <c r="Z261" s="129">
        <v>1507605</v>
      </c>
      <c r="AA261" s="129">
        <v>1507605</v>
      </c>
      <c r="AB261" s="129">
        <v>0</v>
      </c>
      <c r="AC261" s="129">
        <v>0</v>
      </c>
      <c r="AD261" s="129">
        <v>0</v>
      </c>
      <c r="AE261" s="129">
        <v>0</v>
      </c>
      <c r="AF261" s="129">
        <v>0</v>
      </c>
      <c r="AG261" s="129">
        <v>0</v>
      </c>
      <c r="AH261" s="129">
        <v>0</v>
      </c>
      <c r="AI261" s="129">
        <v>0</v>
      </c>
      <c r="AJ261" s="129">
        <v>0</v>
      </c>
      <c r="AK261" s="129">
        <v>0</v>
      </c>
      <c r="AL261" s="129">
        <v>0</v>
      </c>
      <c r="AM261" s="662" t="s">
        <v>379</v>
      </c>
      <c r="AN261" s="324" t="s">
        <v>570</v>
      </c>
      <c r="AO261" s="663" t="s">
        <v>573</v>
      </c>
      <c r="AP261" s="529" t="s">
        <v>1467</v>
      </c>
    </row>
    <row r="262" spans="1:42" ht="12.75" x14ac:dyDescent="0.2">
      <c r="A262" s="664">
        <v>255</v>
      </c>
      <c r="B262" s="665" t="s">
        <v>382</v>
      </c>
      <c r="C262" s="666" t="s">
        <v>1201</v>
      </c>
      <c r="D262" s="667" t="s">
        <v>1202</v>
      </c>
      <c r="E262" s="668" t="s">
        <v>381</v>
      </c>
      <c r="F262" s="129">
        <v>38205024</v>
      </c>
      <c r="G262" s="129">
        <v>0</v>
      </c>
      <c r="H262" s="129">
        <v>38205024</v>
      </c>
      <c r="I262" s="129">
        <v>-1500000</v>
      </c>
      <c r="J262" s="129">
        <v>0</v>
      </c>
      <c r="K262" s="129">
        <v>-1500000</v>
      </c>
      <c r="L262" s="129">
        <v>-500000</v>
      </c>
      <c r="M262" s="129">
        <v>0</v>
      </c>
      <c r="N262" s="129">
        <v>-500000</v>
      </c>
      <c r="O262" s="129">
        <v>36205024</v>
      </c>
      <c r="P262" s="129">
        <v>0</v>
      </c>
      <c r="Q262" s="129">
        <v>36205024</v>
      </c>
      <c r="R262" s="129">
        <v>0</v>
      </c>
      <c r="S262" s="129">
        <v>0</v>
      </c>
      <c r="T262" s="129">
        <v>0</v>
      </c>
      <c r="U262" s="129">
        <v>0</v>
      </c>
      <c r="V262" s="129">
        <v>0</v>
      </c>
      <c r="W262" s="129">
        <v>0</v>
      </c>
      <c r="X262" s="129">
        <v>0</v>
      </c>
      <c r="Y262" s="129">
        <v>0</v>
      </c>
      <c r="Z262" s="129">
        <v>0</v>
      </c>
      <c r="AA262" s="129">
        <v>0</v>
      </c>
      <c r="AB262" s="129">
        <v>0</v>
      </c>
      <c r="AC262" s="129">
        <v>0</v>
      </c>
      <c r="AD262" s="129">
        <v>0</v>
      </c>
      <c r="AE262" s="129">
        <v>0</v>
      </c>
      <c r="AF262" s="129">
        <v>0</v>
      </c>
      <c r="AG262" s="129">
        <v>0</v>
      </c>
      <c r="AH262" s="129">
        <v>0</v>
      </c>
      <c r="AI262" s="129">
        <v>0</v>
      </c>
      <c r="AJ262" s="129">
        <v>0</v>
      </c>
      <c r="AK262" s="129">
        <v>0</v>
      </c>
      <c r="AL262" s="129">
        <v>0</v>
      </c>
      <c r="AM262" s="662" t="s">
        <v>381</v>
      </c>
      <c r="AN262" s="324" t="s">
        <v>566</v>
      </c>
      <c r="AO262" s="663" t="s">
        <v>512</v>
      </c>
      <c r="AP262" s="529" t="s">
        <v>1468</v>
      </c>
    </row>
    <row r="263" spans="1:42" ht="12.75" x14ac:dyDescent="0.2">
      <c r="A263" s="664">
        <v>256</v>
      </c>
      <c r="B263" s="665" t="s">
        <v>384</v>
      </c>
      <c r="C263" s="666" t="s">
        <v>1213</v>
      </c>
      <c r="D263" s="667" t="s">
        <v>1214</v>
      </c>
      <c r="E263" s="668" t="s">
        <v>383</v>
      </c>
      <c r="F263" s="129">
        <v>61520847</v>
      </c>
      <c r="G263" s="129">
        <v>0</v>
      </c>
      <c r="H263" s="129">
        <v>61520847</v>
      </c>
      <c r="I263" s="129">
        <v>-872970</v>
      </c>
      <c r="J263" s="129">
        <v>0</v>
      </c>
      <c r="K263" s="129">
        <v>-872970</v>
      </c>
      <c r="L263" s="129">
        <v>-829096</v>
      </c>
      <c r="M263" s="129">
        <v>0</v>
      </c>
      <c r="N263" s="129">
        <v>-829096</v>
      </c>
      <c r="O263" s="129">
        <v>59818781</v>
      </c>
      <c r="P263" s="129">
        <v>0</v>
      </c>
      <c r="Q263" s="129">
        <v>59818781</v>
      </c>
      <c r="R263" s="129">
        <v>1387520</v>
      </c>
      <c r="S263" s="129">
        <v>0</v>
      </c>
      <c r="T263" s="129">
        <v>1387520</v>
      </c>
      <c r="U263" s="129">
        <v>0</v>
      </c>
      <c r="V263" s="129">
        <v>0</v>
      </c>
      <c r="W263" s="129">
        <v>0</v>
      </c>
      <c r="X263" s="129">
        <v>0</v>
      </c>
      <c r="Y263" s="129">
        <v>0</v>
      </c>
      <c r="Z263" s="129">
        <v>0</v>
      </c>
      <c r="AA263" s="129">
        <v>0</v>
      </c>
      <c r="AB263" s="129">
        <v>0</v>
      </c>
      <c r="AC263" s="129">
        <v>0</v>
      </c>
      <c r="AD263" s="129">
        <v>0</v>
      </c>
      <c r="AE263" s="129">
        <v>0</v>
      </c>
      <c r="AF263" s="129">
        <v>0</v>
      </c>
      <c r="AG263" s="129">
        <v>0</v>
      </c>
      <c r="AH263" s="129">
        <v>0</v>
      </c>
      <c r="AI263" s="129">
        <v>0</v>
      </c>
      <c r="AJ263" s="129">
        <v>0</v>
      </c>
      <c r="AK263" s="129">
        <v>0</v>
      </c>
      <c r="AL263" s="129">
        <v>0</v>
      </c>
      <c r="AM263" s="662" t="s">
        <v>383</v>
      </c>
      <c r="AN263" s="324" t="s">
        <v>576</v>
      </c>
      <c r="AO263" s="669" t="s">
        <v>485</v>
      </c>
      <c r="AP263" s="529" t="s">
        <v>1469</v>
      </c>
    </row>
    <row r="264" spans="1:42" ht="12.75" x14ac:dyDescent="0.2">
      <c r="A264" s="664">
        <v>257</v>
      </c>
      <c r="B264" s="665" t="s">
        <v>386</v>
      </c>
      <c r="C264" s="666" t="s">
        <v>1201</v>
      </c>
      <c r="D264" s="667" t="s">
        <v>1202</v>
      </c>
      <c r="E264" s="668" t="s">
        <v>385</v>
      </c>
      <c r="F264" s="129">
        <v>55165328</v>
      </c>
      <c r="G264" s="129">
        <v>0</v>
      </c>
      <c r="H264" s="129">
        <v>55165328</v>
      </c>
      <c r="I264" s="129">
        <v>-500000</v>
      </c>
      <c r="J264" s="129">
        <v>0</v>
      </c>
      <c r="K264" s="129">
        <v>-500000</v>
      </c>
      <c r="L264" s="129">
        <v>-2648608</v>
      </c>
      <c r="M264" s="129">
        <v>0</v>
      </c>
      <c r="N264" s="129">
        <v>-2648608</v>
      </c>
      <c r="O264" s="129">
        <v>52016720</v>
      </c>
      <c r="P264" s="129">
        <v>0</v>
      </c>
      <c r="Q264" s="129">
        <v>52016720</v>
      </c>
      <c r="R264" s="129">
        <v>1298208</v>
      </c>
      <c r="S264" s="129">
        <v>0</v>
      </c>
      <c r="T264" s="129">
        <v>1298208</v>
      </c>
      <c r="U264" s="129">
        <v>0</v>
      </c>
      <c r="V264" s="129">
        <v>0</v>
      </c>
      <c r="W264" s="129">
        <v>0</v>
      </c>
      <c r="X264" s="129">
        <v>0</v>
      </c>
      <c r="Y264" s="129">
        <v>0</v>
      </c>
      <c r="Z264" s="129">
        <v>0</v>
      </c>
      <c r="AA264" s="129">
        <v>0</v>
      </c>
      <c r="AB264" s="129">
        <v>0</v>
      </c>
      <c r="AC264" s="129">
        <v>0</v>
      </c>
      <c r="AD264" s="129">
        <v>0</v>
      </c>
      <c r="AE264" s="129">
        <v>0</v>
      </c>
      <c r="AF264" s="129">
        <v>0</v>
      </c>
      <c r="AG264" s="129">
        <v>0</v>
      </c>
      <c r="AH264" s="129">
        <v>0</v>
      </c>
      <c r="AI264" s="129">
        <v>0</v>
      </c>
      <c r="AJ264" s="129">
        <v>0</v>
      </c>
      <c r="AK264" s="129">
        <v>0</v>
      </c>
      <c r="AL264" s="129">
        <v>0</v>
      </c>
      <c r="AM264" s="662" t="s">
        <v>385</v>
      </c>
      <c r="AN264" s="324" t="s">
        <v>543</v>
      </c>
      <c r="AO264" s="663" t="s">
        <v>542</v>
      </c>
      <c r="AP264" s="529" t="s">
        <v>1470</v>
      </c>
    </row>
    <row r="265" spans="1:42" ht="12.75" x14ac:dyDescent="0.2">
      <c r="A265" s="664">
        <v>258</v>
      </c>
      <c r="B265" s="665" t="s">
        <v>387</v>
      </c>
      <c r="C265" s="666" t="s">
        <v>486</v>
      </c>
      <c r="D265" s="667" t="s">
        <v>1224</v>
      </c>
      <c r="E265" s="668" t="s">
        <v>569</v>
      </c>
      <c r="F265" s="129">
        <v>113982173</v>
      </c>
      <c r="G265" s="129">
        <v>0</v>
      </c>
      <c r="H265" s="129">
        <v>113982173</v>
      </c>
      <c r="I265" s="129">
        <v>-1481768</v>
      </c>
      <c r="J265" s="129">
        <v>0</v>
      </c>
      <c r="K265" s="129">
        <v>-1481768</v>
      </c>
      <c r="L265" s="129">
        <v>-3877998</v>
      </c>
      <c r="M265" s="129">
        <v>0</v>
      </c>
      <c r="N265" s="129">
        <v>-3877998</v>
      </c>
      <c r="O265" s="129">
        <v>108622407</v>
      </c>
      <c r="P265" s="129">
        <v>0</v>
      </c>
      <c r="Q265" s="129">
        <v>108622407</v>
      </c>
      <c r="R265" s="129">
        <v>591025</v>
      </c>
      <c r="S265" s="129">
        <v>0</v>
      </c>
      <c r="T265" s="129">
        <v>591025</v>
      </c>
      <c r="U265" s="129">
        <v>0</v>
      </c>
      <c r="V265" s="129">
        <v>0</v>
      </c>
      <c r="W265" s="129">
        <v>0</v>
      </c>
      <c r="X265" s="129">
        <v>0</v>
      </c>
      <c r="Y265" s="129">
        <v>0</v>
      </c>
      <c r="Z265" s="129">
        <v>0</v>
      </c>
      <c r="AA265" s="129">
        <v>0</v>
      </c>
      <c r="AB265" s="129">
        <v>0</v>
      </c>
      <c r="AC265" s="129">
        <v>0</v>
      </c>
      <c r="AD265" s="129">
        <v>0</v>
      </c>
      <c r="AE265" s="129">
        <v>0</v>
      </c>
      <c r="AF265" s="129">
        <v>0</v>
      </c>
      <c r="AG265" s="129">
        <v>0</v>
      </c>
      <c r="AH265" s="129">
        <v>0</v>
      </c>
      <c r="AI265" s="129">
        <v>0</v>
      </c>
      <c r="AJ265" s="129">
        <v>0</v>
      </c>
      <c r="AK265" s="129">
        <v>0</v>
      </c>
      <c r="AL265" s="129">
        <v>0</v>
      </c>
      <c r="AM265" s="662" t="s">
        <v>569</v>
      </c>
      <c r="AN265" s="324" t="s">
        <v>486</v>
      </c>
      <c r="AO265" s="663" t="s">
        <v>1916</v>
      </c>
      <c r="AP265" s="529" t="s">
        <v>1471</v>
      </c>
    </row>
    <row r="266" spans="1:42" ht="12.75" x14ac:dyDescent="0.2">
      <c r="A266" s="664">
        <v>259</v>
      </c>
      <c r="B266" s="665" t="s">
        <v>389</v>
      </c>
      <c r="C266" s="666" t="s">
        <v>1217</v>
      </c>
      <c r="D266" s="667" t="s">
        <v>1204</v>
      </c>
      <c r="E266" s="668" t="s">
        <v>388</v>
      </c>
      <c r="F266" s="129">
        <v>59644239</v>
      </c>
      <c r="G266" s="129">
        <v>0</v>
      </c>
      <c r="H266" s="129">
        <v>59644239</v>
      </c>
      <c r="I266" s="129">
        <v>-1789327</v>
      </c>
      <c r="J266" s="129">
        <v>0</v>
      </c>
      <c r="K266" s="129">
        <v>-1789327</v>
      </c>
      <c r="L266" s="129">
        <v>-3543580</v>
      </c>
      <c r="M266" s="129">
        <v>0</v>
      </c>
      <c r="N266" s="129">
        <v>-3543580</v>
      </c>
      <c r="O266" s="129">
        <v>54311332</v>
      </c>
      <c r="P266" s="129">
        <v>0</v>
      </c>
      <c r="Q266" s="129">
        <v>54311332</v>
      </c>
      <c r="R266" s="129">
        <v>0</v>
      </c>
      <c r="S266" s="129">
        <v>0</v>
      </c>
      <c r="T266" s="129">
        <v>0</v>
      </c>
      <c r="U266" s="129">
        <v>0</v>
      </c>
      <c r="V266" s="129">
        <v>0</v>
      </c>
      <c r="W266" s="129">
        <v>0</v>
      </c>
      <c r="X266" s="129">
        <v>0</v>
      </c>
      <c r="Y266" s="129">
        <v>0</v>
      </c>
      <c r="Z266" s="129">
        <v>0</v>
      </c>
      <c r="AA266" s="129">
        <v>0</v>
      </c>
      <c r="AB266" s="129">
        <v>0</v>
      </c>
      <c r="AC266" s="129">
        <v>0</v>
      </c>
      <c r="AD266" s="129">
        <v>0</v>
      </c>
      <c r="AE266" s="129">
        <v>0</v>
      </c>
      <c r="AF266" s="129">
        <v>0</v>
      </c>
      <c r="AG266" s="129">
        <v>0</v>
      </c>
      <c r="AH266" s="129">
        <v>0</v>
      </c>
      <c r="AI266" s="129">
        <v>0</v>
      </c>
      <c r="AJ266" s="129">
        <v>0</v>
      </c>
      <c r="AK266" s="129">
        <v>0</v>
      </c>
      <c r="AL266" s="129">
        <v>0</v>
      </c>
      <c r="AM266" s="662" t="s">
        <v>388</v>
      </c>
      <c r="AN266" s="324" t="s">
        <v>570</v>
      </c>
      <c r="AO266" s="663" t="s">
        <v>1915</v>
      </c>
      <c r="AP266" s="529" t="s">
        <v>1472</v>
      </c>
    </row>
    <row r="267" spans="1:42" ht="12.75" x14ac:dyDescent="0.2">
      <c r="A267" s="664">
        <v>260</v>
      </c>
      <c r="B267" s="665" t="s">
        <v>391</v>
      </c>
      <c r="C267" s="666" t="s">
        <v>1201</v>
      </c>
      <c r="D267" s="667" t="s">
        <v>1228</v>
      </c>
      <c r="E267" s="668" t="s">
        <v>390</v>
      </c>
      <c r="F267" s="129">
        <v>35838364</v>
      </c>
      <c r="G267" s="129">
        <v>0</v>
      </c>
      <c r="H267" s="129">
        <v>35838364</v>
      </c>
      <c r="I267" s="129">
        <v>-143354</v>
      </c>
      <c r="J267" s="129">
        <v>0</v>
      </c>
      <c r="K267" s="129">
        <v>-143354</v>
      </c>
      <c r="L267" s="129">
        <v>-2604000</v>
      </c>
      <c r="M267" s="129">
        <v>0</v>
      </c>
      <c r="N267" s="129">
        <v>-2604000</v>
      </c>
      <c r="O267" s="129">
        <v>33091010</v>
      </c>
      <c r="P267" s="129">
        <v>0</v>
      </c>
      <c r="Q267" s="129">
        <v>33091010</v>
      </c>
      <c r="R267" s="129">
        <v>0</v>
      </c>
      <c r="S267" s="129">
        <v>0</v>
      </c>
      <c r="T267" s="129">
        <v>0</v>
      </c>
      <c r="U267" s="129">
        <v>0</v>
      </c>
      <c r="V267" s="129">
        <v>0</v>
      </c>
      <c r="W267" s="129">
        <v>0</v>
      </c>
      <c r="X267" s="129">
        <v>0</v>
      </c>
      <c r="Y267" s="129">
        <v>0</v>
      </c>
      <c r="Z267" s="129">
        <v>0</v>
      </c>
      <c r="AA267" s="129">
        <v>0</v>
      </c>
      <c r="AB267" s="129">
        <v>0</v>
      </c>
      <c r="AC267" s="129">
        <v>0</v>
      </c>
      <c r="AD267" s="129">
        <v>0</v>
      </c>
      <c r="AE267" s="129">
        <v>0</v>
      </c>
      <c r="AF267" s="129">
        <v>0</v>
      </c>
      <c r="AG267" s="129">
        <v>0</v>
      </c>
      <c r="AH267" s="129">
        <v>0</v>
      </c>
      <c r="AI267" s="129">
        <v>0</v>
      </c>
      <c r="AJ267" s="129">
        <v>0</v>
      </c>
      <c r="AK267" s="129">
        <v>0</v>
      </c>
      <c r="AL267" s="129">
        <v>0</v>
      </c>
      <c r="AM267" s="662" t="s">
        <v>390</v>
      </c>
      <c r="AN267" s="324" t="s">
        <v>564</v>
      </c>
      <c r="AO267" s="663" t="s">
        <v>1917</v>
      </c>
      <c r="AP267" s="529" t="s">
        <v>1473</v>
      </c>
    </row>
    <row r="268" spans="1:42" ht="12.75" x14ac:dyDescent="0.2">
      <c r="A268" s="664">
        <v>261</v>
      </c>
      <c r="B268" s="665" t="s">
        <v>393</v>
      </c>
      <c r="C268" s="666" t="s">
        <v>1201</v>
      </c>
      <c r="D268" s="667" t="s">
        <v>1202</v>
      </c>
      <c r="E268" s="668" t="s">
        <v>392</v>
      </c>
      <c r="F268" s="129">
        <v>22344167</v>
      </c>
      <c r="G268" s="129">
        <v>0</v>
      </c>
      <c r="H268" s="129">
        <v>22344167</v>
      </c>
      <c r="I268" s="129">
        <v>-488215</v>
      </c>
      <c r="J268" s="129">
        <v>0</v>
      </c>
      <c r="K268" s="129">
        <v>-488215</v>
      </c>
      <c r="L268" s="129">
        <v>0</v>
      </c>
      <c r="M268" s="129">
        <v>0</v>
      </c>
      <c r="N268" s="129">
        <v>0</v>
      </c>
      <c r="O268" s="129">
        <v>21855952</v>
      </c>
      <c r="P268" s="129">
        <v>0</v>
      </c>
      <c r="Q268" s="129">
        <v>21855952</v>
      </c>
      <c r="R268" s="129">
        <v>0</v>
      </c>
      <c r="S268" s="129">
        <v>0</v>
      </c>
      <c r="T268" s="129">
        <v>0</v>
      </c>
      <c r="U268" s="129">
        <v>0</v>
      </c>
      <c r="V268" s="129">
        <v>0</v>
      </c>
      <c r="W268" s="129">
        <v>0</v>
      </c>
      <c r="X268" s="129">
        <v>0</v>
      </c>
      <c r="Y268" s="129">
        <v>0</v>
      </c>
      <c r="Z268" s="129">
        <v>0</v>
      </c>
      <c r="AA268" s="129">
        <v>0</v>
      </c>
      <c r="AB268" s="129">
        <v>0</v>
      </c>
      <c r="AC268" s="129">
        <v>0</v>
      </c>
      <c r="AD268" s="129">
        <v>0</v>
      </c>
      <c r="AE268" s="129">
        <v>0</v>
      </c>
      <c r="AF268" s="129">
        <v>0</v>
      </c>
      <c r="AG268" s="129">
        <v>0</v>
      </c>
      <c r="AH268" s="129">
        <v>0</v>
      </c>
      <c r="AI268" s="129">
        <v>0</v>
      </c>
      <c r="AJ268" s="129">
        <v>0</v>
      </c>
      <c r="AK268" s="129">
        <v>0</v>
      </c>
      <c r="AL268" s="129">
        <v>0</v>
      </c>
      <c r="AM268" s="662" t="s">
        <v>392</v>
      </c>
      <c r="AN268" s="324" t="s">
        <v>566</v>
      </c>
      <c r="AO268" s="663" t="s">
        <v>512</v>
      </c>
      <c r="AP268" s="529" t="s">
        <v>1474</v>
      </c>
    </row>
    <row r="269" spans="1:42" ht="12.75" x14ac:dyDescent="0.2">
      <c r="A269" s="664">
        <v>262</v>
      </c>
      <c r="B269" s="665" t="s">
        <v>395</v>
      </c>
      <c r="C269" s="666" t="s">
        <v>1201</v>
      </c>
      <c r="D269" s="667" t="s">
        <v>1224</v>
      </c>
      <c r="E269" s="668" t="s">
        <v>394</v>
      </c>
      <c r="F269" s="129">
        <v>31881582</v>
      </c>
      <c r="G269" s="129">
        <v>0</v>
      </c>
      <c r="H269" s="129">
        <v>31881582</v>
      </c>
      <c r="I269" s="129">
        <v>-140000</v>
      </c>
      <c r="J269" s="129">
        <v>0</v>
      </c>
      <c r="K269" s="129">
        <v>-140000</v>
      </c>
      <c r="L269" s="129">
        <v>-711000</v>
      </c>
      <c r="M269" s="129">
        <v>0</v>
      </c>
      <c r="N269" s="129">
        <v>-711000</v>
      </c>
      <c r="O269" s="129">
        <v>31030582</v>
      </c>
      <c r="P269" s="129">
        <v>0</v>
      </c>
      <c r="Q269" s="129">
        <v>31030582</v>
      </c>
      <c r="R269" s="129">
        <v>62164</v>
      </c>
      <c r="S269" s="129">
        <v>0</v>
      </c>
      <c r="T269" s="129">
        <v>62164</v>
      </c>
      <c r="U269" s="129">
        <v>0</v>
      </c>
      <c r="V269" s="129">
        <v>0</v>
      </c>
      <c r="W269" s="129">
        <v>0</v>
      </c>
      <c r="X269" s="129">
        <v>0</v>
      </c>
      <c r="Y269" s="129">
        <v>0</v>
      </c>
      <c r="Z269" s="129">
        <v>0</v>
      </c>
      <c r="AA269" s="129">
        <v>0</v>
      </c>
      <c r="AB269" s="129">
        <v>0</v>
      </c>
      <c r="AC269" s="129">
        <v>0</v>
      </c>
      <c r="AD269" s="129">
        <v>0</v>
      </c>
      <c r="AE269" s="129">
        <v>0</v>
      </c>
      <c r="AF269" s="129">
        <v>0</v>
      </c>
      <c r="AG269" s="129">
        <v>0</v>
      </c>
      <c r="AH269" s="129">
        <v>0</v>
      </c>
      <c r="AI269" s="129">
        <v>0</v>
      </c>
      <c r="AJ269" s="129">
        <v>0</v>
      </c>
      <c r="AK269" s="129">
        <v>0</v>
      </c>
      <c r="AL269" s="129">
        <v>0</v>
      </c>
      <c r="AM269" s="662" t="s">
        <v>394</v>
      </c>
      <c r="AN269" s="324" t="s">
        <v>521</v>
      </c>
      <c r="AO269" s="663" t="s">
        <v>519</v>
      </c>
      <c r="AP269" s="529" t="s">
        <v>1475</v>
      </c>
    </row>
    <row r="270" spans="1:42" ht="12.75" x14ac:dyDescent="0.2">
      <c r="A270" s="664">
        <v>263</v>
      </c>
      <c r="B270" s="665" t="s">
        <v>396</v>
      </c>
      <c r="C270" s="666" t="s">
        <v>486</v>
      </c>
      <c r="D270" s="667" t="s">
        <v>1228</v>
      </c>
      <c r="E270" s="668" t="s">
        <v>827</v>
      </c>
      <c r="F270" s="129">
        <v>78405064</v>
      </c>
      <c r="G270" s="129">
        <v>0</v>
      </c>
      <c r="H270" s="129">
        <v>78405064</v>
      </c>
      <c r="I270" s="129">
        <v>-607719</v>
      </c>
      <c r="J270" s="129">
        <v>0</v>
      </c>
      <c r="K270" s="129">
        <v>-607719</v>
      </c>
      <c r="L270" s="129">
        <v>-4100000</v>
      </c>
      <c r="M270" s="129">
        <v>0</v>
      </c>
      <c r="N270" s="129">
        <v>-4100000</v>
      </c>
      <c r="O270" s="129">
        <v>73697345</v>
      </c>
      <c r="P270" s="129">
        <v>0</v>
      </c>
      <c r="Q270" s="129">
        <v>73697345</v>
      </c>
      <c r="R270" s="129">
        <v>98954</v>
      </c>
      <c r="S270" s="129">
        <v>0</v>
      </c>
      <c r="T270" s="129">
        <v>98954</v>
      </c>
      <c r="U270" s="129">
        <v>0</v>
      </c>
      <c r="V270" s="129">
        <v>0</v>
      </c>
      <c r="W270" s="129">
        <v>0</v>
      </c>
      <c r="X270" s="129">
        <v>0</v>
      </c>
      <c r="Y270" s="129">
        <v>0</v>
      </c>
      <c r="Z270" s="129">
        <v>0</v>
      </c>
      <c r="AA270" s="129">
        <v>0</v>
      </c>
      <c r="AB270" s="129">
        <v>0</v>
      </c>
      <c r="AC270" s="129">
        <v>0</v>
      </c>
      <c r="AD270" s="129">
        <v>0</v>
      </c>
      <c r="AE270" s="129">
        <v>0</v>
      </c>
      <c r="AF270" s="129">
        <v>0</v>
      </c>
      <c r="AG270" s="129">
        <v>0</v>
      </c>
      <c r="AH270" s="129">
        <v>0</v>
      </c>
      <c r="AI270" s="129">
        <v>0</v>
      </c>
      <c r="AJ270" s="129">
        <v>0</v>
      </c>
      <c r="AK270" s="129">
        <v>0</v>
      </c>
      <c r="AL270" s="129">
        <v>0</v>
      </c>
      <c r="AM270" s="662" t="s">
        <v>827</v>
      </c>
      <c r="AN270" s="324" t="s">
        <v>486</v>
      </c>
      <c r="AO270" s="663" t="s">
        <v>561</v>
      </c>
      <c r="AP270" s="529" t="s">
        <v>1476</v>
      </c>
    </row>
    <row r="271" spans="1:42" ht="12.75" x14ac:dyDescent="0.2">
      <c r="A271" s="664">
        <v>264</v>
      </c>
      <c r="B271" s="665" t="s">
        <v>398</v>
      </c>
      <c r="C271" s="666" t="s">
        <v>1201</v>
      </c>
      <c r="D271" s="667" t="s">
        <v>1211</v>
      </c>
      <c r="E271" s="668" t="s">
        <v>397</v>
      </c>
      <c r="F271" s="129">
        <v>30178969</v>
      </c>
      <c r="G271" s="129">
        <v>0</v>
      </c>
      <c r="H271" s="129">
        <v>30178969</v>
      </c>
      <c r="I271" s="129">
        <v>-872000</v>
      </c>
      <c r="J271" s="129">
        <v>0</v>
      </c>
      <c r="K271" s="129">
        <v>-872000</v>
      </c>
      <c r="L271" s="129">
        <v>-1240000</v>
      </c>
      <c r="M271" s="129">
        <v>0</v>
      </c>
      <c r="N271" s="129">
        <v>-1240000</v>
      </c>
      <c r="O271" s="129">
        <v>28066969</v>
      </c>
      <c r="P271" s="129">
        <v>0</v>
      </c>
      <c r="Q271" s="129">
        <v>28066969</v>
      </c>
      <c r="R271" s="129">
        <v>300000</v>
      </c>
      <c r="S271" s="129">
        <v>0</v>
      </c>
      <c r="T271" s="129">
        <v>300000</v>
      </c>
      <c r="U271" s="129">
        <v>0</v>
      </c>
      <c r="V271" s="129">
        <v>0</v>
      </c>
      <c r="W271" s="129">
        <v>0</v>
      </c>
      <c r="X271" s="129">
        <v>0</v>
      </c>
      <c r="Y271" s="129">
        <v>0</v>
      </c>
      <c r="Z271" s="129">
        <v>0</v>
      </c>
      <c r="AA271" s="129">
        <v>0</v>
      </c>
      <c r="AB271" s="129">
        <v>0</v>
      </c>
      <c r="AC271" s="129">
        <v>0</v>
      </c>
      <c r="AD271" s="129">
        <v>0</v>
      </c>
      <c r="AE271" s="129">
        <v>0</v>
      </c>
      <c r="AF271" s="129">
        <v>0</v>
      </c>
      <c r="AG271" s="129">
        <v>0</v>
      </c>
      <c r="AH271" s="129">
        <v>0</v>
      </c>
      <c r="AI271" s="129">
        <v>0</v>
      </c>
      <c r="AJ271" s="129">
        <v>0</v>
      </c>
      <c r="AK271" s="129">
        <v>0</v>
      </c>
      <c r="AL271" s="129">
        <v>0</v>
      </c>
      <c r="AM271" s="662" t="s">
        <v>397</v>
      </c>
      <c r="AN271" s="324" t="s">
        <v>528</v>
      </c>
      <c r="AO271" s="663" t="s">
        <v>1913</v>
      </c>
      <c r="AP271" s="529" t="s">
        <v>1477</v>
      </c>
    </row>
    <row r="272" spans="1:42" ht="12.75" x14ac:dyDescent="0.2">
      <c r="A272" s="664">
        <v>265</v>
      </c>
      <c r="B272" s="665" t="s">
        <v>400</v>
      </c>
      <c r="C272" s="666" t="s">
        <v>1201</v>
      </c>
      <c r="D272" s="667" t="s">
        <v>1202</v>
      </c>
      <c r="E272" s="668" t="s">
        <v>399</v>
      </c>
      <c r="F272" s="129">
        <v>59692754</v>
      </c>
      <c r="G272" s="129">
        <v>0</v>
      </c>
      <c r="H272" s="129">
        <v>59692754</v>
      </c>
      <c r="I272" s="129">
        <v>-1790783</v>
      </c>
      <c r="J272" s="129">
        <v>0</v>
      </c>
      <c r="K272" s="129">
        <v>-1790783</v>
      </c>
      <c r="L272" s="129">
        <v>-1805559</v>
      </c>
      <c r="M272" s="129">
        <v>0</v>
      </c>
      <c r="N272" s="129">
        <v>-1805559</v>
      </c>
      <c r="O272" s="129">
        <v>56096412</v>
      </c>
      <c r="P272" s="129">
        <v>0</v>
      </c>
      <c r="Q272" s="129">
        <v>56096412</v>
      </c>
      <c r="R272" s="129">
        <v>397516</v>
      </c>
      <c r="S272" s="129">
        <v>0</v>
      </c>
      <c r="T272" s="129">
        <v>397516</v>
      </c>
      <c r="U272" s="129">
        <v>0</v>
      </c>
      <c r="V272" s="129">
        <v>0</v>
      </c>
      <c r="W272" s="129">
        <v>0</v>
      </c>
      <c r="X272" s="129">
        <v>0</v>
      </c>
      <c r="Y272" s="129">
        <v>0</v>
      </c>
      <c r="Z272" s="129">
        <v>0</v>
      </c>
      <c r="AA272" s="129">
        <v>0</v>
      </c>
      <c r="AB272" s="129">
        <v>0</v>
      </c>
      <c r="AC272" s="129">
        <v>0</v>
      </c>
      <c r="AD272" s="129">
        <v>0</v>
      </c>
      <c r="AE272" s="129">
        <v>0</v>
      </c>
      <c r="AF272" s="129">
        <v>0</v>
      </c>
      <c r="AG272" s="129">
        <v>0</v>
      </c>
      <c r="AH272" s="129">
        <v>0</v>
      </c>
      <c r="AI272" s="129">
        <v>0</v>
      </c>
      <c r="AJ272" s="129">
        <v>0</v>
      </c>
      <c r="AK272" s="129">
        <v>0</v>
      </c>
      <c r="AL272" s="129">
        <v>0</v>
      </c>
      <c r="AM272" s="662" t="s">
        <v>399</v>
      </c>
      <c r="AN272" s="324" t="s">
        <v>532</v>
      </c>
      <c r="AO272" s="663" t="s">
        <v>1914</v>
      </c>
      <c r="AP272" s="529" t="s">
        <v>1478</v>
      </c>
    </row>
    <row r="273" spans="1:42" ht="12.75" x14ac:dyDescent="0.2">
      <c r="A273" s="664">
        <v>266</v>
      </c>
      <c r="B273" s="665" t="s">
        <v>402</v>
      </c>
      <c r="C273" s="666" t="s">
        <v>1201</v>
      </c>
      <c r="D273" s="667" t="s">
        <v>1224</v>
      </c>
      <c r="E273" s="668" t="s">
        <v>401</v>
      </c>
      <c r="F273" s="129">
        <v>40364663</v>
      </c>
      <c r="G273" s="129">
        <v>0</v>
      </c>
      <c r="H273" s="129">
        <v>40364663</v>
      </c>
      <c r="I273" s="129">
        <v>-1210940</v>
      </c>
      <c r="J273" s="129">
        <v>0</v>
      </c>
      <c r="K273" s="129">
        <v>-1210940</v>
      </c>
      <c r="L273" s="129">
        <v>-4168651</v>
      </c>
      <c r="M273" s="129">
        <v>0</v>
      </c>
      <c r="N273" s="129">
        <v>-4168651</v>
      </c>
      <c r="O273" s="129">
        <v>34985072</v>
      </c>
      <c r="P273" s="129">
        <v>0</v>
      </c>
      <c r="Q273" s="129">
        <v>34985072</v>
      </c>
      <c r="R273" s="129">
        <v>246935</v>
      </c>
      <c r="S273" s="129">
        <v>0</v>
      </c>
      <c r="T273" s="129">
        <v>246935</v>
      </c>
      <c r="U273" s="129">
        <v>0</v>
      </c>
      <c r="V273" s="129">
        <v>0</v>
      </c>
      <c r="W273" s="129">
        <v>0</v>
      </c>
      <c r="X273" s="129">
        <v>0</v>
      </c>
      <c r="Y273" s="129">
        <v>0</v>
      </c>
      <c r="Z273" s="129">
        <v>0</v>
      </c>
      <c r="AA273" s="129">
        <v>0</v>
      </c>
      <c r="AB273" s="129">
        <v>0</v>
      </c>
      <c r="AC273" s="129">
        <v>0</v>
      </c>
      <c r="AD273" s="129">
        <v>0</v>
      </c>
      <c r="AE273" s="129">
        <v>0</v>
      </c>
      <c r="AF273" s="129">
        <v>0</v>
      </c>
      <c r="AG273" s="129">
        <v>0</v>
      </c>
      <c r="AH273" s="129">
        <v>0</v>
      </c>
      <c r="AI273" s="129">
        <v>0</v>
      </c>
      <c r="AJ273" s="129">
        <v>0</v>
      </c>
      <c r="AK273" s="129">
        <v>0</v>
      </c>
      <c r="AL273" s="129">
        <v>0</v>
      </c>
      <c r="AM273" s="662" t="s">
        <v>401</v>
      </c>
      <c r="AN273" s="324" t="s">
        <v>529</v>
      </c>
      <c r="AO273" s="663" t="s">
        <v>512</v>
      </c>
      <c r="AP273" s="529" t="s">
        <v>1479</v>
      </c>
    </row>
    <row r="274" spans="1:42" ht="12.75" x14ac:dyDescent="0.2">
      <c r="A274" s="664">
        <v>267</v>
      </c>
      <c r="B274" s="665" t="s">
        <v>404</v>
      </c>
      <c r="C274" s="666" t="s">
        <v>1201</v>
      </c>
      <c r="D274" s="667" t="s">
        <v>1202</v>
      </c>
      <c r="E274" s="668" t="s">
        <v>403</v>
      </c>
      <c r="F274" s="129">
        <v>36454067</v>
      </c>
      <c r="G274" s="129">
        <v>0</v>
      </c>
      <c r="H274" s="129">
        <v>36454067</v>
      </c>
      <c r="I274" s="129">
        <v>-650000</v>
      </c>
      <c r="J274" s="129">
        <v>0</v>
      </c>
      <c r="K274" s="129">
        <v>-650000</v>
      </c>
      <c r="L274" s="129">
        <v>-2000000</v>
      </c>
      <c r="M274" s="129">
        <v>0</v>
      </c>
      <c r="N274" s="129">
        <v>-2000000</v>
      </c>
      <c r="O274" s="129">
        <v>33804067</v>
      </c>
      <c r="P274" s="129">
        <v>0</v>
      </c>
      <c r="Q274" s="129">
        <v>33804067</v>
      </c>
      <c r="R274" s="129">
        <v>5490</v>
      </c>
      <c r="S274" s="129">
        <v>0</v>
      </c>
      <c r="T274" s="129">
        <v>5490</v>
      </c>
      <c r="U274" s="129">
        <v>0</v>
      </c>
      <c r="V274" s="129">
        <v>0</v>
      </c>
      <c r="W274" s="129">
        <v>0</v>
      </c>
      <c r="X274" s="129">
        <v>0</v>
      </c>
      <c r="Y274" s="129">
        <v>0</v>
      </c>
      <c r="Z274" s="129">
        <v>0</v>
      </c>
      <c r="AA274" s="129">
        <v>0</v>
      </c>
      <c r="AB274" s="129">
        <v>0</v>
      </c>
      <c r="AC274" s="129">
        <v>0</v>
      </c>
      <c r="AD274" s="129">
        <v>0</v>
      </c>
      <c r="AE274" s="129">
        <v>0</v>
      </c>
      <c r="AF274" s="129">
        <v>0</v>
      </c>
      <c r="AG274" s="129">
        <v>0</v>
      </c>
      <c r="AH274" s="129">
        <v>0</v>
      </c>
      <c r="AI274" s="129">
        <v>0</v>
      </c>
      <c r="AJ274" s="129">
        <v>0</v>
      </c>
      <c r="AK274" s="129">
        <v>0</v>
      </c>
      <c r="AL274" s="129">
        <v>0</v>
      </c>
      <c r="AM274" s="662" t="s">
        <v>403</v>
      </c>
      <c r="AN274" s="324" t="s">
        <v>543</v>
      </c>
      <c r="AO274" s="663" t="s">
        <v>542</v>
      </c>
      <c r="AP274" s="529" t="s">
        <v>1480</v>
      </c>
    </row>
    <row r="275" spans="1:42" ht="12.75" x14ac:dyDescent="0.2">
      <c r="A275" s="664">
        <v>268</v>
      </c>
      <c r="B275" s="665" t="s">
        <v>406</v>
      </c>
      <c r="C275" s="666" t="s">
        <v>1201</v>
      </c>
      <c r="D275" s="667" t="s">
        <v>1211</v>
      </c>
      <c r="E275" s="668" t="s">
        <v>405</v>
      </c>
      <c r="F275" s="129">
        <v>30891964</v>
      </c>
      <c r="G275" s="129">
        <v>0</v>
      </c>
      <c r="H275" s="129">
        <v>30891964</v>
      </c>
      <c r="I275" s="129">
        <v>-617839</v>
      </c>
      <c r="J275" s="129">
        <v>0</v>
      </c>
      <c r="K275" s="129">
        <v>-617839</v>
      </c>
      <c r="L275" s="129">
        <v>-660760</v>
      </c>
      <c r="M275" s="129">
        <v>0</v>
      </c>
      <c r="N275" s="129">
        <v>-660760</v>
      </c>
      <c r="O275" s="129">
        <v>29613365</v>
      </c>
      <c r="P275" s="129">
        <v>0</v>
      </c>
      <c r="Q275" s="129">
        <v>29613365</v>
      </c>
      <c r="R275" s="129">
        <v>0</v>
      </c>
      <c r="S275" s="129">
        <v>0</v>
      </c>
      <c r="T275" s="129">
        <v>0</v>
      </c>
      <c r="U275" s="129">
        <v>0</v>
      </c>
      <c r="V275" s="129">
        <v>0</v>
      </c>
      <c r="W275" s="129">
        <v>0</v>
      </c>
      <c r="X275" s="129">
        <v>0</v>
      </c>
      <c r="Y275" s="129">
        <v>0</v>
      </c>
      <c r="Z275" s="129">
        <v>0</v>
      </c>
      <c r="AA275" s="129">
        <v>0</v>
      </c>
      <c r="AB275" s="129">
        <v>0</v>
      </c>
      <c r="AC275" s="129">
        <v>0</v>
      </c>
      <c r="AD275" s="129">
        <v>0</v>
      </c>
      <c r="AE275" s="129">
        <v>0</v>
      </c>
      <c r="AF275" s="129">
        <v>0</v>
      </c>
      <c r="AG275" s="129">
        <v>0</v>
      </c>
      <c r="AH275" s="129">
        <v>0</v>
      </c>
      <c r="AI275" s="129">
        <v>0</v>
      </c>
      <c r="AJ275" s="129">
        <v>0</v>
      </c>
      <c r="AK275" s="129">
        <v>0</v>
      </c>
      <c r="AL275" s="129">
        <v>0</v>
      </c>
      <c r="AM275" s="662" t="s">
        <v>405</v>
      </c>
      <c r="AN275" s="324" t="s">
        <v>536</v>
      </c>
      <c r="AO275" s="663" t="s">
        <v>512</v>
      </c>
      <c r="AP275" s="529" t="s">
        <v>1481</v>
      </c>
    </row>
    <row r="276" spans="1:42" ht="14.25" x14ac:dyDescent="0.2">
      <c r="A276" s="664">
        <v>269</v>
      </c>
      <c r="B276" s="665" t="s">
        <v>407</v>
      </c>
      <c r="C276" s="666" t="s">
        <v>486</v>
      </c>
      <c r="D276" s="667" t="s">
        <v>1211</v>
      </c>
      <c r="E276" s="668" t="s">
        <v>1924</v>
      </c>
      <c r="F276" s="129">
        <v>131768459</v>
      </c>
      <c r="G276" s="129">
        <v>0</v>
      </c>
      <c r="H276" s="129">
        <v>131768459</v>
      </c>
      <c r="I276" s="129">
        <v>-2231244</v>
      </c>
      <c r="J276" s="129">
        <v>0</v>
      </c>
      <c r="K276" s="129">
        <v>-2231244</v>
      </c>
      <c r="L276" s="129">
        <v>-6893224</v>
      </c>
      <c r="M276" s="129">
        <v>0</v>
      </c>
      <c r="N276" s="129">
        <v>-6893224</v>
      </c>
      <c r="O276" s="129">
        <v>122643991</v>
      </c>
      <c r="P276" s="129">
        <v>0</v>
      </c>
      <c r="Q276" s="129">
        <v>122643991</v>
      </c>
      <c r="R276" s="129">
        <v>0</v>
      </c>
      <c r="S276" s="129">
        <v>0</v>
      </c>
      <c r="T276" s="129">
        <v>0</v>
      </c>
      <c r="U276" s="129">
        <v>0</v>
      </c>
      <c r="V276" s="129">
        <v>0</v>
      </c>
      <c r="W276" s="129">
        <v>0</v>
      </c>
      <c r="X276" s="129">
        <v>0</v>
      </c>
      <c r="Y276" s="129">
        <v>0</v>
      </c>
      <c r="Z276" s="129">
        <v>0</v>
      </c>
      <c r="AA276" s="129">
        <v>0</v>
      </c>
      <c r="AB276" s="129">
        <v>0</v>
      </c>
      <c r="AC276" s="129">
        <v>0</v>
      </c>
      <c r="AD276" s="129">
        <v>0</v>
      </c>
      <c r="AE276" s="129">
        <v>0</v>
      </c>
      <c r="AF276" s="129">
        <v>0</v>
      </c>
      <c r="AG276" s="129">
        <v>0</v>
      </c>
      <c r="AH276" s="129">
        <v>0</v>
      </c>
      <c r="AI276" s="129">
        <v>0</v>
      </c>
      <c r="AJ276" s="129">
        <v>0</v>
      </c>
      <c r="AK276" s="129">
        <v>0</v>
      </c>
      <c r="AL276" s="129">
        <v>0</v>
      </c>
      <c r="AM276" s="662" t="s">
        <v>527</v>
      </c>
      <c r="AN276" s="324" t="s">
        <v>486</v>
      </c>
      <c r="AO276" s="663" t="s">
        <v>1913</v>
      </c>
      <c r="AP276" s="529" t="s">
        <v>1482</v>
      </c>
    </row>
    <row r="277" spans="1:42" ht="12.75" x14ac:dyDescent="0.2">
      <c r="A277" s="664">
        <v>270</v>
      </c>
      <c r="B277" s="665" t="s">
        <v>409</v>
      </c>
      <c r="C277" s="666" t="s">
        <v>1201</v>
      </c>
      <c r="D277" s="667" t="s">
        <v>1202</v>
      </c>
      <c r="E277" s="668" t="s">
        <v>408</v>
      </c>
      <c r="F277" s="129">
        <v>58768231</v>
      </c>
      <c r="G277" s="129">
        <v>0</v>
      </c>
      <c r="H277" s="129">
        <v>58768231</v>
      </c>
      <c r="I277" s="129">
        <v>-700000</v>
      </c>
      <c r="J277" s="129">
        <v>0</v>
      </c>
      <c r="K277" s="129">
        <v>-700000</v>
      </c>
      <c r="L277" s="129">
        <v>-2000000</v>
      </c>
      <c r="M277" s="129">
        <v>0</v>
      </c>
      <c r="N277" s="129">
        <v>-2000000</v>
      </c>
      <c r="O277" s="129">
        <v>56068231</v>
      </c>
      <c r="P277" s="129">
        <v>0</v>
      </c>
      <c r="Q277" s="129">
        <v>56068231</v>
      </c>
      <c r="R277" s="129">
        <v>0</v>
      </c>
      <c r="S277" s="129">
        <v>0</v>
      </c>
      <c r="T277" s="129">
        <v>0</v>
      </c>
      <c r="U277" s="129">
        <v>0</v>
      </c>
      <c r="V277" s="129">
        <v>0</v>
      </c>
      <c r="W277" s="129">
        <v>0</v>
      </c>
      <c r="X277" s="129">
        <v>0</v>
      </c>
      <c r="Y277" s="129">
        <v>0</v>
      </c>
      <c r="Z277" s="129">
        <v>0</v>
      </c>
      <c r="AA277" s="129">
        <v>0</v>
      </c>
      <c r="AB277" s="129">
        <v>0</v>
      </c>
      <c r="AC277" s="129">
        <v>0</v>
      </c>
      <c r="AD277" s="129">
        <v>0</v>
      </c>
      <c r="AE277" s="129">
        <v>0</v>
      </c>
      <c r="AF277" s="129">
        <v>0</v>
      </c>
      <c r="AG277" s="129">
        <v>0</v>
      </c>
      <c r="AH277" s="129">
        <v>0</v>
      </c>
      <c r="AI277" s="129">
        <v>0</v>
      </c>
      <c r="AJ277" s="129">
        <v>0</v>
      </c>
      <c r="AK277" s="129">
        <v>0</v>
      </c>
      <c r="AL277" s="129">
        <v>0</v>
      </c>
      <c r="AM277" s="662" t="s">
        <v>408</v>
      </c>
      <c r="AN277" s="324" t="s">
        <v>543</v>
      </c>
      <c r="AO277" s="663" t="s">
        <v>542</v>
      </c>
      <c r="AP277" s="529" t="s">
        <v>1483</v>
      </c>
    </row>
    <row r="278" spans="1:42" ht="12.75" x14ac:dyDescent="0.2">
      <c r="A278" s="664">
        <v>271</v>
      </c>
      <c r="B278" s="665" t="s">
        <v>410</v>
      </c>
      <c r="C278" s="666" t="s">
        <v>486</v>
      </c>
      <c r="D278" s="667" t="s">
        <v>1224</v>
      </c>
      <c r="E278" s="668" t="s">
        <v>520</v>
      </c>
      <c r="F278" s="129">
        <v>35500073</v>
      </c>
      <c r="G278" s="129">
        <v>0</v>
      </c>
      <c r="H278" s="129">
        <v>35500073</v>
      </c>
      <c r="I278" s="129">
        <v>-1000000</v>
      </c>
      <c r="J278" s="129">
        <v>0</v>
      </c>
      <c r="K278" s="129">
        <v>-1000000</v>
      </c>
      <c r="L278" s="129">
        <v>-2285479</v>
      </c>
      <c r="M278" s="129">
        <v>0</v>
      </c>
      <c r="N278" s="129">
        <v>-2285479</v>
      </c>
      <c r="O278" s="129">
        <v>32214594</v>
      </c>
      <c r="P278" s="129">
        <v>0</v>
      </c>
      <c r="Q278" s="129">
        <v>32214594</v>
      </c>
      <c r="R278" s="129">
        <v>0</v>
      </c>
      <c r="S278" s="129">
        <v>0</v>
      </c>
      <c r="T278" s="129">
        <v>0</v>
      </c>
      <c r="U278" s="129">
        <v>0</v>
      </c>
      <c r="V278" s="129">
        <v>0</v>
      </c>
      <c r="W278" s="129">
        <v>0</v>
      </c>
      <c r="X278" s="129">
        <v>0</v>
      </c>
      <c r="Y278" s="129">
        <v>0</v>
      </c>
      <c r="Z278" s="129">
        <v>0</v>
      </c>
      <c r="AA278" s="129">
        <v>0</v>
      </c>
      <c r="AB278" s="129">
        <v>0</v>
      </c>
      <c r="AC278" s="129">
        <v>0</v>
      </c>
      <c r="AD278" s="129">
        <v>0</v>
      </c>
      <c r="AE278" s="129">
        <v>0</v>
      </c>
      <c r="AF278" s="129">
        <v>0</v>
      </c>
      <c r="AG278" s="129">
        <v>0</v>
      </c>
      <c r="AH278" s="129">
        <v>0</v>
      </c>
      <c r="AI278" s="129">
        <v>0</v>
      </c>
      <c r="AJ278" s="129">
        <v>0</v>
      </c>
      <c r="AK278" s="129">
        <v>0</v>
      </c>
      <c r="AL278" s="129">
        <v>0</v>
      </c>
      <c r="AM278" s="662" t="s">
        <v>520</v>
      </c>
      <c r="AN278" s="324" t="s">
        <v>486</v>
      </c>
      <c r="AO278" s="663" t="s">
        <v>519</v>
      </c>
      <c r="AP278" s="529" t="s">
        <v>1484</v>
      </c>
    </row>
    <row r="279" spans="1:42" ht="12.75" x14ac:dyDescent="0.2">
      <c r="A279" s="664">
        <v>272</v>
      </c>
      <c r="B279" s="665" t="s">
        <v>412</v>
      </c>
      <c r="C279" s="666" t="s">
        <v>1201</v>
      </c>
      <c r="D279" s="667" t="s">
        <v>1224</v>
      </c>
      <c r="E279" s="668" t="s">
        <v>411</v>
      </c>
      <c r="F279" s="129">
        <v>12861579</v>
      </c>
      <c r="G279" s="129">
        <v>0</v>
      </c>
      <c r="H279" s="129">
        <v>12861579</v>
      </c>
      <c r="I279" s="129">
        <v>-74000</v>
      </c>
      <c r="J279" s="129">
        <v>0</v>
      </c>
      <c r="K279" s="129">
        <v>-74000</v>
      </c>
      <c r="L279" s="129">
        <v>-268870</v>
      </c>
      <c r="M279" s="129">
        <v>0</v>
      </c>
      <c r="N279" s="129">
        <v>-268870</v>
      </c>
      <c r="O279" s="129">
        <v>12518709</v>
      </c>
      <c r="P279" s="129">
        <v>0</v>
      </c>
      <c r="Q279" s="129">
        <v>12518709</v>
      </c>
      <c r="R279" s="129">
        <v>570395</v>
      </c>
      <c r="S279" s="129">
        <v>0</v>
      </c>
      <c r="T279" s="129">
        <v>570395</v>
      </c>
      <c r="U279" s="129">
        <v>0</v>
      </c>
      <c r="V279" s="129">
        <v>0</v>
      </c>
      <c r="W279" s="129">
        <v>0</v>
      </c>
      <c r="X279" s="129">
        <v>0</v>
      </c>
      <c r="Y279" s="129">
        <v>0</v>
      </c>
      <c r="Z279" s="129">
        <v>0</v>
      </c>
      <c r="AA279" s="129">
        <v>0</v>
      </c>
      <c r="AB279" s="129">
        <v>0</v>
      </c>
      <c r="AC279" s="129">
        <v>0</v>
      </c>
      <c r="AD279" s="129">
        <v>0</v>
      </c>
      <c r="AE279" s="129">
        <v>0</v>
      </c>
      <c r="AF279" s="129">
        <v>0</v>
      </c>
      <c r="AG279" s="129">
        <v>0</v>
      </c>
      <c r="AH279" s="129">
        <v>0</v>
      </c>
      <c r="AI279" s="129">
        <v>0</v>
      </c>
      <c r="AJ279" s="129">
        <v>0</v>
      </c>
      <c r="AK279" s="129">
        <v>0</v>
      </c>
      <c r="AL279" s="129">
        <v>0</v>
      </c>
      <c r="AM279" s="662" t="s">
        <v>411</v>
      </c>
      <c r="AN279" s="324" t="s">
        <v>521</v>
      </c>
      <c r="AO279" s="663" t="s">
        <v>519</v>
      </c>
      <c r="AP279" s="529" t="s">
        <v>1485</v>
      </c>
    </row>
    <row r="280" spans="1:42" ht="12.75" x14ac:dyDescent="0.2">
      <c r="A280" s="664">
        <v>273</v>
      </c>
      <c r="B280" s="665" t="s">
        <v>414</v>
      </c>
      <c r="C280" s="666" t="s">
        <v>1257</v>
      </c>
      <c r="D280" s="667" t="s">
        <v>1214</v>
      </c>
      <c r="E280" s="668" t="s">
        <v>413</v>
      </c>
      <c r="F280" s="129">
        <v>458552298</v>
      </c>
      <c r="G280" s="129">
        <v>0</v>
      </c>
      <c r="H280" s="129">
        <v>458552298</v>
      </c>
      <c r="I280" s="129">
        <v>-4542523</v>
      </c>
      <c r="J280" s="129">
        <v>0</v>
      </c>
      <c r="K280" s="129">
        <v>-4542523</v>
      </c>
      <c r="L280" s="129">
        <v>-4300000</v>
      </c>
      <c r="M280" s="129">
        <v>0</v>
      </c>
      <c r="N280" s="129">
        <v>-4300000</v>
      </c>
      <c r="O280" s="129">
        <v>449709775</v>
      </c>
      <c r="P280" s="129">
        <v>0</v>
      </c>
      <c r="Q280" s="129">
        <v>449709775</v>
      </c>
      <c r="R280" s="129">
        <v>0</v>
      </c>
      <c r="S280" s="129">
        <v>0</v>
      </c>
      <c r="T280" s="129">
        <v>0</v>
      </c>
      <c r="U280" s="129">
        <v>0</v>
      </c>
      <c r="V280" s="129">
        <v>0</v>
      </c>
      <c r="W280" s="129">
        <v>0</v>
      </c>
      <c r="X280" s="129">
        <v>0</v>
      </c>
      <c r="Y280" s="129">
        <v>0</v>
      </c>
      <c r="Z280" s="129">
        <v>0</v>
      </c>
      <c r="AA280" s="129">
        <v>0</v>
      </c>
      <c r="AB280" s="129">
        <v>0</v>
      </c>
      <c r="AC280" s="129">
        <v>0</v>
      </c>
      <c r="AD280" s="129">
        <v>0</v>
      </c>
      <c r="AE280" s="129">
        <v>0</v>
      </c>
      <c r="AF280" s="129">
        <v>0</v>
      </c>
      <c r="AG280" s="129">
        <v>0</v>
      </c>
      <c r="AH280" s="129">
        <v>0</v>
      </c>
      <c r="AI280" s="129">
        <v>0</v>
      </c>
      <c r="AJ280" s="129">
        <v>0</v>
      </c>
      <c r="AK280" s="129">
        <v>0</v>
      </c>
      <c r="AL280" s="129">
        <v>0</v>
      </c>
      <c r="AM280" s="662" t="s">
        <v>413</v>
      </c>
      <c r="AN280" s="324" t="s">
        <v>576</v>
      </c>
      <c r="AO280" s="669" t="s">
        <v>485</v>
      </c>
      <c r="AP280" s="529" t="s">
        <v>1486</v>
      </c>
    </row>
    <row r="281" spans="1:42" ht="12.75" x14ac:dyDescent="0.2">
      <c r="A281" s="664">
        <v>274</v>
      </c>
      <c r="B281" s="665" t="s">
        <v>416</v>
      </c>
      <c r="C281" s="666" t="s">
        <v>1217</v>
      </c>
      <c r="D281" s="667" t="s">
        <v>1204</v>
      </c>
      <c r="E281" s="668" t="s">
        <v>415</v>
      </c>
      <c r="F281" s="129">
        <v>167467683</v>
      </c>
      <c r="G281" s="129">
        <v>0</v>
      </c>
      <c r="H281" s="129">
        <v>167467683</v>
      </c>
      <c r="I281" s="129">
        <v>-7177080</v>
      </c>
      <c r="J281" s="129">
        <v>0</v>
      </c>
      <c r="K281" s="129">
        <v>-7177080</v>
      </c>
      <c r="L281" s="129">
        <v>-6436538</v>
      </c>
      <c r="M281" s="129">
        <v>0</v>
      </c>
      <c r="N281" s="129">
        <v>-6436538</v>
      </c>
      <c r="O281" s="129">
        <v>153854065</v>
      </c>
      <c r="P281" s="129">
        <v>0</v>
      </c>
      <c r="Q281" s="129">
        <v>153854065</v>
      </c>
      <c r="R281" s="129">
        <v>82944</v>
      </c>
      <c r="S281" s="129">
        <v>0</v>
      </c>
      <c r="T281" s="129">
        <v>82944</v>
      </c>
      <c r="U281" s="129">
        <v>0</v>
      </c>
      <c r="V281" s="129">
        <v>0</v>
      </c>
      <c r="W281" s="129">
        <v>0</v>
      </c>
      <c r="X281" s="129">
        <v>0</v>
      </c>
      <c r="Y281" s="129">
        <v>0</v>
      </c>
      <c r="Z281" s="129">
        <v>0</v>
      </c>
      <c r="AA281" s="129">
        <v>0</v>
      </c>
      <c r="AB281" s="129">
        <v>0</v>
      </c>
      <c r="AC281" s="129">
        <v>0</v>
      </c>
      <c r="AD281" s="129">
        <v>0</v>
      </c>
      <c r="AE281" s="129">
        <v>0</v>
      </c>
      <c r="AF281" s="129">
        <v>0</v>
      </c>
      <c r="AG281" s="129">
        <v>0</v>
      </c>
      <c r="AH281" s="129">
        <v>0</v>
      </c>
      <c r="AI281" s="129">
        <v>0</v>
      </c>
      <c r="AJ281" s="129">
        <v>0</v>
      </c>
      <c r="AK281" s="129">
        <v>0</v>
      </c>
      <c r="AL281" s="129">
        <v>0</v>
      </c>
      <c r="AM281" s="662" t="s">
        <v>415</v>
      </c>
      <c r="AN281" s="324" t="s">
        <v>570</v>
      </c>
      <c r="AO281" s="663" t="s">
        <v>1915</v>
      </c>
      <c r="AP281" s="529" t="s">
        <v>1487</v>
      </c>
    </row>
    <row r="282" spans="1:42" ht="12.75" x14ac:dyDescent="0.2">
      <c r="A282" s="664">
        <v>275</v>
      </c>
      <c r="B282" s="665" t="s">
        <v>418</v>
      </c>
      <c r="C282" s="666" t="s">
        <v>1201</v>
      </c>
      <c r="D282" s="667" t="s">
        <v>1202</v>
      </c>
      <c r="E282" s="668" t="s">
        <v>417</v>
      </c>
      <c r="F282" s="129">
        <v>55946457</v>
      </c>
      <c r="G282" s="129">
        <v>0</v>
      </c>
      <c r="H282" s="129">
        <v>55946457</v>
      </c>
      <c r="I282" s="129">
        <v>-1200000</v>
      </c>
      <c r="J282" s="129">
        <v>0</v>
      </c>
      <c r="K282" s="129">
        <v>-1200000</v>
      </c>
      <c r="L282" s="129">
        <v>-5434000</v>
      </c>
      <c r="M282" s="129">
        <v>0</v>
      </c>
      <c r="N282" s="129">
        <v>-5434000</v>
      </c>
      <c r="O282" s="129">
        <v>49312457</v>
      </c>
      <c r="P282" s="129">
        <v>0</v>
      </c>
      <c r="Q282" s="129">
        <v>49312457</v>
      </c>
      <c r="R282" s="129">
        <v>124396</v>
      </c>
      <c r="S282" s="129">
        <v>0</v>
      </c>
      <c r="T282" s="129">
        <v>124396</v>
      </c>
      <c r="U282" s="129">
        <v>0</v>
      </c>
      <c r="V282" s="129">
        <v>0</v>
      </c>
      <c r="W282" s="129">
        <v>0</v>
      </c>
      <c r="X282" s="129">
        <v>0</v>
      </c>
      <c r="Y282" s="129">
        <v>0</v>
      </c>
      <c r="Z282" s="129">
        <v>0</v>
      </c>
      <c r="AA282" s="129">
        <v>0</v>
      </c>
      <c r="AB282" s="129">
        <v>0</v>
      </c>
      <c r="AC282" s="129">
        <v>0</v>
      </c>
      <c r="AD282" s="129">
        <v>0</v>
      </c>
      <c r="AE282" s="129">
        <v>0</v>
      </c>
      <c r="AF282" s="129">
        <v>0</v>
      </c>
      <c r="AG282" s="129">
        <v>0</v>
      </c>
      <c r="AH282" s="129">
        <v>0</v>
      </c>
      <c r="AI282" s="129">
        <v>0</v>
      </c>
      <c r="AJ282" s="129">
        <v>0</v>
      </c>
      <c r="AK282" s="129">
        <v>0</v>
      </c>
      <c r="AL282" s="129">
        <v>0</v>
      </c>
      <c r="AM282" s="662" t="s">
        <v>417</v>
      </c>
      <c r="AN282" s="324" t="s">
        <v>543</v>
      </c>
      <c r="AO282" s="663" t="s">
        <v>542</v>
      </c>
      <c r="AP282" s="529" t="s">
        <v>1488</v>
      </c>
    </row>
    <row r="283" spans="1:42" ht="12.75" x14ac:dyDescent="0.2">
      <c r="A283" s="664">
        <v>276</v>
      </c>
      <c r="B283" s="665" t="s">
        <v>420</v>
      </c>
      <c r="C283" s="666" t="s">
        <v>1201</v>
      </c>
      <c r="D283" s="667" t="s">
        <v>1211</v>
      </c>
      <c r="E283" s="668" t="s">
        <v>419</v>
      </c>
      <c r="F283" s="129">
        <v>47076026</v>
      </c>
      <c r="G283" s="129">
        <v>0</v>
      </c>
      <c r="H283" s="129">
        <v>47076026</v>
      </c>
      <c r="I283" s="129">
        <v>-2928500</v>
      </c>
      <c r="J283" s="129">
        <v>0</v>
      </c>
      <c r="K283" s="129">
        <v>-2928500</v>
      </c>
      <c r="L283" s="129">
        <v>-2560000</v>
      </c>
      <c r="M283" s="129">
        <v>0</v>
      </c>
      <c r="N283" s="129">
        <v>-2560000</v>
      </c>
      <c r="O283" s="129">
        <v>41587526</v>
      </c>
      <c r="P283" s="129">
        <v>0</v>
      </c>
      <c r="Q283" s="129">
        <v>41587526</v>
      </c>
      <c r="R283" s="129">
        <v>107102</v>
      </c>
      <c r="S283" s="129">
        <v>0</v>
      </c>
      <c r="T283" s="129">
        <v>107102</v>
      </c>
      <c r="U283" s="129">
        <v>0</v>
      </c>
      <c r="V283" s="129">
        <v>0</v>
      </c>
      <c r="W283" s="129">
        <v>0</v>
      </c>
      <c r="X283" s="129">
        <v>0</v>
      </c>
      <c r="Y283" s="129">
        <v>0</v>
      </c>
      <c r="Z283" s="129">
        <v>0</v>
      </c>
      <c r="AA283" s="129">
        <v>0</v>
      </c>
      <c r="AB283" s="129">
        <v>0</v>
      </c>
      <c r="AC283" s="129">
        <v>0</v>
      </c>
      <c r="AD283" s="129">
        <v>0</v>
      </c>
      <c r="AE283" s="129">
        <v>0</v>
      </c>
      <c r="AF283" s="129">
        <v>0</v>
      </c>
      <c r="AG283" s="129">
        <v>0</v>
      </c>
      <c r="AH283" s="129">
        <v>0</v>
      </c>
      <c r="AI283" s="129">
        <v>0</v>
      </c>
      <c r="AJ283" s="129">
        <v>0</v>
      </c>
      <c r="AK283" s="129">
        <v>0</v>
      </c>
      <c r="AL283" s="129">
        <v>0</v>
      </c>
      <c r="AM283" s="662" t="s">
        <v>419</v>
      </c>
      <c r="AN283" s="324" t="s">
        <v>528</v>
      </c>
      <c r="AO283" s="663" t="s">
        <v>1913</v>
      </c>
      <c r="AP283" s="529" t="s">
        <v>1489</v>
      </c>
    </row>
    <row r="284" spans="1:42" ht="12.75" x14ac:dyDescent="0.2">
      <c r="A284" s="664">
        <v>277</v>
      </c>
      <c r="B284" s="665" t="s">
        <v>422</v>
      </c>
      <c r="C284" s="666" t="s">
        <v>1201</v>
      </c>
      <c r="D284" s="667" t="s">
        <v>1202</v>
      </c>
      <c r="E284" s="668" t="s">
        <v>421</v>
      </c>
      <c r="F284" s="129">
        <v>60775776</v>
      </c>
      <c r="G284" s="129">
        <v>4521091</v>
      </c>
      <c r="H284" s="129">
        <v>65296867</v>
      </c>
      <c r="I284" s="129">
        <v>-1215516</v>
      </c>
      <c r="J284" s="129">
        <v>-90421</v>
      </c>
      <c r="K284" s="129">
        <v>-1305937</v>
      </c>
      <c r="L284" s="129">
        <v>-3038789</v>
      </c>
      <c r="M284" s="129">
        <v>-22605</v>
      </c>
      <c r="N284" s="129">
        <v>-3061394</v>
      </c>
      <c r="O284" s="129">
        <v>56521471</v>
      </c>
      <c r="P284" s="129">
        <v>4408065</v>
      </c>
      <c r="Q284" s="129">
        <v>60929536</v>
      </c>
      <c r="R284" s="129">
        <v>226304</v>
      </c>
      <c r="S284" s="129">
        <v>0</v>
      </c>
      <c r="T284" s="129">
        <v>226304</v>
      </c>
      <c r="U284" s="129">
        <v>0</v>
      </c>
      <c r="V284" s="129">
        <v>0</v>
      </c>
      <c r="W284" s="129">
        <v>0</v>
      </c>
      <c r="X284" s="129">
        <v>43</v>
      </c>
      <c r="Y284" s="129">
        <v>2746810</v>
      </c>
      <c r="Z284" s="129">
        <v>2866298</v>
      </c>
      <c r="AA284" s="129">
        <v>2866298</v>
      </c>
      <c r="AB284" s="129">
        <v>0</v>
      </c>
      <c r="AC284" s="129">
        <v>0</v>
      </c>
      <c r="AD284" s="129">
        <v>0</v>
      </c>
      <c r="AE284" s="129">
        <v>0</v>
      </c>
      <c r="AF284" s="129">
        <v>653604</v>
      </c>
      <c r="AG284" s="129">
        <v>653604</v>
      </c>
      <c r="AH284" s="129">
        <v>0</v>
      </c>
      <c r="AI284" s="129">
        <v>0</v>
      </c>
      <c r="AJ284" s="129">
        <v>0</v>
      </c>
      <c r="AK284" s="129">
        <v>653604</v>
      </c>
      <c r="AL284" s="129">
        <v>653604</v>
      </c>
      <c r="AM284" s="662" t="s">
        <v>421</v>
      </c>
      <c r="AN284" s="324" t="s">
        <v>560</v>
      </c>
      <c r="AO284" s="663" t="s">
        <v>512</v>
      </c>
      <c r="AP284" s="529" t="s">
        <v>1490</v>
      </c>
    </row>
    <row r="285" spans="1:42" ht="12.75" x14ac:dyDescent="0.2">
      <c r="A285" s="664">
        <v>278</v>
      </c>
      <c r="B285" s="665" t="s">
        <v>424</v>
      </c>
      <c r="C285" s="666" t="s">
        <v>1217</v>
      </c>
      <c r="D285" s="667" t="s">
        <v>1218</v>
      </c>
      <c r="E285" s="668" t="s">
        <v>423</v>
      </c>
      <c r="F285" s="129">
        <v>142257766</v>
      </c>
      <c r="G285" s="129">
        <v>20776</v>
      </c>
      <c r="H285" s="129">
        <v>142278542</v>
      </c>
      <c r="I285" s="129">
        <v>-4431385</v>
      </c>
      <c r="J285" s="129">
        <v>0</v>
      </c>
      <c r="K285" s="129">
        <v>-4431385</v>
      </c>
      <c r="L285" s="129">
        <v>0</v>
      </c>
      <c r="M285" s="129">
        <v>0</v>
      </c>
      <c r="N285" s="129">
        <v>0</v>
      </c>
      <c r="O285" s="129">
        <v>137826381</v>
      </c>
      <c r="P285" s="129">
        <v>20776</v>
      </c>
      <c r="Q285" s="129">
        <v>137847157</v>
      </c>
      <c r="R285" s="129">
        <v>1045649</v>
      </c>
      <c r="S285" s="129">
        <v>0</v>
      </c>
      <c r="T285" s="129">
        <v>1045649</v>
      </c>
      <c r="U285" s="129">
        <v>0</v>
      </c>
      <c r="V285" s="129">
        <v>0</v>
      </c>
      <c r="W285" s="129">
        <v>0</v>
      </c>
      <c r="X285" s="129">
        <v>0</v>
      </c>
      <c r="Y285" s="129">
        <v>0</v>
      </c>
      <c r="Z285" s="129">
        <v>20776</v>
      </c>
      <c r="AA285" s="129">
        <v>20776</v>
      </c>
      <c r="AB285" s="129">
        <v>0</v>
      </c>
      <c r="AC285" s="129">
        <v>0</v>
      </c>
      <c r="AD285" s="129">
        <v>0</v>
      </c>
      <c r="AE285" s="129">
        <v>0</v>
      </c>
      <c r="AF285" s="129">
        <v>112040</v>
      </c>
      <c r="AG285" s="129">
        <v>112040</v>
      </c>
      <c r="AH285" s="129">
        <v>0</v>
      </c>
      <c r="AI285" s="129">
        <v>0</v>
      </c>
      <c r="AJ285" s="129">
        <v>0</v>
      </c>
      <c r="AK285" s="129">
        <v>112040</v>
      </c>
      <c r="AL285" s="129">
        <v>112040</v>
      </c>
      <c r="AM285" s="662" t="s">
        <v>423</v>
      </c>
      <c r="AN285" s="324" t="s">
        <v>570</v>
      </c>
      <c r="AO285" s="663" t="s">
        <v>575</v>
      </c>
      <c r="AP285" s="529" t="s">
        <v>1491</v>
      </c>
    </row>
    <row r="286" spans="1:42" ht="12.75" x14ac:dyDescent="0.2">
      <c r="A286" s="664">
        <v>279</v>
      </c>
      <c r="B286" s="665" t="s">
        <v>426</v>
      </c>
      <c r="C286" s="666" t="s">
        <v>1217</v>
      </c>
      <c r="D286" s="667" t="s">
        <v>1228</v>
      </c>
      <c r="E286" s="668" t="s">
        <v>425</v>
      </c>
      <c r="F286" s="129">
        <v>78309078</v>
      </c>
      <c r="G286" s="129">
        <v>197392</v>
      </c>
      <c r="H286" s="129">
        <v>78506470</v>
      </c>
      <c r="I286" s="129">
        <v>-1000000</v>
      </c>
      <c r="J286" s="129">
        <v>0</v>
      </c>
      <c r="K286" s="129">
        <v>-1000000</v>
      </c>
      <c r="L286" s="129">
        <v>-1687642</v>
      </c>
      <c r="M286" s="129">
        <v>0</v>
      </c>
      <c r="N286" s="129">
        <v>-1687642</v>
      </c>
      <c r="O286" s="129">
        <v>75621436</v>
      </c>
      <c r="P286" s="129">
        <v>197392</v>
      </c>
      <c r="Q286" s="129">
        <v>75818828</v>
      </c>
      <c r="R286" s="129">
        <v>0</v>
      </c>
      <c r="S286" s="129">
        <v>0</v>
      </c>
      <c r="T286" s="129">
        <v>0</v>
      </c>
      <c r="U286" s="129">
        <v>0</v>
      </c>
      <c r="V286" s="129">
        <v>0</v>
      </c>
      <c r="W286" s="129">
        <v>0</v>
      </c>
      <c r="X286" s="129">
        <v>1466</v>
      </c>
      <c r="Y286" s="129">
        <v>182097</v>
      </c>
      <c r="Z286" s="129">
        <v>16761</v>
      </c>
      <c r="AA286" s="129">
        <v>16761</v>
      </c>
      <c r="AB286" s="129">
        <v>0</v>
      </c>
      <c r="AC286" s="129">
        <v>46032</v>
      </c>
      <c r="AD286" s="129">
        <v>46032</v>
      </c>
      <c r="AE286" s="129">
        <v>0</v>
      </c>
      <c r="AF286" s="129">
        <v>0</v>
      </c>
      <c r="AG286" s="129">
        <v>0</v>
      </c>
      <c r="AH286" s="129">
        <v>0</v>
      </c>
      <c r="AI286" s="129">
        <v>0</v>
      </c>
      <c r="AJ286" s="129">
        <v>0</v>
      </c>
      <c r="AK286" s="129">
        <v>0</v>
      </c>
      <c r="AL286" s="129">
        <v>0</v>
      </c>
      <c r="AM286" s="662" t="s">
        <v>425</v>
      </c>
      <c r="AN286" s="324" t="s">
        <v>570</v>
      </c>
      <c r="AO286" s="663" t="s">
        <v>574</v>
      </c>
      <c r="AP286" s="529" t="s">
        <v>1492</v>
      </c>
    </row>
    <row r="287" spans="1:42" ht="12.75" x14ac:dyDescent="0.2">
      <c r="A287" s="664">
        <v>280</v>
      </c>
      <c r="B287" s="665" t="s">
        <v>428</v>
      </c>
      <c r="C287" s="666" t="s">
        <v>1213</v>
      </c>
      <c r="D287" s="667" t="s">
        <v>1214</v>
      </c>
      <c r="E287" s="668" t="s">
        <v>427</v>
      </c>
      <c r="F287" s="129">
        <v>72166497</v>
      </c>
      <c r="G287" s="129">
        <v>0</v>
      </c>
      <c r="H287" s="129">
        <v>72166497</v>
      </c>
      <c r="I287" s="129">
        <v>-4068589</v>
      </c>
      <c r="J287" s="129">
        <v>0</v>
      </c>
      <c r="K287" s="129">
        <v>-4068589</v>
      </c>
      <c r="L287" s="129">
        <v>-4965819</v>
      </c>
      <c r="M287" s="129">
        <v>0</v>
      </c>
      <c r="N287" s="129">
        <v>-4965819</v>
      </c>
      <c r="O287" s="129">
        <v>63132089</v>
      </c>
      <c r="P287" s="129">
        <v>0</v>
      </c>
      <c r="Q287" s="129">
        <v>63132089</v>
      </c>
      <c r="R287" s="129">
        <v>0</v>
      </c>
      <c r="S287" s="129">
        <v>0</v>
      </c>
      <c r="T287" s="129">
        <v>0</v>
      </c>
      <c r="U287" s="129">
        <v>0</v>
      </c>
      <c r="V287" s="129">
        <v>0</v>
      </c>
      <c r="W287" s="129">
        <v>0</v>
      </c>
      <c r="X287" s="129">
        <v>0</v>
      </c>
      <c r="Y287" s="129">
        <v>0</v>
      </c>
      <c r="Z287" s="129">
        <v>0</v>
      </c>
      <c r="AA287" s="129">
        <v>0</v>
      </c>
      <c r="AB287" s="129">
        <v>0</v>
      </c>
      <c r="AC287" s="129">
        <v>0</v>
      </c>
      <c r="AD287" s="129">
        <v>0</v>
      </c>
      <c r="AE287" s="129">
        <v>0</v>
      </c>
      <c r="AF287" s="129">
        <v>0</v>
      </c>
      <c r="AG287" s="129">
        <v>0</v>
      </c>
      <c r="AH287" s="129">
        <v>0</v>
      </c>
      <c r="AI287" s="129">
        <v>0</v>
      </c>
      <c r="AJ287" s="129">
        <v>0</v>
      </c>
      <c r="AK287" s="129">
        <v>0</v>
      </c>
      <c r="AL287" s="129">
        <v>0</v>
      </c>
      <c r="AM287" s="662" t="s">
        <v>427</v>
      </c>
      <c r="AN287" s="324" t="s">
        <v>576</v>
      </c>
      <c r="AO287" s="669" t="s">
        <v>485</v>
      </c>
      <c r="AP287" s="529" t="s">
        <v>1493</v>
      </c>
    </row>
    <row r="288" spans="1:42" ht="12.75" x14ac:dyDescent="0.2">
      <c r="A288" s="664">
        <v>281</v>
      </c>
      <c r="B288" s="665" t="s">
        <v>430</v>
      </c>
      <c r="C288" s="666" t="s">
        <v>1257</v>
      </c>
      <c r="D288" s="667" t="s">
        <v>1214</v>
      </c>
      <c r="E288" s="668" t="s">
        <v>429</v>
      </c>
      <c r="F288" s="129">
        <v>120830156</v>
      </c>
      <c r="G288" s="129">
        <v>12726748</v>
      </c>
      <c r="H288" s="129">
        <v>133556904</v>
      </c>
      <c r="I288" s="129">
        <v>-10320000</v>
      </c>
      <c r="J288" s="129">
        <v>-1080000</v>
      </c>
      <c r="K288" s="129">
        <v>-11400000</v>
      </c>
      <c r="L288" s="129">
        <v>-500000</v>
      </c>
      <c r="M288" s="129">
        <v>0</v>
      </c>
      <c r="N288" s="129">
        <v>-500000</v>
      </c>
      <c r="O288" s="129">
        <v>110010156</v>
      </c>
      <c r="P288" s="129">
        <v>11646748</v>
      </c>
      <c r="Q288" s="129">
        <v>121656904</v>
      </c>
      <c r="R288" s="129">
        <v>0</v>
      </c>
      <c r="S288" s="129">
        <v>0</v>
      </c>
      <c r="T288" s="129">
        <v>0</v>
      </c>
      <c r="U288" s="129">
        <v>0</v>
      </c>
      <c r="V288" s="129">
        <v>0</v>
      </c>
      <c r="W288" s="129">
        <v>0</v>
      </c>
      <c r="X288" s="129">
        <v>9461</v>
      </c>
      <c r="Y288" s="129">
        <v>4504332</v>
      </c>
      <c r="Z288" s="129">
        <v>7151877</v>
      </c>
      <c r="AA288" s="129">
        <v>7151877</v>
      </c>
      <c r="AB288" s="129">
        <v>0</v>
      </c>
      <c r="AC288" s="129">
        <v>0</v>
      </c>
      <c r="AD288" s="129">
        <v>0</v>
      </c>
      <c r="AE288" s="129">
        <v>0</v>
      </c>
      <c r="AF288" s="129">
        <v>0</v>
      </c>
      <c r="AG288" s="129">
        <v>0</v>
      </c>
      <c r="AH288" s="129">
        <v>0</v>
      </c>
      <c r="AI288" s="129">
        <v>0</v>
      </c>
      <c r="AJ288" s="129">
        <v>0</v>
      </c>
      <c r="AK288" s="129">
        <v>0</v>
      </c>
      <c r="AL288" s="129">
        <v>0</v>
      </c>
      <c r="AM288" s="662" t="s">
        <v>429</v>
      </c>
      <c r="AN288" s="324" t="s">
        <v>576</v>
      </c>
      <c r="AO288" s="669" t="s">
        <v>485</v>
      </c>
      <c r="AP288" s="529" t="s">
        <v>1494</v>
      </c>
    </row>
    <row r="289" spans="1:42" ht="12.75" x14ac:dyDescent="0.2">
      <c r="A289" s="664">
        <v>282</v>
      </c>
      <c r="B289" s="665" t="s">
        <v>432</v>
      </c>
      <c r="C289" s="666" t="s">
        <v>486</v>
      </c>
      <c r="D289" s="667" t="s">
        <v>1204</v>
      </c>
      <c r="E289" s="668" t="s">
        <v>506</v>
      </c>
      <c r="F289" s="129">
        <v>111245942</v>
      </c>
      <c r="G289" s="129">
        <v>1147314</v>
      </c>
      <c r="H289" s="129">
        <v>112393256</v>
      </c>
      <c r="I289" s="129">
        <v>-297086</v>
      </c>
      <c r="J289" s="129">
        <v>-2914</v>
      </c>
      <c r="K289" s="129">
        <v>-300000</v>
      </c>
      <c r="L289" s="129">
        <v>-1287372</v>
      </c>
      <c r="M289" s="129">
        <v>-12628</v>
      </c>
      <c r="N289" s="129">
        <v>-1300000</v>
      </c>
      <c r="O289" s="129">
        <v>109661484</v>
      </c>
      <c r="P289" s="129">
        <v>1131772</v>
      </c>
      <c r="Q289" s="129">
        <v>110793256</v>
      </c>
      <c r="R289" s="129">
        <v>0</v>
      </c>
      <c r="S289" s="129">
        <v>0</v>
      </c>
      <c r="T289" s="129">
        <v>0</v>
      </c>
      <c r="U289" s="129">
        <v>0</v>
      </c>
      <c r="V289" s="129">
        <v>0</v>
      </c>
      <c r="W289" s="129">
        <v>0</v>
      </c>
      <c r="X289" s="129">
        <v>0</v>
      </c>
      <c r="Y289" s="129">
        <v>992156</v>
      </c>
      <c r="Z289" s="129">
        <v>139616</v>
      </c>
      <c r="AA289" s="129">
        <v>139616</v>
      </c>
      <c r="AB289" s="129">
        <v>0</v>
      </c>
      <c r="AC289" s="129">
        <v>0</v>
      </c>
      <c r="AD289" s="129">
        <v>0</v>
      </c>
      <c r="AE289" s="129">
        <v>0</v>
      </c>
      <c r="AF289" s="129">
        <v>299638</v>
      </c>
      <c r="AG289" s="129">
        <v>299638</v>
      </c>
      <c r="AH289" s="129">
        <v>0</v>
      </c>
      <c r="AI289" s="129">
        <v>0</v>
      </c>
      <c r="AJ289" s="129">
        <v>0</v>
      </c>
      <c r="AK289" s="129">
        <v>299638</v>
      </c>
      <c r="AL289" s="129">
        <v>299638</v>
      </c>
      <c r="AM289" s="662" t="s">
        <v>506</v>
      </c>
      <c r="AN289" s="324" t="s">
        <v>486</v>
      </c>
      <c r="AO289" s="663" t="s">
        <v>505</v>
      </c>
      <c r="AP289" s="529" t="s">
        <v>1495</v>
      </c>
    </row>
    <row r="290" spans="1:42" ht="12.75" x14ac:dyDescent="0.2">
      <c r="A290" s="664">
        <v>283</v>
      </c>
      <c r="B290" s="665" t="s">
        <v>434</v>
      </c>
      <c r="C290" s="666" t="s">
        <v>1201</v>
      </c>
      <c r="D290" s="667" t="s">
        <v>1228</v>
      </c>
      <c r="E290" s="668" t="s">
        <v>433</v>
      </c>
      <c r="F290" s="129">
        <v>74345925</v>
      </c>
      <c r="G290" s="129">
        <v>0</v>
      </c>
      <c r="H290" s="129">
        <v>74345925</v>
      </c>
      <c r="I290" s="129">
        <v>-600000</v>
      </c>
      <c r="J290" s="129">
        <v>0</v>
      </c>
      <c r="K290" s="129">
        <v>-600000</v>
      </c>
      <c r="L290" s="129">
        <v>-4013160</v>
      </c>
      <c r="M290" s="129">
        <v>0</v>
      </c>
      <c r="N290" s="129">
        <v>-4013160</v>
      </c>
      <c r="O290" s="129">
        <v>69732765</v>
      </c>
      <c r="P290" s="129">
        <v>0</v>
      </c>
      <c r="Q290" s="129">
        <v>69732765</v>
      </c>
      <c r="R290" s="129">
        <v>15344</v>
      </c>
      <c r="S290" s="129">
        <v>0</v>
      </c>
      <c r="T290" s="129">
        <v>15344</v>
      </c>
      <c r="U290" s="129">
        <v>0</v>
      </c>
      <c r="V290" s="129">
        <v>0</v>
      </c>
      <c r="W290" s="129">
        <v>0</v>
      </c>
      <c r="X290" s="129">
        <v>0</v>
      </c>
      <c r="Y290" s="129">
        <v>0</v>
      </c>
      <c r="Z290" s="129">
        <v>0</v>
      </c>
      <c r="AA290" s="129">
        <v>0</v>
      </c>
      <c r="AB290" s="129">
        <v>0</v>
      </c>
      <c r="AC290" s="129">
        <v>0</v>
      </c>
      <c r="AD290" s="129">
        <v>0</v>
      </c>
      <c r="AE290" s="129">
        <v>0</v>
      </c>
      <c r="AF290" s="129">
        <v>0</v>
      </c>
      <c r="AG290" s="129">
        <v>0</v>
      </c>
      <c r="AH290" s="129">
        <v>0</v>
      </c>
      <c r="AI290" s="129">
        <v>0</v>
      </c>
      <c r="AJ290" s="129">
        <v>0</v>
      </c>
      <c r="AK290" s="129">
        <v>0</v>
      </c>
      <c r="AL290" s="129">
        <v>0</v>
      </c>
      <c r="AM290" s="662" t="s">
        <v>433</v>
      </c>
      <c r="AN290" s="324" t="s">
        <v>567</v>
      </c>
      <c r="AO290" s="663" t="s">
        <v>512</v>
      </c>
      <c r="AP290" s="529" t="s">
        <v>1496</v>
      </c>
    </row>
    <row r="291" spans="1:42" ht="12.75" x14ac:dyDescent="0.2">
      <c r="A291" s="664">
        <v>284</v>
      </c>
      <c r="B291" s="665" t="s">
        <v>436</v>
      </c>
      <c r="C291" s="666" t="s">
        <v>1201</v>
      </c>
      <c r="D291" s="667" t="s">
        <v>1211</v>
      </c>
      <c r="E291" s="668" t="s">
        <v>435</v>
      </c>
      <c r="F291" s="129">
        <v>66308495</v>
      </c>
      <c r="G291" s="129">
        <v>0</v>
      </c>
      <c r="H291" s="129">
        <v>66308495</v>
      </c>
      <c r="I291" s="129">
        <v>-1326170</v>
      </c>
      <c r="J291" s="129">
        <v>0</v>
      </c>
      <c r="K291" s="129">
        <v>-1326170</v>
      </c>
      <c r="L291" s="129">
        <v>-1349344</v>
      </c>
      <c r="M291" s="129">
        <v>0</v>
      </c>
      <c r="N291" s="129">
        <v>-1349344</v>
      </c>
      <c r="O291" s="129">
        <v>63632981</v>
      </c>
      <c r="P291" s="129">
        <v>0</v>
      </c>
      <c r="Q291" s="129">
        <v>63632981</v>
      </c>
      <c r="R291" s="129">
        <v>0</v>
      </c>
      <c r="S291" s="129">
        <v>0</v>
      </c>
      <c r="T291" s="129">
        <v>0</v>
      </c>
      <c r="U291" s="129">
        <v>0</v>
      </c>
      <c r="V291" s="129">
        <v>0</v>
      </c>
      <c r="W291" s="129">
        <v>0</v>
      </c>
      <c r="X291" s="129">
        <v>0</v>
      </c>
      <c r="Y291" s="129">
        <v>0</v>
      </c>
      <c r="Z291" s="129">
        <v>0</v>
      </c>
      <c r="AA291" s="129">
        <v>0</v>
      </c>
      <c r="AB291" s="129">
        <v>0</v>
      </c>
      <c r="AC291" s="129">
        <v>0</v>
      </c>
      <c r="AD291" s="129">
        <v>0</v>
      </c>
      <c r="AE291" s="129">
        <v>0</v>
      </c>
      <c r="AF291" s="129">
        <v>0</v>
      </c>
      <c r="AG291" s="129">
        <v>0</v>
      </c>
      <c r="AH291" s="129">
        <v>0</v>
      </c>
      <c r="AI291" s="129">
        <v>0</v>
      </c>
      <c r="AJ291" s="129">
        <v>0</v>
      </c>
      <c r="AK291" s="129">
        <v>0</v>
      </c>
      <c r="AL291" s="129">
        <v>0</v>
      </c>
      <c r="AM291" s="662" t="s">
        <v>435</v>
      </c>
      <c r="AN291" s="324" t="s">
        <v>536</v>
      </c>
      <c r="AO291" s="663" t="s">
        <v>512</v>
      </c>
      <c r="AP291" s="529" t="s">
        <v>1497</v>
      </c>
    </row>
    <row r="292" spans="1:42" ht="12.75" x14ac:dyDescent="0.2">
      <c r="A292" s="664">
        <v>285</v>
      </c>
      <c r="B292" s="665" t="s">
        <v>438</v>
      </c>
      <c r="C292" s="666" t="s">
        <v>1201</v>
      </c>
      <c r="D292" s="667" t="s">
        <v>1202</v>
      </c>
      <c r="E292" s="668" t="s">
        <v>437</v>
      </c>
      <c r="F292" s="129">
        <v>39420968</v>
      </c>
      <c r="G292" s="129">
        <v>0</v>
      </c>
      <c r="H292" s="129">
        <v>39420968</v>
      </c>
      <c r="I292" s="129">
        <v>-986000</v>
      </c>
      <c r="J292" s="129">
        <v>0</v>
      </c>
      <c r="K292" s="129">
        <v>-986000</v>
      </c>
      <c r="L292" s="129">
        <v>-2403186</v>
      </c>
      <c r="M292" s="129">
        <v>0</v>
      </c>
      <c r="N292" s="129">
        <v>-2403186</v>
      </c>
      <c r="O292" s="129">
        <v>36031782</v>
      </c>
      <c r="P292" s="129">
        <v>0</v>
      </c>
      <c r="Q292" s="129">
        <v>36031782</v>
      </c>
      <c r="R292" s="129">
        <v>0</v>
      </c>
      <c r="S292" s="129">
        <v>0</v>
      </c>
      <c r="T292" s="129">
        <v>0</v>
      </c>
      <c r="U292" s="129">
        <v>0</v>
      </c>
      <c r="V292" s="129">
        <v>0</v>
      </c>
      <c r="W292" s="129">
        <v>0</v>
      </c>
      <c r="X292" s="129">
        <v>0</v>
      </c>
      <c r="Y292" s="129">
        <v>0</v>
      </c>
      <c r="Z292" s="129">
        <v>0</v>
      </c>
      <c r="AA292" s="129">
        <v>0</v>
      </c>
      <c r="AB292" s="129">
        <v>0</v>
      </c>
      <c r="AC292" s="129">
        <v>0</v>
      </c>
      <c r="AD292" s="129">
        <v>0</v>
      </c>
      <c r="AE292" s="129">
        <v>0</v>
      </c>
      <c r="AF292" s="129">
        <v>0</v>
      </c>
      <c r="AG292" s="129">
        <v>0</v>
      </c>
      <c r="AH292" s="129">
        <v>0</v>
      </c>
      <c r="AI292" s="129">
        <v>0</v>
      </c>
      <c r="AJ292" s="129">
        <v>0</v>
      </c>
      <c r="AK292" s="129">
        <v>0</v>
      </c>
      <c r="AL292" s="129">
        <v>0</v>
      </c>
      <c r="AM292" s="662" t="s">
        <v>437</v>
      </c>
      <c r="AN292" s="324" t="s">
        <v>566</v>
      </c>
      <c r="AO292" s="663" t="s">
        <v>512</v>
      </c>
      <c r="AP292" s="529" t="s">
        <v>1498</v>
      </c>
    </row>
    <row r="293" spans="1:42" ht="12.75" x14ac:dyDescent="0.2">
      <c r="A293" s="664">
        <v>286</v>
      </c>
      <c r="B293" s="665" t="s">
        <v>440</v>
      </c>
      <c r="C293" s="666" t="s">
        <v>1201</v>
      </c>
      <c r="D293" s="667" t="s">
        <v>1202</v>
      </c>
      <c r="E293" s="668" t="s">
        <v>439</v>
      </c>
      <c r="F293" s="129">
        <v>34711299</v>
      </c>
      <c r="G293" s="129">
        <v>0</v>
      </c>
      <c r="H293" s="129">
        <v>34711299</v>
      </c>
      <c r="I293" s="129">
        <v>-200000</v>
      </c>
      <c r="J293" s="129">
        <v>0</v>
      </c>
      <c r="K293" s="129">
        <v>-200000</v>
      </c>
      <c r="L293" s="129">
        <v>-187000</v>
      </c>
      <c r="M293" s="129">
        <v>0</v>
      </c>
      <c r="N293" s="129">
        <v>-187000</v>
      </c>
      <c r="O293" s="129">
        <v>34324299</v>
      </c>
      <c r="P293" s="129">
        <v>0</v>
      </c>
      <c r="Q293" s="129">
        <v>34324299</v>
      </c>
      <c r="R293" s="129">
        <v>191220</v>
      </c>
      <c r="S293" s="129">
        <v>0</v>
      </c>
      <c r="T293" s="129">
        <v>191220</v>
      </c>
      <c r="U293" s="129">
        <v>0</v>
      </c>
      <c r="V293" s="129">
        <v>0</v>
      </c>
      <c r="W293" s="129">
        <v>0</v>
      </c>
      <c r="X293" s="129">
        <v>0</v>
      </c>
      <c r="Y293" s="129">
        <v>0</v>
      </c>
      <c r="Z293" s="129">
        <v>0</v>
      </c>
      <c r="AA293" s="129">
        <v>0</v>
      </c>
      <c r="AB293" s="129">
        <v>0</v>
      </c>
      <c r="AC293" s="129">
        <v>0</v>
      </c>
      <c r="AD293" s="129">
        <v>0</v>
      </c>
      <c r="AE293" s="129">
        <v>0</v>
      </c>
      <c r="AF293" s="129">
        <v>0</v>
      </c>
      <c r="AG293" s="129">
        <v>0</v>
      </c>
      <c r="AH293" s="129">
        <v>0</v>
      </c>
      <c r="AI293" s="129">
        <v>0</v>
      </c>
      <c r="AJ293" s="129">
        <v>0</v>
      </c>
      <c r="AK293" s="129">
        <v>0</v>
      </c>
      <c r="AL293" s="129">
        <v>0</v>
      </c>
      <c r="AM293" s="662" t="s">
        <v>439</v>
      </c>
      <c r="AN293" s="324" t="s">
        <v>525</v>
      </c>
      <c r="AO293" s="663" t="s">
        <v>524</v>
      </c>
      <c r="AP293" s="529" t="s">
        <v>1499</v>
      </c>
    </row>
    <row r="294" spans="1:42" ht="12.75" x14ac:dyDescent="0.2">
      <c r="A294" s="664">
        <v>287</v>
      </c>
      <c r="B294" s="665" t="s">
        <v>442</v>
      </c>
      <c r="C294" s="666" t="s">
        <v>1201</v>
      </c>
      <c r="D294" s="667" t="s">
        <v>1211</v>
      </c>
      <c r="E294" s="668" t="s">
        <v>441</v>
      </c>
      <c r="F294" s="129">
        <v>62143226</v>
      </c>
      <c r="G294" s="129">
        <v>0</v>
      </c>
      <c r="H294" s="129">
        <v>62143226</v>
      </c>
      <c r="I294" s="129">
        <v>-190429</v>
      </c>
      <c r="J294" s="129">
        <v>0</v>
      </c>
      <c r="K294" s="129">
        <v>-190429</v>
      </c>
      <c r="L294" s="129">
        <v>-1358783</v>
      </c>
      <c r="M294" s="129">
        <v>0</v>
      </c>
      <c r="N294" s="129">
        <v>-1358783</v>
      </c>
      <c r="O294" s="129">
        <v>60594014</v>
      </c>
      <c r="P294" s="129">
        <v>0</v>
      </c>
      <c r="Q294" s="129">
        <v>60594014</v>
      </c>
      <c r="R294" s="129">
        <v>0</v>
      </c>
      <c r="S294" s="129">
        <v>0</v>
      </c>
      <c r="T294" s="129">
        <v>0</v>
      </c>
      <c r="U294" s="129">
        <v>0</v>
      </c>
      <c r="V294" s="129">
        <v>0</v>
      </c>
      <c r="W294" s="129">
        <v>0</v>
      </c>
      <c r="X294" s="129">
        <v>0</v>
      </c>
      <c r="Y294" s="129">
        <v>0</v>
      </c>
      <c r="Z294" s="129">
        <v>0</v>
      </c>
      <c r="AA294" s="129">
        <v>0</v>
      </c>
      <c r="AB294" s="129">
        <v>0</v>
      </c>
      <c r="AC294" s="129">
        <v>0</v>
      </c>
      <c r="AD294" s="129">
        <v>0</v>
      </c>
      <c r="AE294" s="129">
        <v>0</v>
      </c>
      <c r="AF294" s="129">
        <v>0</v>
      </c>
      <c r="AG294" s="129">
        <v>0</v>
      </c>
      <c r="AH294" s="129">
        <v>0</v>
      </c>
      <c r="AI294" s="129">
        <v>0</v>
      </c>
      <c r="AJ294" s="129">
        <v>0</v>
      </c>
      <c r="AK294" s="129">
        <v>0</v>
      </c>
      <c r="AL294" s="129">
        <v>0</v>
      </c>
      <c r="AM294" s="662" t="s">
        <v>441</v>
      </c>
      <c r="AN294" s="324" t="s">
        <v>536</v>
      </c>
      <c r="AO294" s="663" t="s">
        <v>512</v>
      </c>
      <c r="AP294" s="529" t="s">
        <v>1500</v>
      </c>
    </row>
    <row r="295" spans="1:42" ht="12.75" x14ac:dyDescent="0.2">
      <c r="A295" s="664">
        <v>288</v>
      </c>
      <c r="B295" s="665" t="s">
        <v>443</v>
      </c>
      <c r="C295" s="666" t="s">
        <v>486</v>
      </c>
      <c r="D295" s="667" t="s">
        <v>1202</v>
      </c>
      <c r="E295" s="668" t="s">
        <v>495</v>
      </c>
      <c r="F295" s="129">
        <v>90689486</v>
      </c>
      <c r="G295" s="129">
        <v>0</v>
      </c>
      <c r="H295" s="129">
        <v>90689486</v>
      </c>
      <c r="I295" s="129">
        <v>-380000</v>
      </c>
      <c r="J295" s="129">
        <v>0</v>
      </c>
      <c r="K295" s="129">
        <v>-380000</v>
      </c>
      <c r="L295" s="129">
        <v>-1070000</v>
      </c>
      <c r="M295" s="129">
        <v>0</v>
      </c>
      <c r="N295" s="129">
        <v>-1070000</v>
      </c>
      <c r="O295" s="129">
        <v>89239486</v>
      </c>
      <c r="P295" s="129">
        <v>0</v>
      </c>
      <c r="Q295" s="129">
        <v>89239486</v>
      </c>
      <c r="R295" s="129">
        <v>0</v>
      </c>
      <c r="S295" s="129">
        <v>0</v>
      </c>
      <c r="T295" s="129">
        <v>0</v>
      </c>
      <c r="U295" s="129">
        <v>0</v>
      </c>
      <c r="V295" s="129">
        <v>0</v>
      </c>
      <c r="W295" s="129">
        <v>0</v>
      </c>
      <c r="X295" s="129">
        <v>0</v>
      </c>
      <c r="Y295" s="129">
        <v>0</v>
      </c>
      <c r="Z295" s="129">
        <v>0</v>
      </c>
      <c r="AA295" s="129">
        <v>0</v>
      </c>
      <c r="AB295" s="129">
        <v>0</v>
      </c>
      <c r="AC295" s="129">
        <v>0</v>
      </c>
      <c r="AD295" s="129">
        <v>0</v>
      </c>
      <c r="AE295" s="129">
        <v>0</v>
      </c>
      <c r="AF295" s="129">
        <v>0</v>
      </c>
      <c r="AG295" s="129">
        <v>0</v>
      </c>
      <c r="AH295" s="129">
        <v>0</v>
      </c>
      <c r="AI295" s="129">
        <v>0</v>
      </c>
      <c r="AJ295" s="129">
        <v>0</v>
      </c>
      <c r="AK295" s="129">
        <v>0</v>
      </c>
      <c r="AL295" s="129">
        <v>0</v>
      </c>
      <c r="AM295" s="662" t="s">
        <v>495</v>
      </c>
      <c r="AN295" s="324" t="s">
        <v>486</v>
      </c>
      <c r="AO295" s="663" t="s">
        <v>494</v>
      </c>
      <c r="AP295" s="529" t="s">
        <v>1501</v>
      </c>
    </row>
    <row r="296" spans="1:42" ht="12.75" x14ac:dyDescent="0.2">
      <c r="A296" s="664">
        <v>289</v>
      </c>
      <c r="B296" s="665" t="s">
        <v>445</v>
      </c>
      <c r="C296" s="666" t="s">
        <v>1201</v>
      </c>
      <c r="D296" s="667" t="s">
        <v>1224</v>
      </c>
      <c r="E296" s="668" t="s">
        <v>444</v>
      </c>
      <c r="F296" s="129">
        <v>11132357</v>
      </c>
      <c r="G296" s="129">
        <v>0</v>
      </c>
      <c r="H296" s="129">
        <v>11132357</v>
      </c>
      <c r="I296" s="129">
        <v>-111324</v>
      </c>
      <c r="J296" s="129">
        <v>0</v>
      </c>
      <c r="K296" s="129">
        <v>-111324</v>
      </c>
      <c r="L296" s="129">
        <v>-390102</v>
      </c>
      <c r="M296" s="129">
        <v>0</v>
      </c>
      <c r="N296" s="129">
        <v>-390102</v>
      </c>
      <c r="O296" s="129">
        <v>10630931</v>
      </c>
      <c r="P296" s="129">
        <v>0</v>
      </c>
      <c r="Q296" s="129">
        <v>10630931</v>
      </c>
      <c r="R296" s="129">
        <v>0</v>
      </c>
      <c r="S296" s="129">
        <v>0</v>
      </c>
      <c r="T296" s="129">
        <v>0</v>
      </c>
      <c r="U296" s="129">
        <v>0</v>
      </c>
      <c r="V296" s="129">
        <v>0</v>
      </c>
      <c r="W296" s="129">
        <v>0</v>
      </c>
      <c r="X296" s="129">
        <v>0</v>
      </c>
      <c r="Y296" s="129">
        <v>0</v>
      </c>
      <c r="Z296" s="129">
        <v>0</v>
      </c>
      <c r="AA296" s="129">
        <v>0</v>
      </c>
      <c r="AB296" s="129">
        <v>0</v>
      </c>
      <c r="AC296" s="129">
        <v>0</v>
      </c>
      <c r="AD296" s="129">
        <v>0</v>
      </c>
      <c r="AE296" s="129">
        <v>0</v>
      </c>
      <c r="AF296" s="129">
        <v>0</v>
      </c>
      <c r="AG296" s="129">
        <v>0</v>
      </c>
      <c r="AH296" s="129">
        <v>0</v>
      </c>
      <c r="AI296" s="129">
        <v>0</v>
      </c>
      <c r="AJ296" s="129">
        <v>0</v>
      </c>
      <c r="AK296" s="129">
        <v>0</v>
      </c>
      <c r="AL296" s="129">
        <v>0</v>
      </c>
      <c r="AM296" s="662" t="s">
        <v>444</v>
      </c>
      <c r="AN296" s="324" t="s">
        <v>521</v>
      </c>
      <c r="AO296" s="663" t="s">
        <v>519</v>
      </c>
      <c r="AP296" s="529" t="s">
        <v>1502</v>
      </c>
    </row>
    <row r="297" spans="1:42" ht="12.75" x14ac:dyDescent="0.2">
      <c r="A297" s="664">
        <v>290</v>
      </c>
      <c r="B297" s="665" t="s">
        <v>447</v>
      </c>
      <c r="C297" s="666" t="s">
        <v>1201</v>
      </c>
      <c r="D297" s="667" t="s">
        <v>1204</v>
      </c>
      <c r="E297" s="668" t="s">
        <v>446</v>
      </c>
      <c r="F297" s="129">
        <v>33094219</v>
      </c>
      <c r="G297" s="129">
        <v>0</v>
      </c>
      <c r="H297" s="129">
        <v>33094219</v>
      </c>
      <c r="I297" s="129">
        <v>-1161219</v>
      </c>
      <c r="J297" s="129">
        <v>0</v>
      </c>
      <c r="K297" s="129">
        <v>-1161219</v>
      </c>
      <c r="L297" s="129">
        <v>-995331</v>
      </c>
      <c r="M297" s="129">
        <v>0</v>
      </c>
      <c r="N297" s="129">
        <v>-995331</v>
      </c>
      <c r="O297" s="129">
        <v>30937669</v>
      </c>
      <c r="P297" s="129">
        <v>0</v>
      </c>
      <c r="Q297" s="129">
        <v>30937669</v>
      </c>
      <c r="R297" s="129">
        <v>0</v>
      </c>
      <c r="S297" s="129">
        <v>0</v>
      </c>
      <c r="T297" s="129">
        <v>0</v>
      </c>
      <c r="U297" s="129">
        <v>0</v>
      </c>
      <c r="V297" s="129">
        <v>0</v>
      </c>
      <c r="W297" s="129">
        <v>0</v>
      </c>
      <c r="X297" s="129">
        <v>0</v>
      </c>
      <c r="Y297" s="129">
        <v>0</v>
      </c>
      <c r="Z297" s="129">
        <v>0</v>
      </c>
      <c r="AA297" s="129">
        <v>0</v>
      </c>
      <c r="AB297" s="129">
        <v>0</v>
      </c>
      <c r="AC297" s="129">
        <v>0</v>
      </c>
      <c r="AD297" s="129">
        <v>0</v>
      </c>
      <c r="AE297" s="129">
        <v>0</v>
      </c>
      <c r="AF297" s="129">
        <v>0</v>
      </c>
      <c r="AG297" s="129">
        <v>0</v>
      </c>
      <c r="AH297" s="129">
        <v>0</v>
      </c>
      <c r="AI297" s="129">
        <v>0</v>
      </c>
      <c r="AJ297" s="129">
        <v>0</v>
      </c>
      <c r="AK297" s="129">
        <v>0</v>
      </c>
      <c r="AL297" s="129">
        <v>0</v>
      </c>
      <c r="AM297" s="662" t="s">
        <v>446</v>
      </c>
      <c r="AN297" s="324" t="s">
        <v>547</v>
      </c>
      <c r="AO297" s="663" t="s">
        <v>545</v>
      </c>
      <c r="AP297" s="529" t="s">
        <v>1503</v>
      </c>
    </row>
    <row r="298" spans="1:42" ht="12.75" x14ac:dyDescent="0.2">
      <c r="A298" s="664">
        <v>291</v>
      </c>
      <c r="B298" s="665" t="s">
        <v>449</v>
      </c>
      <c r="C298" s="666" t="s">
        <v>1201</v>
      </c>
      <c r="D298" s="667" t="s">
        <v>1206</v>
      </c>
      <c r="E298" s="668" t="s">
        <v>448</v>
      </c>
      <c r="F298" s="129">
        <v>18610682</v>
      </c>
      <c r="G298" s="129">
        <v>0</v>
      </c>
      <c r="H298" s="129">
        <v>18610682</v>
      </c>
      <c r="I298" s="129">
        <v>-150000</v>
      </c>
      <c r="J298" s="129">
        <v>0</v>
      </c>
      <c r="K298" s="129">
        <v>-150000</v>
      </c>
      <c r="L298" s="129">
        <v>-300000</v>
      </c>
      <c r="M298" s="129">
        <v>0</v>
      </c>
      <c r="N298" s="129">
        <v>-300000</v>
      </c>
      <c r="O298" s="129">
        <v>18160682</v>
      </c>
      <c r="P298" s="129">
        <v>0</v>
      </c>
      <c r="Q298" s="129">
        <v>18160682</v>
      </c>
      <c r="R298" s="129">
        <v>204957</v>
      </c>
      <c r="S298" s="129">
        <v>0</v>
      </c>
      <c r="T298" s="129">
        <v>204957</v>
      </c>
      <c r="U298" s="129">
        <v>0</v>
      </c>
      <c r="V298" s="129">
        <v>0</v>
      </c>
      <c r="W298" s="129">
        <v>0</v>
      </c>
      <c r="X298" s="129">
        <v>0</v>
      </c>
      <c r="Y298" s="129">
        <v>0</v>
      </c>
      <c r="Z298" s="129">
        <v>0</v>
      </c>
      <c r="AA298" s="129">
        <v>0</v>
      </c>
      <c r="AB298" s="129">
        <v>0</v>
      </c>
      <c r="AC298" s="129">
        <v>0</v>
      </c>
      <c r="AD298" s="129">
        <v>0</v>
      </c>
      <c r="AE298" s="129">
        <v>0</v>
      </c>
      <c r="AF298" s="129">
        <v>0</v>
      </c>
      <c r="AG298" s="129">
        <v>0</v>
      </c>
      <c r="AH298" s="129">
        <v>0</v>
      </c>
      <c r="AI298" s="129">
        <v>0</v>
      </c>
      <c r="AJ298" s="129">
        <v>0</v>
      </c>
      <c r="AK298" s="129">
        <v>0</v>
      </c>
      <c r="AL298" s="129">
        <v>0</v>
      </c>
      <c r="AM298" s="662" t="s">
        <v>448</v>
      </c>
      <c r="AN298" s="324" t="s">
        <v>552</v>
      </c>
      <c r="AO298" s="663" t="s">
        <v>512</v>
      </c>
      <c r="AP298" s="529" t="s">
        <v>1504</v>
      </c>
    </row>
    <row r="299" spans="1:42" ht="12.75" x14ac:dyDescent="0.2">
      <c r="A299" s="664">
        <v>292</v>
      </c>
      <c r="B299" s="665" t="s">
        <v>1126</v>
      </c>
      <c r="C299" s="666" t="s">
        <v>486</v>
      </c>
      <c r="D299" s="667" t="s">
        <v>1206</v>
      </c>
      <c r="E299" s="668" t="s">
        <v>1093</v>
      </c>
      <c r="F299" s="129">
        <v>180448332</v>
      </c>
      <c r="G299" s="129">
        <v>5257872</v>
      </c>
      <c r="H299" s="129">
        <v>185706204</v>
      </c>
      <c r="I299" s="129">
        <v>-2911398</v>
      </c>
      <c r="J299" s="129">
        <v>-78596</v>
      </c>
      <c r="K299" s="129">
        <v>-2989994</v>
      </c>
      <c r="L299" s="129">
        <v>-10095974</v>
      </c>
      <c r="M299" s="129">
        <v>-203408</v>
      </c>
      <c r="N299" s="129">
        <v>-10299382</v>
      </c>
      <c r="O299" s="129">
        <v>167440960</v>
      </c>
      <c r="P299" s="129">
        <v>4975868</v>
      </c>
      <c r="Q299" s="129">
        <v>172416828</v>
      </c>
      <c r="R299" s="129">
        <v>1453137</v>
      </c>
      <c r="S299" s="129">
        <v>0</v>
      </c>
      <c r="T299" s="129">
        <v>1453137</v>
      </c>
      <c r="U299" s="129">
        <v>0</v>
      </c>
      <c r="V299" s="129">
        <v>0</v>
      </c>
      <c r="W299" s="129">
        <v>0</v>
      </c>
      <c r="X299" s="129">
        <v>-3975</v>
      </c>
      <c r="Y299" s="129">
        <v>3390005</v>
      </c>
      <c r="Z299" s="129">
        <v>1581888</v>
      </c>
      <c r="AA299" s="129">
        <v>1581888</v>
      </c>
      <c r="AB299" s="129">
        <v>0</v>
      </c>
      <c r="AC299" s="129">
        <v>0</v>
      </c>
      <c r="AD299" s="129">
        <v>0</v>
      </c>
      <c r="AE299" s="129">
        <v>0</v>
      </c>
      <c r="AF299" s="129">
        <v>256861</v>
      </c>
      <c r="AG299" s="129">
        <v>256861</v>
      </c>
      <c r="AH299" s="129">
        <v>0</v>
      </c>
      <c r="AI299" s="129">
        <v>0</v>
      </c>
      <c r="AJ299" s="129">
        <v>0</v>
      </c>
      <c r="AK299" s="129">
        <v>256861</v>
      </c>
      <c r="AL299" s="129">
        <v>256861</v>
      </c>
      <c r="AM299" s="662" t="s">
        <v>1093</v>
      </c>
      <c r="AN299" s="324" t="s">
        <v>486</v>
      </c>
      <c r="AO299" s="663" t="s">
        <v>1026</v>
      </c>
      <c r="AP299" s="529" t="s">
        <v>1541</v>
      </c>
    </row>
    <row r="300" spans="1:42" ht="12.75" x14ac:dyDescent="0.2">
      <c r="A300" s="664">
        <v>293</v>
      </c>
      <c r="B300" s="665" t="s">
        <v>451</v>
      </c>
      <c r="C300" s="666" t="s">
        <v>1201</v>
      </c>
      <c r="D300" s="667" t="s">
        <v>1202</v>
      </c>
      <c r="E300" s="668" t="s">
        <v>450</v>
      </c>
      <c r="F300" s="129">
        <v>41925715</v>
      </c>
      <c r="G300" s="129">
        <v>0</v>
      </c>
      <c r="H300" s="129">
        <v>41925715</v>
      </c>
      <c r="I300" s="129">
        <v>-100000</v>
      </c>
      <c r="J300" s="129">
        <v>0</v>
      </c>
      <c r="K300" s="129">
        <v>-100000</v>
      </c>
      <c r="L300" s="129">
        <v>-1015031</v>
      </c>
      <c r="M300" s="129">
        <v>0</v>
      </c>
      <c r="N300" s="129">
        <v>-1015031</v>
      </c>
      <c r="O300" s="129">
        <v>40810684</v>
      </c>
      <c r="P300" s="129">
        <v>0</v>
      </c>
      <c r="Q300" s="129">
        <v>40810684</v>
      </c>
      <c r="R300" s="129">
        <v>209141</v>
      </c>
      <c r="S300" s="129">
        <v>0</v>
      </c>
      <c r="T300" s="129">
        <v>209141</v>
      </c>
      <c r="U300" s="129">
        <v>0</v>
      </c>
      <c r="V300" s="129">
        <v>0</v>
      </c>
      <c r="W300" s="129">
        <v>0</v>
      </c>
      <c r="X300" s="129">
        <v>0</v>
      </c>
      <c r="Y300" s="129">
        <v>0</v>
      </c>
      <c r="Z300" s="129">
        <v>0</v>
      </c>
      <c r="AA300" s="129">
        <v>0</v>
      </c>
      <c r="AB300" s="129">
        <v>0</v>
      </c>
      <c r="AC300" s="129">
        <v>0</v>
      </c>
      <c r="AD300" s="129">
        <v>0</v>
      </c>
      <c r="AE300" s="129">
        <v>0</v>
      </c>
      <c r="AF300" s="129">
        <v>0</v>
      </c>
      <c r="AG300" s="129">
        <v>0</v>
      </c>
      <c r="AH300" s="129">
        <v>0</v>
      </c>
      <c r="AI300" s="129">
        <v>0</v>
      </c>
      <c r="AJ300" s="129">
        <v>0</v>
      </c>
      <c r="AK300" s="129">
        <v>0</v>
      </c>
      <c r="AL300" s="129">
        <v>0</v>
      </c>
      <c r="AM300" s="662" t="s">
        <v>450</v>
      </c>
      <c r="AN300" s="324" t="s">
        <v>560</v>
      </c>
      <c r="AO300" s="663" t="s">
        <v>512</v>
      </c>
      <c r="AP300" s="529" t="s">
        <v>1505</v>
      </c>
    </row>
    <row r="301" spans="1:42" ht="12.75" x14ac:dyDescent="0.2">
      <c r="A301" s="664">
        <v>294</v>
      </c>
      <c r="B301" s="665" t="s">
        <v>1025</v>
      </c>
      <c r="C301" s="666" t="s">
        <v>1201</v>
      </c>
      <c r="D301" s="667" t="s">
        <v>1224</v>
      </c>
      <c r="E301" s="668" t="s">
        <v>1024</v>
      </c>
      <c r="F301" s="129">
        <v>76632644</v>
      </c>
      <c r="G301" s="129">
        <v>1201480</v>
      </c>
      <c r="H301" s="129">
        <v>77834124</v>
      </c>
      <c r="I301" s="129">
        <v>-393748</v>
      </c>
      <c r="J301" s="129">
        <v>0</v>
      </c>
      <c r="K301" s="129">
        <v>-393748</v>
      </c>
      <c r="L301" s="129">
        <v>-2653235</v>
      </c>
      <c r="M301" s="129">
        <v>0</v>
      </c>
      <c r="N301" s="129">
        <v>-2653235</v>
      </c>
      <c r="O301" s="129">
        <v>73585661</v>
      </c>
      <c r="P301" s="129">
        <v>1201480</v>
      </c>
      <c r="Q301" s="129">
        <v>74787141</v>
      </c>
      <c r="R301" s="129">
        <v>512159</v>
      </c>
      <c r="S301" s="129">
        <v>0</v>
      </c>
      <c r="T301" s="129">
        <v>512159</v>
      </c>
      <c r="U301" s="129">
        <v>0</v>
      </c>
      <c r="V301" s="129">
        <v>0</v>
      </c>
      <c r="W301" s="129">
        <v>0</v>
      </c>
      <c r="X301" s="129">
        <v>0</v>
      </c>
      <c r="Y301" s="129">
        <v>0</v>
      </c>
      <c r="Z301" s="129">
        <v>1201480</v>
      </c>
      <c r="AA301" s="129">
        <v>1201480</v>
      </c>
      <c r="AB301" s="129">
        <v>0</v>
      </c>
      <c r="AC301" s="129">
        <v>0</v>
      </c>
      <c r="AD301" s="129">
        <v>0</v>
      </c>
      <c r="AE301" s="129">
        <v>0</v>
      </c>
      <c r="AF301" s="129">
        <v>0</v>
      </c>
      <c r="AG301" s="129">
        <v>0</v>
      </c>
      <c r="AH301" s="129">
        <v>0</v>
      </c>
      <c r="AI301" s="129">
        <v>0</v>
      </c>
      <c r="AJ301" s="129">
        <v>0</v>
      </c>
      <c r="AK301" s="129">
        <v>0</v>
      </c>
      <c r="AL301" s="129">
        <v>0</v>
      </c>
      <c r="AM301" s="662" t="s">
        <v>1024</v>
      </c>
      <c r="AN301" s="324" t="s">
        <v>562</v>
      </c>
      <c r="AO301" s="663" t="s">
        <v>512</v>
      </c>
      <c r="AP301" s="529" t="s">
        <v>1506</v>
      </c>
    </row>
    <row r="302" spans="1:42" ht="12.75" x14ac:dyDescent="0.2">
      <c r="A302" s="664">
        <v>295</v>
      </c>
      <c r="B302" s="665" t="s">
        <v>453</v>
      </c>
      <c r="C302" s="666" t="s">
        <v>1257</v>
      </c>
      <c r="D302" s="667" t="s">
        <v>1214</v>
      </c>
      <c r="E302" s="668" t="s">
        <v>452</v>
      </c>
      <c r="F302" s="129">
        <v>2338401365</v>
      </c>
      <c r="G302" s="129">
        <v>0</v>
      </c>
      <c r="H302" s="129">
        <v>2338401365</v>
      </c>
      <c r="I302" s="129">
        <v>-46768027</v>
      </c>
      <c r="J302" s="129">
        <v>0</v>
      </c>
      <c r="K302" s="129">
        <v>-46768027</v>
      </c>
      <c r="L302" s="129">
        <v>-166686497</v>
      </c>
      <c r="M302" s="129">
        <v>0</v>
      </c>
      <c r="N302" s="129">
        <v>-166686497</v>
      </c>
      <c r="O302" s="129">
        <v>2124946841</v>
      </c>
      <c r="P302" s="129">
        <v>0</v>
      </c>
      <c r="Q302" s="129">
        <v>2124946841</v>
      </c>
      <c r="R302" s="129">
        <v>0</v>
      </c>
      <c r="S302" s="129">
        <v>0</v>
      </c>
      <c r="T302" s="129">
        <v>0</v>
      </c>
      <c r="U302" s="129">
        <v>0</v>
      </c>
      <c r="V302" s="129">
        <v>0</v>
      </c>
      <c r="W302" s="129">
        <v>0</v>
      </c>
      <c r="X302" s="129">
        <v>0</v>
      </c>
      <c r="Y302" s="129">
        <v>0</v>
      </c>
      <c r="Z302" s="129">
        <v>0</v>
      </c>
      <c r="AA302" s="129">
        <v>0</v>
      </c>
      <c r="AB302" s="129">
        <v>0</v>
      </c>
      <c r="AC302" s="129">
        <v>0</v>
      </c>
      <c r="AD302" s="129">
        <v>0</v>
      </c>
      <c r="AE302" s="129">
        <v>0</v>
      </c>
      <c r="AF302" s="129">
        <v>0</v>
      </c>
      <c r="AG302" s="129">
        <v>0</v>
      </c>
      <c r="AH302" s="129">
        <v>0</v>
      </c>
      <c r="AI302" s="129">
        <v>0</v>
      </c>
      <c r="AJ302" s="129">
        <v>0</v>
      </c>
      <c r="AK302" s="129">
        <v>0</v>
      </c>
      <c r="AL302" s="129">
        <v>0</v>
      </c>
      <c r="AM302" s="662" t="s">
        <v>452</v>
      </c>
      <c r="AN302" s="324" t="s">
        <v>576</v>
      </c>
      <c r="AO302" s="669" t="s">
        <v>485</v>
      </c>
      <c r="AP302" s="529" t="s">
        <v>1507</v>
      </c>
    </row>
    <row r="303" spans="1:42" ht="12.75" x14ac:dyDescent="0.2">
      <c r="A303" s="664">
        <v>296</v>
      </c>
      <c r="B303" s="665" t="s">
        <v>455</v>
      </c>
      <c r="C303" s="671" t="s">
        <v>1217</v>
      </c>
      <c r="D303" s="672" t="s">
        <v>1204</v>
      </c>
      <c r="E303" s="668" t="s">
        <v>454</v>
      </c>
      <c r="F303" s="129">
        <v>88100415</v>
      </c>
      <c r="G303" s="129">
        <v>0</v>
      </c>
      <c r="H303" s="129">
        <v>88100415</v>
      </c>
      <c r="I303" s="129">
        <v>-1701004</v>
      </c>
      <c r="J303" s="129">
        <v>0</v>
      </c>
      <c r="K303" s="129">
        <v>-1701004</v>
      </c>
      <c r="L303" s="129">
        <v>-2019958</v>
      </c>
      <c r="M303" s="129">
        <v>0</v>
      </c>
      <c r="N303" s="129">
        <v>-2019958</v>
      </c>
      <c r="O303" s="129">
        <v>84379453</v>
      </c>
      <c r="P303" s="129">
        <v>0</v>
      </c>
      <c r="Q303" s="129">
        <v>84379453</v>
      </c>
      <c r="R303" s="129">
        <v>0</v>
      </c>
      <c r="S303" s="129">
        <v>0</v>
      </c>
      <c r="T303" s="129">
        <v>0</v>
      </c>
      <c r="U303" s="129">
        <v>0</v>
      </c>
      <c r="V303" s="129">
        <v>0</v>
      </c>
      <c r="W303" s="129">
        <v>0</v>
      </c>
      <c r="X303" s="129">
        <v>0</v>
      </c>
      <c r="Y303" s="129">
        <v>0</v>
      </c>
      <c r="Z303" s="129">
        <v>0</v>
      </c>
      <c r="AA303" s="129">
        <v>0</v>
      </c>
      <c r="AB303" s="129">
        <v>0</v>
      </c>
      <c r="AC303" s="129">
        <v>0</v>
      </c>
      <c r="AD303" s="129">
        <v>0</v>
      </c>
      <c r="AE303" s="129">
        <v>0</v>
      </c>
      <c r="AF303" s="129">
        <v>0</v>
      </c>
      <c r="AG303" s="129">
        <v>0</v>
      </c>
      <c r="AH303" s="129">
        <v>0</v>
      </c>
      <c r="AI303" s="129">
        <v>0</v>
      </c>
      <c r="AJ303" s="129">
        <v>0</v>
      </c>
      <c r="AK303" s="129">
        <v>0</v>
      </c>
      <c r="AL303" s="129">
        <v>0</v>
      </c>
      <c r="AM303" s="662" t="s">
        <v>454</v>
      </c>
      <c r="AN303" s="324" t="s">
        <v>570</v>
      </c>
      <c r="AO303" s="663" t="s">
        <v>1915</v>
      </c>
      <c r="AP303" s="529" t="s">
        <v>1508</v>
      </c>
    </row>
    <row r="304" spans="1:42" ht="12.75" x14ac:dyDescent="0.2">
      <c r="A304" s="664">
        <v>297</v>
      </c>
      <c r="B304" s="665" t="s">
        <v>457</v>
      </c>
      <c r="C304" s="666" t="s">
        <v>486</v>
      </c>
      <c r="D304" s="667" t="s">
        <v>1224</v>
      </c>
      <c r="E304" s="668" t="s">
        <v>456</v>
      </c>
      <c r="F304" s="129">
        <v>158229731</v>
      </c>
      <c r="G304" s="129">
        <v>0</v>
      </c>
      <c r="H304" s="129">
        <v>158229731</v>
      </c>
      <c r="I304" s="129">
        <v>-949400</v>
      </c>
      <c r="J304" s="129">
        <v>0</v>
      </c>
      <c r="K304" s="129">
        <v>-949400</v>
      </c>
      <c r="L304" s="129">
        <v>-4746900</v>
      </c>
      <c r="M304" s="129">
        <v>0</v>
      </c>
      <c r="N304" s="129">
        <v>-4746900</v>
      </c>
      <c r="O304" s="129">
        <v>152533431</v>
      </c>
      <c r="P304" s="129">
        <v>0</v>
      </c>
      <c r="Q304" s="129">
        <v>152533431</v>
      </c>
      <c r="R304" s="129">
        <v>1907945</v>
      </c>
      <c r="S304" s="129">
        <v>0</v>
      </c>
      <c r="T304" s="129">
        <v>1907945</v>
      </c>
      <c r="U304" s="129">
        <v>0</v>
      </c>
      <c r="V304" s="129">
        <v>0</v>
      </c>
      <c r="W304" s="129">
        <v>0</v>
      </c>
      <c r="X304" s="129">
        <v>0</v>
      </c>
      <c r="Y304" s="129">
        <v>0</v>
      </c>
      <c r="Z304" s="129">
        <v>0</v>
      </c>
      <c r="AA304" s="129">
        <v>0</v>
      </c>
      <c r="AB304" s="129">
        <v>0</v>
      </c>
      <c r="AC304" s="129">
        <v>0</v>
      </c>
      <c r="AD304" s="129">
        <v>0</v>
      </c>
      <c r="AE304" s="129">
        <v>0</v>
      </c>
      <c r="AF304" s="129">
        <v>0</v>
      </c>
      <c r="AG304" s="129">
        <v>0</v>
      </c>
      <c r="AH304" s="129">
        <v>0</v>
      </c>
      <c r="AI304" s="129">
        <v>0</v>
      </c>
      <c r="AJ304" s="129">
        <v>0</v>
      </c>
      <c r="AK304" s="129">
        <v>0</v>
      </c>
      <c r="AL304" s="129">
        <v>0</v>
      </c>
      <c r="AM304" s="662" t="s">
        <v>456</v>
      </c>
      <c r="AN304" s="324" t="s">
        <v>486</v>
      </c>
      <c r="AO304" s="663" t="s">
        <v>1916</v>
      </c>
      <c r="AP304" s="529" t="s">
        <v>1509</v>
      </c>
    </row>
    <row r="305" spans="1:42" ht="12.75" x14ac:dyDescent="0.2">
      <c r="A305" s="664">
        <v>298</v>
      </c>
      <c r="B305" s="665" t="s">
        <v>459</v>
      </c>
      <c r="C305" s="666" t="s">
        <v>1201</v>
      </c>
      <c r="D305" s="667" t="s">
        <v>1202</v>
      </c>
      <c r="E305" s="668" t="s">
        <v>458</v>
      </c>
      <c r="F305" s="129">
        <v>67384509</v>
      </c>
      <c r="G305" s="129">
        <v>0</v>
      </c>
      <c r="H305" s="129">
        <v>67384509</v>
      </c>
      <c r="I305" s="129">
        <v>-674000</v>
      </c>
      <c r="J305" s="129">
        <v>0</v>
      </c>
      <c r="K305" s="129">
        <v>-674000</v>
      </c>
      <c r="L305" s="129">
        <v>-2315000</v>
      </c>
      <c r="M305" s="129">
        <v>0</v>
      </c>
      <c r="N305" s="129">
        <v>-2315000</v>
      </c>
      <c r="O305" s="129">
        <v>64395509</v>
      </c>
      <c r="P305" s="129">
        <v>0</v>
      </c>
      <c r="Q305" s="129">
        <v>64395509</v>
      </c>
      <c r="R305" s="129">
        <v>22000</v>
      </c>
      <c r="S305" s="129">
        <v>0</v>
      </c>
      <c r="T305" s="129">
        <v>22000</v>
      </c>
      <c r="U305" s="129">
        <v>0</v>
      </c>
      <c r="V305" s="129">
        <v>0</v>
      </c>
      <c r="W305" s="129">
        <v>0</v>
      </c>
      <c r="X305" s="129">
        <v>0</v>
      </c>
      <c r="Y305" s="129">
        <v>0</v>
      </c>
      <c r="Z305" s="129">
        <v>0</v>
      </c>
      <c r="AA305" s="129">
        <v>0</v>
      </c>
      <c r="AB305" s="129">
        <v>0</v>
      </c>
      <c r="AC305" s="129">
        <v>0</v>
      </c>
      <c r="AD305" s="129">
        <v>0</v>
      </c>
      <c r="AE305" s="129">
        <v>0</v>
      </c>
      <c r="AF305" s="129">
        <v>0</v>
      </c>
      <c r="AG305" s="129">
        <v>0</v>
      </c>
      <c r="AH305" s="129">
        <v>0</v>
      </c>
      <c r="AI305" s="129">
        <v>0</v>
      </c>
      <c r="AJ305" s="129">
        <v>0</v>
      </c>
      <c r="AK305" s="129">
        <v>0</v>
      </c>
      <c r="AL305" s="129">
        <v>0</v>
      </c>
      <c r="AM305" s="662" t="s">
        <v>458</v>
      </c>
      <c r="AN305" s="324" t="s">
        <v>532</v>
      </c>
      <c r="AO305" s="663" t="s">
        <v>1914</v>
      </c>
      <c r="AP305" s="529" t="s">
        <v>1510</v>
      </c>
    </row>
    <row r="306" spans="1:42" s="129" customFormat="1" ht="14.25" x14ac:dyDescent="0.2">
      <c r="A306" s="784">
        <v>299</v>
      </c>
      <c r="B306" s="785" t="s">
        <v>460</v>
      </c>
      <c r="C306" s="786" t="s">
        <v>486</v>
      </c>
      <c r="D306" s="787" t="s">
        <v>1202</v>
      </c>
      <c r="E306" s="788" t="s">
        <v>1866</v>
      </c>
      <c r="F306" s="129">
        <v>102128193</v>
      </c>
      <c r="G306" s="129">
        <v>0</v>
      </c>
      <c r="H306" s="129">
        <v>102128193</v>
      </c>
      <c r="I306" s="129">
        <v>-435131</v>
      </c>
      <c r="J306" s="129">
        <v>0</v>
      </c>
      <c r="K306" s="129">
        <v>-435131</v>
      </c>
      <c r="L306" s="129">
        <v>0</v>
      </c>
      <c r="M306" s="129">
        <v>0</v>
      </c>
      <c r="N306" s="129">
        <v>0</v>
      </c>
      <c r="O306" s="129">
        <v>101693062</v>
      </c>
      <c r="P306" s="129">
        <v>0</v>
      </c>
      <c r="Q306" s="129">
        <v>101693062</v>
      </c>
      <c r="R306" s="129">
        <v>20730</v>
      </c>
      <c r="S306" s="129">
        <v>0</v>
      </c>
      <c r="T306" s="129">
        <v>20730</v>
      </c>
      <c r="U306" s="129">
        <v>0</v>
      </c>
      <c r="V306" s="129">
        <v>0</v>
      </c>
      <c r="W306" s="129">
        <v>0</v>
      </c>
      <c r="X306" s="129">
        <v>0</v>
      </c>
      <c r="Y306" s="129">
        <v>0</v>
      </c>
      <c r="Z306" s="129">
        <v>0</v>
      </c>
      <c r="AA306" s="129">
        <v>0</v>
      </c>
      <c r="AB306" s="129">
        <v>0</v>
      </c>
      <c r="AC306" s="129">
        <v>0</v>
      </c>
      <c r="AD306" s="129">
        <v>0</v>
      </c>
      <c r="AE306" s="129">
        <v>0</v>
      </c>
      <c r="AF306" s="129">
        <v>0</v>
      </c>
      <c r="AG306" s="129">
        <v>0</v>
      </c>
      <c r="AH306" s="129">
        <v>0</v>
      </c>
      <c r="AI306" s="129">
        <v>0</v>
      </c>
      <c r="AJ306" s="129">
        <v>0</v>
      </c>
      <c r="AK306" s="129">
        <v>0</v>
      </c>
      <c r="AL306" s="129">
        <v>0</v>
      </c>
      <c r="AM306" s="789" t="s">
        <v>816</v>
      </c>
      <c r="AN306" s="790" t="s">
        <v>486</v>
      </c>
      <c r="AO306" s="791" t="s">
        <v>494</v>
      </c>
      <c r="AP306" s="792" t="s">
        <v>1511</v>
      </c>
    </row>
    <row r="307" spans="1:42" ht="12.75" x14ac:dyDescent="0.2">
      <c r="A307" s="664">
        <v>300</v>
      </c>
      <c r="B307" s="665" t="s">
        <v>462</v>
      </c>
      <c r="C307" s="666" t="s">
        <v>1217</v>
      </c>
      <c r="D307" s="667" t="s">
        <v>1204</v>
      </c>
      <c r="E307" s="668" t="s">
        <v>461</v>
      </c>
      <c r="F307" s="129">
        <v>74939347</v>
      </c>
      <c r="G307" s="129">
        <v>901171</v>
      </c>
      <c r="H307" s="129">
        <v>75840518</v>
      </c>
      <c r="I307" s="129">
        <v>-1100000</v>
      </c>
      <c r="J307" s="129">
        <v>0</v>
      </c>
      <c r="K307" s="129">
        <v>-1100000</v>
      </c>
      <c r="L307" s="129">
        <v>-1000000</v>
      </c>
      <c r="M307" s="129">
        <v>0</v>
      </c>
      <c r="N307" s="129">
        <v>-1000000</v>
      </c>
      <c r="O307" s="129">
        <v>72839347</v>
      </c>
      <c r="P307" s="129">
        <v>901171</v>
      </c>
      <c r="Q307" s="129">
        <v>73740518</v>
      </c>
      <c r="R307" s="129">
        <v>0</v>
      </c>
      <c r="S307" s="129">
        <v>0</v>
      </c>
      <c r="T307" s="129">
        <v>0</v>
      </c>
      <c r="U307" s="129">
        <v>0</v>
      </c>
      <c r="V307" s="129">
        <v>0</v>
      </c>
      <c r="W307" s="129">
        <v>0</v>
      </c>
      <c r="X307" s="129">
        <v>0</v>
      </c>
      <c r="Y307" s="129">
        <v>939847</v>
      </c>
      <c r="Z307" s="129">
        <v>3095</v>
      </c>
      <c r="AA307" s="129">
        <v>3095</v>
      </c>
      <c r="AB307" s="129">
        <v>0</v>
      </c>
      <c r="AC307" s="129">
        <v>0</v>
      </c>
      <c r="AD307" s="129">
        <v>0</v>
      </c>
      <c r="AE307" s="129">
        <v>0</v>
      </c>
      <c r="AF307" s="129">
        <v>0</v>
      </c>
      <c r="AG307" s="129">
        <v>0</v>
      </c>
      <c r="AH307" s="129">
        <v>0</v>
      </c>
      <c r="AI307" s="129">
        <v>0</v>
      </c>
      <c r="AJ307" s="129">
        <v>0</v>
      </c>
      <c r="AK307" s="129">
        <v>0</v>
      </c>
      <c r="AL307" s="129">
        <v>0</v>
      </c>
      <c r="AM307" s="662" t="s">
        <v>461</v>
      </c>
      <c r="AN307" s="324" t="s">
        <v>570</v>
      </c>
      <c r="AO307" s="663" t="s">
        <v>571</v>
      </c>
      <c r="AP307" s="529" t="s">
        <v>1512</v>
      </c>
    </row>
    <row r="308" spans="1:42" ht="12.75" x14ac:dyDescent="0.2">
      <c r="A308" s="664">
        <v>301</v>
      </c>
      <c r="B308" s="665" t="s">
        <v>464</v>
      </c>
      <c r="C308" s="666" t="s">
        <v>1201</v>
      </c>
      <c r="D308" s="667" t="s">
        <v>1202</v>
      </c>
      <c r="E308" s="668" t="s">
        <v>463</v>
      </c>
      <c r="F308" s="129">
        <v>50286355</v>
      </c>
      <c r="G308" s="129">
        <v>0</v>
      </c>
      <c r="H308" s="129">
        <v>50286355</v>
      </c>
      <c r="I308" s="129">
        <v>-200000</v>
      </c>
      <c r="J308" s="129">
        <v>0</v>
      </c>
      <c r="K308" s="129">
        <v>-200000</v>
      </c>
      <c r="L308" s="129">
        <v>-2622559</v>
      </c>
      <c r="M308" s="129">
        <v>0</v>
      </c>
      <c r="N308" s="129">
        <v>-2622559</v>
      </c>
      <c r="O308" s="129">
        <v>47463796</v>
      </c>
      <c r="P308" s="129">
        <v>0</v>
      </c>
      <c r="Q308" s="129">
        <v>47463796</v>
      </c>
      <c r="R308" s="129">
        <v>0</v>
      </c>
      <c r="S308" s="129">
        <v>0</v>
      </c>
      <c r="T308" s="129">
        <v>0</v>
      </c>
      <c r="U308" s="129">
        <v>0</v>
      </c>
      <c r="V308" s="129">
        <v>0</v>
      </c>
      <c r="W308" s="129">
        <v>0</v>
      </c>
      <c r="X308" s="129">
        <v>0</v>
      </c>
      <c r="Y308" s="129">
        <v>0</v>
      </c>
      <c r="Z308" s="129">
        <v>0</v>
      </c>
      <c r="AA308" s="129">
        <v>0</v>
      </c>
      <c r="AB308" s="129">
        <v>0</v>
      </c>
      <c r="AC308" s="129">
        <v>0</v>
      </c>
      <c r="AD308" s="129">
        <v>0</v>
      </c>
      <c r="AE308" s="129">
        <v>0</v>
      </c>
      <c r="AF308" s="129">
        <v>0</v>
      </c>
      <c r="AG308" s="129">
        <v>0</v>
      </c>
      <c r="AH308" s="129">
        <v>0</v>
      </c>
      <c r="AI308" s="129">
        <v>0</v>
      </c>
      <c r="AJ308" s="129">
        <v>0</v>
      </c>
      <c r="AK308" s="129">
        <v>0</v>
      </c>
      <c r="AL308" s="129">
        <v>0</v>
      </c>
      <c r="AM308" s="662" t="s">
        <v>463</v>
      </c>
      <c r="AN308" s="324" t="s">
        <v>566</v>
      </c>
      <c r="AO308" s="663" t="s">
        <v>512</v>
      </c>
      <c r="AP308" s="529" t="s">
        <v>1513</v>
      </c>
    </row>
    <row r="309" spans="1:42" ht="12.75" x14ac:dyDescent="0.2">
      <c r="A309" s="664">
        <v>302</v>
      </c>
      <c r="B309" s="665" t="s">
        <v>465</v>
      </c>
      <c r="C309" s="666" t="s">
        <v>486</v>
      </c>
      <c r="D309" s="667" t="s">
        <v>1202</v>
      </c>
      <c r="E309" s="668" t="s">
        <v>498</v>
      </c>
      <c r="F309" s="129">
        <v>75347023</v>
      </c>
      <c r="G309" s="129">
        <v>0</v>
      </c>
      <c r="H309" s="129">
        <v>75347023</v>
      </c>
      <c r="I309" s="129">
        <v>-750000</v>
      </c>
      <c r="J309" s="129">
        <v>0</v>
      </c>
      <c r="K309" s="129">
        <v>-750000</v>
      </c>
      <c r="L309" s="129">
        <v>-3366000</v>
      </c>
      <c r="M309" s="129">
        <v>0</v>
      </c>
      <c r="N309" s="129">
        <v>-3366000</v>
      </c>
      <c r="O309" s="129">
        <v>71231023</v>
      </c>
      <c r="P309" s="129">
        <v>0</v>
      </c>
      <c r="Q309" s="129">
        <v>71231023</v>
      </c>
      <c r="R309" s="129">
        <v>12350</v>
      </c>
      <c r="S309" s="129">
        <v>0</v>
      </c>
      <c r="T309" s="129">
        <v>12350</v>
      </c>
      <c r="U309" s="129">
        <v>0</v>
      </c>
      <c r="V309" s="129">
        <v>0</v>
      </c>
      <c r="W309" s="129">
        <v>0</v>
      </c>
      <c r="X309" s="129">
        <v>0</v>
      </c>
      <c r="Y309" s="129">
        <v>0</v>
      </c>
      <c r="Z309" s="129">
        <v>0</v>
      </c>
      <c r="AA309" s="129">
        <v>0</v>
      </c>
      <c r="AB309" s="129">
        <v>0</v>
      </c>
      <c r="AC309" s="129">
        <v>0</v>
      </c>
      <c r="AD309" s="129">
        <v>0</v>
      </c>
      <c r="AE309" s="129">
        <v>0</v>
      </c>
      <c r="AF309" s="129">
        <v>0</v>
      </c>
      <c r="AG309" s="129">
        <v>0</v>
      </c>
      <c r="AH309" s="129">
        <v>0</v>
      </c>
      <c r="AI309" s="129">
        <v>0</v>
      </c>
      <c r="AJ309" s="129">
        <v>0</v>
      </c>
      <c r="AK309" s="129">
        <v>0</v>
      </c>
      <c r="AL309" s="129">
        <v>0</v>
      </c>
      <c r="AM309" s="662" t="s">
        <v>498</v>
      </c>
      <c r="AN309" s="673" t="s">
        <v>486</v>
      </c>
      <c r="AO309" s="674" t="s">
        <v>494</v>
      </c>
      <c r="AP309" s="529" t="s">
        <v>1514</v>
      </c>
    </row>
    <row r="310" spans="1:42" ht="12.75" x14ac:dyDescent="0.2">
      <c r="A310" s="664">
        <v>303</v>
      </c>
      <c r="B310" s="665" t="s">
        <v>467</v>
      </c>
      <c r="C310" s="666" t="s">
        <v>1217</v>
      </c>
      <c r="D310" s="667" t="s">
        <v>1228</v>
      </c>
      <c r="E310" s="668" t="s">
        <v>466</v>
      </c>
      <c r="F310" s="129">
        <v>77630747</v>
      </c>
      <c r="G310" s="129">
        <v>796404</v>
      </c>
      <c r="H310" s="129">
        <v>78427151</v>
      </c>
      <c r="I310" s="129">
        <v>-5900000</v>
      </c>
      <c r="J310" s="129">
        <v>0</v>
      </c>
      <c r="K310" s="129">
        <v>-5900000</v>
      </c>
      <c r="L310" s="129">
        <v>-2752000</v>
      </c>
      <c r="M310" s="129">
        <v>0</v>
      </c>
      <c r="N310" s="129">
        <v>-2752000</v>
      </c>
      <c r="O310" s="129">
        <v>68978747</v>
      </c>
      <c r="P310" s="129">
        <v>796404</v>
      </c>
      <c r="Q310" s="129">
        <v>69775151</v>
      </c>
      <c r="R310" s="129">
        <v>5115</v>
      </c>
      <c r="S310" s="129">
        <v>0</v>
      </c>
      <c r="T310" s="129">
        <v>5115</v>
      </c>
      <c r="U310" s="129">
        <v>0</v>
      </c>
      <c r="V310" s="129">
        <v>0</v>
      </c>
      <c r="W310" s="129">
        <v>0</v>
      </c>
      <c r="X310" s="129">
        <v>0</v>
      </c>
      <c r="Y310" s="129">
        <v>104664</v>
      </c>
      <c r="Z310" s="129">
        <v>691740</v>
      </c>
      <c r="AA310" s="129">
        <v>691740</v>
      </c>
      <c r="AB310" s="129">
        <v>0</v>
      </c>
      <c r="AC310" s="129">
        <v>0</v>
      </c>
      <c r="AD310" s="129">
        <v>0</v>
      </c>
      <c r="AE310" s="129">
        <v>0</v>
      </c>
      <c r="AF310" s="129">
        <v>0</v>
      </c>
      <c r="AG310" s="129">
        <v>0</v>
      </c>
      <c r="AH310" s="129">
        <v>0</v>
      </c>
      <c r="AI310" s="129">
        <v>0</v>
      </c>
      <c r="AJ310" s="129">
        <v>0</v>
      </c>
      <c r="AK310" s="129">
        <v>0</v>
      </c>
      <c r="AL310" s="129">
        <v>0</v>
      </c>
      <c r="AM310" s="662" t="s">
        <v>466</v>
      </c>
      <c r="AN310" s="673" t="s">
        <v>570</v>
      </c>
      <c r="AO310" s="674" t="s">
        <v>574</v>
      </c>
      <c r="AP310" s="529" t="s">
        <v>1515</v>
      </c>
    </row>
    <row r="311" spans="1:42" ht="12.75" x14ac:dyDescent="0.2">
      <c r="A311" s="664">
        <v>304</v>
      </c>
      <c r="B311" s="665" t="s">
        <v>469</v>
      </c>
      <c r="C311" s="666" t="s">
        <v>1201</v>
      </c>
      <c r="D311" s="667" t="s">
        <v>1228</v>
      </c>
      <c r="E311" s="668" t="s">
        <v>468</v>
      </c>
      <c r="F311" s="129">
        <v>43387941</v>
      </c>
      <c r="G311" s="129">
        <v>0</v>
      </c>
      <c r="H311" s="129">
        <v>43387941</v>
      </c>
      <c r="I311" s="129">
        <v>-433879</v>
      </c>
      <c r="J311" s="129">
        <v>0</v>
      </c>
      <c r="K311" s="129">
        <v>-433879</v>
      </c>
      <c r="L311" s="129">
        <v>0</v>
      </c>
      <c r="M311" s="129">
        <v>0</v>
      </c>
      <c r="N311" s="129">
        <v>0</v>
      </c>
      <c r="O311" s="129">
        <v>42954062</v>
      </c>
      <c r="P311" s="129">
        <v>0</v>
      </c>
      <c r="Q311" s="129">
        <v>42954062</v>
      </c>
      <c r="R311" s="129">
        <v>4506</v>
      </c>
      <c r="S311" s="129">
        <v>0</v>
      </c>
      <c r="T311" s="129">
        <v>4506</v>
      </c>
      <c r="U311" s="129">
        <v>0</v>
      </c>
      <c r="V311" s="129">
        <v>0</v>
      </c>
      <c r="W311" s="129">
        <v>0</v>
      </c>
      <c r="X311" s="129">
        <v>0</v>
      </c>
      <c r="Y311" s="129">
        <v>0</v>
      </c>
      <c r="Z311" s="129">
        <v>0</v>
      </c>
      <c r="AA311" s="129">
        <v>0</v>
      </c>
      <c r="AB311" s="129">
        <v>0</v>
      </c>
      <c r="AC311" s="129">
        <v>0</v>
      </c>
      <c r="AD311" s="129">
        <v>0</v>
      </c>
      <c r="AE311" s="129">
        <v>0</v>
      </c>
      <c r="AF311" s="129">
        <v>0</v>
      </c>
      <c r="AG311" s="129">
        <v>0</v>
      </c>
      <c r="AH311" s="129">
        <v>0</v>
      </c>
      <c r="AI311" s="129">
        <v>0</v>
      </c>
      <c r="AJ311" s="129">
        <v>0</v>
      </c>
      <c r="AK311" s="129">
        <v>0</v>
      </c>
      <c r="AL311" s="129">
        <v>0</v>
      </c>
      <c r="AM311" s="662" t="s">
        <v>468</v>
      </c>
      <c r="AN311" s="673" t="s">
        <v>535</v>
      </c>
      <c r="AO311" s="674" t="s">
        <v>534</v>
      </c>
      <c r="AP311" s="529" t="s">
        <v>1516</v>
      </c>
    </row>
    <row r="312" spans="1:42" ht="12.75" x14ac:dyDescent="0.2">
      <c r="A312" s="664">
        <v>305</v>
      </c>
      <c r="B312" s="675" t="s">
        <v>471</v>
      </c>
      <c r="C312" s="666" t="s">
        <v>1201</v>
      </c>
      <c r="D312" s="667" t="s">
        <v>1202</v>
      </c>
      <c r="E312" s="668" t="s">
        <v>470</v>
      </c>
      <c r="F312" s="129">
        <v>33023104</v>
      </c>
      <c r="G312" s="129">
        <v>0</v>
      </c>
      <c r="H312" s="129">
        <v>33023104</v>
      </c>
      <c r="I312" s="129">
        <v>-100000</v>
      </c>
      <c r="J312" s="129">
        <v>0</v>
      </c>
      <c r="K312" s="129">
        <v>-100000</v>
      </c>
      <c r="L312" s="129">
        <v>-500000</v>
      </c>
      <c r="M312" s="129">
        <v>0</v>
      </c>
      <c r="N312" s="129">
        <v>-500000</v>
      </c>
      <c r="O312" s="129">
        <v>32423104</v>
      </c>
      <c r="P312" s="129">
        <v>0</v>
      </c>
      <c r="Q312" s="129">
        <v>32423104</v>
      </c>
      <c r="R312" s="129">
        <v>0</v>
      </c>
      <c r="S312" s="129">
        <v>0</v>
      </c>
      <c r="T312" s="129">
        <v>0</v>
      </c>
      <c r="U312" s="129">
        <v>0</v>
      </c>
      <c r="V312" s="129">
        <v>0</v>
      </c>
      <c r="W312" s="129">
        <v>0</v>
      </c>
      <c r="X312" s="129">
        <v>0</v>
      </c>
      <c r="Y312" s="129">
        <v>0</v>
      </c>
      <c r="Z312" s="129">
        <v>0</v>
      </c>
      <c r="AA312" s="129">
        <v>0</v>
      </c>
      <c r="AB312" s="129">
        <v>0</v>
      </c>
      <c r="AC312" s="129">
        <v>0</v>
      </c>
      <c r="AD312" s="129">
        <v>0</v>
      </c>
      <c r="AE312" s="129">
        <v>0</v>
      </c>
      <c r="AF312" s="129">
        <v>0</v>
      </c>
      <c r="AG312" s="129">
        <v>0</v>
      </c>
      <c r="AH312" s="129">
        <v>0</v>
      </c>
      <c r="AI312" s="129">
        <v>0</v>
      </c>
      <c r="AJ312" s="129">
        <v>0</v>
      </c>
      <c r="AK312" s="129">
        <v>0</v>
      </c>
      <c r="AL312" s="129">
        <v>0</v>
      </c>
      <c r="AM312" s="662" t="s">
        <v>470</v>
      </c>
      <c r="AN312" s="673" t="s">
        <v>568</v>
      </c>
      <c r="AO312" s="674" t="s">
        <v>512</v>
      </c>
      <c r="AP312" s="529" t="s">
        <v>1517</v>
      </c>
    </row>
    <row r="313" spans="1:42" ht="12.75" x14ac:dyDescent="0.2">
      <c r="A313" s="664">
        <v>306</v>
      </c>
      <c r="B313" s="665" t="s">
        <v>473</v>
      </c>
      <c r="C313" s="666" t="s">
        <v>1201</v>
      </c>
      <c r="D313" s="667" t="s">
        <v>1228</v>
      </c>
      <c r="E313" s="668" t="s">
        <v>472</v>
      </c>
      <c r="F313" s="129">
        <v>46830340</v>
      </c>
      <c r="G313" s="129">
        <v>0</v>
      </c>
      <c r="H313" s="129">
        <v>46830340</v>
      </c>
      <c r="I313" s="129">
        <v>-468303</v>
      </c>
      <c r="J313" s="129">
        <v>0</v>
      </c>
      <c r="K313" s="129">
        <v>-468303</v>
      </c>
      <c r="L313" s="129">
        <v>-1404910</v>
      </c>
      <c r="M313" s="129">
        <v>0</v>
      </c>
      <c r="N313" s="129">
        <v>-1404910</v>
      </c>
      <c r="O313" s="129">
        <v>44957127</v>
      </c>
      <c r="P313" s="129">
        <v>0</v>
      </c>
      <c r="Q313" s="129">
        <v>44957127</v>
      </c>
      <c r="R313" s="129">
        <v>374358</v>
      </c>
      <c r="S313" s="129">
        <v>0</v>
      </c>
      <c r="T313" s="129">
        <v>374358</v>
      </c>
      <c r="U313" s="129">
        <v>0</v>
      </c>
      <c r="V313" s="129">
        <v>0</v>
      </c>
      <c r="W313" s="129">
        <v>0</v>
      </c>
      <c r="X313" s="129">
        <v>0</v>
      </c>
      <c r="Y313" s="129">
        <v>0</v>
      </c>
      <c r="Z313" s="129">
        <v>0</v>
      </c>
      <c r="AA313" s="129">
        <v>0</v>
      </c>
      <c r="AB313" s="129">
        <v>0</v>
      </c>
      <c r="AC313" s="129">
        <v>0</v>
      </c>
      <c r="AD313" s="129">
        <v>0</v>
      </c>
      <c r="AE313" s="129">
        <v>0</v>
      </c>
      <c r="AF313" s="129">
        <v>0</v>
      </c>
      <c r="AG313" s="129">
        <v>0</v>
      </c>
      <c r="AH313" s="129">
        <v>0</v>
      </c>
      <c r="AI313" s="129">
        <v>0</v>
      </c>
      <c r="AJ313" s="129">
        <v>0</v>
      </c>
      <c r="AK313" s="129">
        <v>0</v>
      </c>
      <c r="AL313" s="129">
        <v>0</v>
      </c>
      <c r="AM313" s="662" t="s">
        <v>472</v>
      </c>
      <c r="AN313" s="673" t="s">
        <v>535</v>
      </c>
      <c r="AO313" s="674" t="s">
        <v>534</v>
      </c>
      <c r="AP313" s="529" t="s">
        <v>1518</v>
      </c>
    </row>
    <row r="314" spans="1:42" ht="12.75" x14ac:dyDescent="0.2">
      <c r="A314" s="664">
        <v>307</v>
      </c>
      <c r="B314" s="665" t="s">
        <v>475</v>
      </c>
      <c r="C314" s="666" t="s">
        <v>1201</v>
      </c>
      <c r="D314" s="667" t="s">
        <v>1204</v>
      </c>
      <c r="E314" s="668" t="s">
        <v>474</v>
      </c>
      <c r="F314" s="129">
        <v>25167598</v>
      </c>
      <c r="G314" s="129">
        <v>2802684</v>
      </c>
      <c r="H314" s="129">
        <v>27970282</v>
      </c>
      <c r="I314" s="129">
        <v>-213000</v>
      </c>
      <c r="J314" s="129">
        <v>-7000</v>
      </c>
      <c r="K314" s="129">
        <v>-220000</v>
      </c>
      <c r="L314" s="129">
        <v>-1182877</v>
      </c>
      <c r="M314" s="129">
        <v>-131726</v>
      </c>
      <c r="N314" s="129">
        <v>-1314603</v>
      </c>
      <c r="O314" s="129">
        <v>23771721</v>
      </c>
      <c r="P314" s="129">
        <v>2663958</v>
      </c>
      <c r="Q314" s="129">
        <v>26435679</v>
      </c>
      <c r="R314" s="129">
        <v>0</v>
      </c>
      <c r="S314" s="129">
        <v>0</v>
      </c>
      <c r="T314" s="129">
        <v>0</v>
      </c>
      <c r="U314" s="129">
        <v>0</v>
      </c>
      <c r="V314" s="129">
        <v>0</v>
      </c>
      <c r="W314" s="129">
        <v>0</v>
      </c>
      <c r="X314" s="129">
        <v>186</v>
      </c>
      <c r="Y314" s="129">
        <v>2583352</v>
      </c>
      <c r="Z314" s="129">
        <v>80792</v>
      </c>
      <c r="AA314" s="129">
        <v>80792</v>
      </c>
      <c r="AB314" s="129">
        <v>0</v>
      </c>
      <c r="AC314" s="129">
        <v>0</v>
      </c>
      <c r="AD314" s="129">
        <v>0</v>
      </c>
      <c r="AE314" s="129">
        <v>0</v>
      </c>
      <c r="AF314" s="129">
        <v>0</v>
      </c>
      <c r="AG314" s="129">
        <v>0</v>
      </c>
      <c r="AH314" s="129">
        <v>0</v>
      </c>
      <c r="AI314" s="129">
        <v>0</v>
      </c>
      <c r="AJ314" s="129">
        <v>0</v>
      </c>
      <c r="AK314" s="129">
        <v>0</v>
      </c>
      <c r="AL314" s="129">
        <v>0</v>
      </c>
      <c r="AM314" s="662" t="s">
        <v>474</v>
      </c>
      <c r="AN314" s="673" t="s">
        <v>547</v>
      </c>
      <c r="AO314" s="674" t="s">
        <v>545</v>
      </c>
      <c r="AP314" s="529" t="s">
        <v>1519</v>
      </c>
    </row>
    <row r="315" spans="1:42" ht="12.75" x14ac:dyDescent="0.2">
      <c r="A315" s="664">
        <v>308</v>
      </c>
      <c r="B315" s="665" t="s">
        <v>477</v>
      </c>
      <c r="C315" s="666" t="s">
        <v>1201</v>
      </c>
      <c r="D315" s="667" t="s">
        <v>1228</v>
      </c>
      <c r="E315" s="668" t="s">
        <v>476</v>
      </c>
      <c r="F315" s="129">
        <v>29416362</v>
      </c>
      <c r="G315" s="129">
        <v>0</v>
      </c>
      <c r="H315" s="129">
        <v>29416362</v>
      </c>
      <c r="I315" s="129">
        <v>-295000</v>
      </c>
      <c r="J315" s="129">
        <v>0</v>
      </c>
      <c r="K315" s="129">
        <v>-295000</v>
      </c>
      <c r="L315" s="129">
        <v>-500000</v>
      </c>
      <c r="M315" s="129">
        <v>0</v>
      </c>
      <c r="N315" s="129">
        <v>-500000</v>
      </c>
      <c r="O315" s="129">
        <v>28621362</v>
      </c>
      <c r="P315" s="129">
        <v>0</v>
      </c>
      <c r="Q315" s="129">
        <v>28621362</v>
      </c>
      <c r="R315" s="129">
        <v>5240</v>
      </c>
      <c r="S315" s="129">
        <v>0</v>
      </c>
      <c r="T315" s="129">
        <v>5240</v>
      </c>
      <c r="U315" s="129">
        <v>0</v>
      </c>
      <c r="V315" s="129">
        <v>0</v>
      </c>
      <c r="W315" s="129">
        <v>0</v>
      </c>
      <c r="X315" s="129">
        <v>0</v>
      </c>
      <c r="Y315" s="129">
        <v>0</v>
      </c>
      <c r="Z315" s="129">
        <v>0</v>
      </c>
      <c r="AA315" s="129">
        <v>0</v>
      </c>
      <c r="AB315" s="129">
        <v>0</v>
      </c>
      <c r="AC315" s="129">
        <v>0</v>
      </c>
      <c r="AD315" s="129">
        <v>0</v>
      </c>
      <c r="AE315" s="129">
        <v>0</v>
      </c>
      <c r="AF315" s="129">
        <v>0</v>
      </c>
      <c r="AG315" s="129">
        <v>0</v>
      </c>
      <c r="AH315" s="129">
        <v>0</v>
      </c>
      <c r="AI315" s="129">
        <v>0</v>
      </c>
      <c r="AJ315" s="129">
        <v>0</v>
      </c>
      <c r="AK315" s="129">
        <v>0</v>
      </c>
      <c r="AL315" s="129">
        <v>0</v>
      </c>
      <c r="AM315" s="662" t="s">
        <v>476</v>
      </c>
      <c r="AN315" s="673" t="s">
        <v>535</v>
      </c>
      <c r="AO315" s="674" t="s">
        <v>534</v>
      </c>
      <c r="AP315" s="529" t="s">
        <v>1520</v>
      </c>
    </row>
    <row r="316" spans="1:42" ht="13.5" thickBot="1" x14ac:dyDescent="0.25">
      <c r="A316" s="664">
        <v>309</v>
      </c>
      <c r="B316" s="665" t="s">
        <v>479</v>
      </c>
      <c r="C316" s="666" t="s">
        <v>486</v>
      </c>
      <c r="D316" s="667" t="s">
        <v>1218</v>
      </c>
      <c r="E316" s="668" t="s">
        <v>554</v>
      </c>
      <c r="F316" s="129">
        <v>107078533</v>
      </c>
      <c r="G316" s="129">
        <v>984778</v>
      </c>
      <c r="H316" s="129">
        <v>108063311</v>
      </c>
      <c r="I316" s="129">
        <v>-495000</v>
      </c>
      <c r="J316" s="129">
        <v>-5000</v>
      </c>
      <c r="K316" s="129">
        <v>-500000</v>
      </c>
      <c r="L316" s="129">
        <v>-1000000</v>
      </c>
      <c r="M316" s="129">
        <v>0</v>
      </c>
      <c r="N316" s="129">
        <v>-1000000</v>
      </c>
      <c r="O316" s="129">
        <v>105583533</v>
      </c>
      <c r="P316" s="129">
        <v>979778</v>
      </c>
      <c r="Q316" s="129">
        <v>106563311</v>
      </c>
      <c r="R316" s="129">
        <v>0</v>
      </c>
      <c r="S316" s="129">
        <v>0</v>
      </c>
      <c r="T316" s="129">
        <v>0</v>
      </c>
      <c r="U316" s="129">
        <v>0</v>
      </c>
      <c r="V316" s="129">
        <v>0</v>
      </c>
      <c r="W316" s="129">
        <v>0</v>
      </c>
      <c r="X316" s="129">
        <v>40147</v>
      </c>
      <c r="Y316" s="129">
        <v>798671</v>
      </c>
      <c r="Z316" s="129">
        <v>221254</v>
      </c>
      <c r="AA316" s="129">
        <v>221254</v>
      </c>
      <c r="AB316" s="129">
        <v>0</v>
      </c>
      <c r="AC316" s="129">
        <v>0</v>
      </c>
      <c r="AD316" s="129">
        <v>0</v>
      </c>
      <c r="AE316" s="129">
        <v>0</v>
      </c>
      <c r="AF316" s="129">
        <v>0</v>
      </c>
      <c r="AG316" s="129">
        <v>0</v>
      </c>
      <c r="AH316" s="129">
        <v>0</v>
      </c>
      <c r="AI316" s="129">
        <v>0</v>
      </c>
      <c r="AJ316" s="129">
        <v>0</v>
      </c>
      <c r="AK316" s="129">
        <v>0</v>
      </c>
      <c r="AL316" s="129">
        <v>0</v>
      </c>
      <c r="AM316" s="662" t="s">
        <v>554</v>
      </c>
      <c r="AN316" s="673" t="s">
        <v>486</v>
      </c>
      <c r="AO316" s="674" t="s">
        <v>555</v>
      </c>
      <c r="AP316" s="529" t="s">
        <v>1521</v>
      </c>
    </row>
    <row r="317" spans="1:42" ht="13.5" thickBot="1" x14ac:dyDescent="0.25">
      <c r="A317" s="677">
        <v>310</v>
      </c>
      <c r="B317" s="676" t="s">
        <v>480</v>
      </c>
      <c r="C317" s="677"/>
      <c r="D317" s="678" t="s">
        <v>1211</v>
      </c>
      <c r="E317" s="679" t="s">
        <v>1524</v>
      </c>
      <c r="F317" s="794">
        <f>SUM(F8:F316)</f>
        <v>26966207255</v>
      </c>
      <c r="G317" s="794">
        <f t="shared" ref="G317:AL317" si="0">SUM(G8:G316)</f>
        <v>313587271</v>
      </c>
      <c r="H317" s="794">
        <f t="shared" si="0"/>
        <v>27279794526</v>
      </c>
      <c r="I317" s="794">
        <f t="shared" si="0"/>
        <v>-644082570</v>
      </c>
      <c r="J317" s="794">
        <f t="shared" si="0"/>
        <v>-8733757</v>
      </c>
      <c r="K317" s="794">
        <f t="shared" si="0"/>
        <v>-652816327</v>
      </c>
      <c r="L317" s="794">
        <f t="shared" si="0"/>
        <v>-1152905142</v>
      </c>
      <c r="M317" s="794">
        <f t="shared" si="0"/>
        <v>-9257140</v>
      </c>
      <c r="N317" s="794">
        <f t="shared" si="0"/>
        <v>-1162162282</v>
      </c>
      <c r="O317" s="794">
        <f t="shared" si="0"/>
        <v>25169219543</v>
      </c>
      <c r="P317" s="794">
        <f t="shared" si="0"/>
        <v>295596374</v>
      </c>
      <c r="Q317" s="794">
        <f t="shared" si="0"/>
        <v>25464815917</v>
      </c>
      <c r="R317" s="794">
        <f t="shared" si="0"/>
        <v>85800754</v>
      </c>
      <c r="S317" s="794">
        <f t="shared" si="0"/>
        <v>1042286</v>
      </c>
      <c r="T317" s="794">
        <f t="shared" si="0"/>
        <v>86843040</v>
      </c>
      <c r="U317" s="794">
        <f t="shared" si="0"/>
        <v>26368</v>
      </c>
      <c r="V317" s="794">
        <f t="shared" si="0"/>
        <v>0</v>
      </c>
      <c r="W317" s="794">
        <f t="shared" si="0"/>
        <v>26368</v>
      </c>
      <c r="X317" s="794">
        <f t="shared" si="0"/>
        <v>-1643410</v>
      </c>
      <c r="Y317" s="794">
        <f t="shared" si="0"/>
        <v>224425779</v>
      </c>
      <c r="Z317" s="794">
        <f t="shared" si="0"/>
        <v>100108675</v>
      </c>
      <c r="AA317" s="794">
        <f t="shared" si="0"/>
        <v>100108675</v>
      </c>
      <c r="AB317" s="794">
        <f t="shared" si="0"/>
        <v>202940</v>
      </c>
      <c r="AC317" s="794">
        <f t="shared" si="0"/>
        <v>3704846</v>
      </c>
      <c r="AD317" s="794">
        <f t="shared" si="0"/>
        <v>3907786</v>
      </c>
      <c r="AE317" s="794">
        <f t="shared" si="0"/>
        <v>797167</v>
      </c>
      <c r="AF317" s="794">
        <f t="shared" si="0"/>
        <v>9215955</v>
      </c>
      <c r="AG317" s="794">
        <f t="shared" si="0"/>
        <v>10013122</v>
      </c>
      <c r="AH317" s="794">
        <f t="shared" si="0"/>
        <v>1290240</v>
      </c>
      <c r="AI317" s="794">
        <f t="shared" si="0"/>
        <v>658022</v>
      </c>
      <c r="AJ317" s="794">
        <f t="shared" si="0"/>
        <v>1455189</v>
      </c>
      <c r="AK317" s="794">
        <f t="shared" si="0"/>
        <v>9215955</v>
      </c>
      <c r="AL317" s="794">
        <f t="shared" si="0"/>
        <v>10671144</v>
      </c>
      <c r="AM317" s="681" t="s">
        <v>1522</v>
      </c>
      <c r="AN317" s="682" t="s">
        <v>1523</v>
      </c>
      <c r="AO317" s="683" t="s">
        <v>484</v>
      </c>
    </row>
    <row r="318" spans="1:42" x14ac:dyDescent="0.2">
      <c r="D318" s="684"/>
      <c r="E318" s="685"/>
    </row>
    <row r="319" spans="1:42" x14ac:dyDescent="0.2">
      <c r="A319" s="686"/>
      <c r="D319" s="685" t="s">
        <v>1870</v>
      </c>
      <c r="E319" s="685"/>
    </row>
  </sheetData>
  <autoFilter ref="A7:AP7" xr:uid="{12A3C081-9EF4-470E-995E-A598C5075E7F}"/>
  <mergeCells count="21">
    <mergeCell ref="O1:Q1"/>
    <mergeCell ref="R1:T1"/>
    <mergeCell ref="F1:H1"/>
    <mergeCell ref="I1:K1"/>
    <mergeCell ref="L1:N1"/>
    <mergeCell ref="Z1:AA1"/>
    <mergeCell ref="AB1:AD1"/>
    <mergeCell ref="AE1:AG1"/>
    <mergeCell ref="AH1:AI1"/>
    <mergeCell ref="AJ1:AL1"/>
    <mergeCell ref="F2:H2"/>
    <mergeCell ref="I2:K2"/>
    <mergeCell ref="L2:N2"/>
    <mergeCell ref="AH2:AI2"/>
    <mergeCell ref="AJ2:AL2"/>
    <mergeCell ref="Z2:AA2"/>
    <mergeCell ref="AB2:AD2"/>
    <mergeCell ref="AE2:AG2"/>
    <mergeCell ref="O2:Q2"/>
    <mergeCell ref="R2:T2"/>
    <mergeCell ref="U2:W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6A94D-C615-4DAA-A7FB-DF73FEBA0866}">
  <sheetPr codeName="Sheet10"/>
  <dimension ref="A1:O238"/>
  <sheetViews>
    <sheetView workbookViewId="0">
      <pane xSplit="4" ySplit="3" topLeftCell="E4" activePane="bottomRight" state="frozen"/>
      <selection pane="topRight" activeCell="E1" sqref="E1"/>
      <selection pane="bottomLeft" activeCell="A4" sqref="A4"/>
      <selection pane="bottomRight"/>
    </sheetView>
  </sheetViews>
  <sheetFormatPr defaultRowHeight="12.75" x14ac:dyDescent="0.2"/>
  <cols>
    <col min="3" max="3" width="27.5703125" bestFit="1" customWidth="1"/>
    <col min="4" max="4" width="57.42578125" bestFit="1" customWidth="1"/>
    <col min="5" max="15" width="23.140625" customWidth="1"/>
  </cols>
  <sheetData>
    <row r="1" spans="1:15" x14ac:dyDescent="0.2">
      <c r="A1" s="739"/>
      <c r="B1" s="739"/>
      <c r="C1" s="739"/>
      <c r="D1" s="739"/>
      <c r="E1" s="739"/>
      <c r="F1" s="740"/>
      <c r="G1" s="741"/>
      <c r="H1" s="741"/>
      <c r="I1" s="741"/>
      <c r="J1" s="741"/>
      <c r="K1" s="741"/>
      <c r="L1" s="741"/>
      <c r="M1" s="741"/>
      <c r="N1" s="741"/>
      <c r="O1" s="741"/>
    </row>
    <row r="2" spans="1:15" x14ac:dyDescent="0.2">
      <c r="A2" s="739"/>
      <c r="B2" s="739"/>
      <c r="C2" s="741"/>
      <c r="D2" s="740">
        <v>4</v>
      </c>
      <c r="E2" s="740">
        <v>5</v>
      </c>
      <c r="F2" s="740">
        <v>6</v>
      </c>
      <c r="G2" s="740">
        <v>7</v>
      </c>
      <c r="H2" s="740">
        <v>8</v>
      </c>
      <c r="I2" s="740">
        <v>9</v>
      </c>
      <c r="J2" s="742">
        <v>10</v>
      </c>
      <c r="K2" s="740">
        <v>11</v>
      </c>
      <c r="L2" s="740">
        <v>12</v>
      </c>
      <c r="M2" s="740">
        <v>13</v>
      </c>
      <c r="N2" s="740">
        <v>14</v>
      </c>
      <c r="O2" s="740">
        <v>14</v>
      </c>
    </row>
    <row r="3" spans="1:15" ht="89.25" x14ac:dyDescent="0.2">
      <c r="A3" s="740" t="s">
        <v>804</v>
      </c>
      <c r="B3" s="740" t="s">
        <v>803</v>
      </c>
      <c r="C3" s="743" t="s">
        <v>625</v>
      </c>
      <c r="D3" s="743" t="s">
        <v>802</v>
      </c>
      <c r="E3" s="744" t="s">
        <v>806</v>
      </c>
      <c r="F3" s="744" t="s">
        <v>1593</v>
      </c>
      <c r="G3" s="744" t="s">
        <v>1594</v>
      </c>
      <c r="H3" s="744" t="s">
        <v>809</v>
      </c>
      <c r="I3" s="744" t="s">
        <v>810</v>
      </c>
      <c r="J3" s="744" t="s">
        <v>1595</v>
      </c>
      <c r="K3" s="744" t="s">
        <v>1001</v>
      </c>
      <c r="L3" s="744" t="s">
        <v>801</v>
      </c>
      <c r="M3" s="744" t="s">
        <v>811</v>
      </c>
      <c r="N3" s="744" t="s">
        <v>998</v>
      </c>
      <c r="O3" s="744" t="s">
        <v>1000</v>
      </c>
    </row>
    <row r="4" spans="1:15" x14ac:dyDescent="0.2">
      <c r="A4" s="532" t="s">
        <v>640</v>
      </c>
      <c r="B4" s="532" t="s">
        <v>1736</v>
      </c>
      <c r="C4" s="530" t="s">
        <v>639</v>
      </c>
      <c r="D4" s="530" t="s">
        <v>933</v>
      </c>
      <c r="E4" s="796">
        <v>1233920</v>
      </c>
      <c r="F4" s="796">
        <v>0</v>
      </c>
      <c r="G4" s="796">
        <v>-18785</v>
      </c>
      <c r="H4" s="796">
        <v>1215135</v>
      </c>
      <c r="I4" s="796">
        <v>0</v>
      </c>
      <c r="J4" s="796">
        <v>0</v>
      </c>
      <c r="K4" s="796">
        <v>0</v>
      </c>
      <c r="L4" s="796">
        <v>0</v>
      </c>
      <c r="M4" s="796">
        <v>1215135</v>
      </c>
      <c r="N4" s="796">
        <v>0</v>
      </c>
      <c r="O4" s="796">
        <v>0</v>
      </c>
    </row>
    <row r="5" spans="1:15" x14ac:dyDescent="0.2">
      <c r="A5" s="532" t="s">
        <v>644</v>
      </c>
      <c r="B5" s="532" t="s">
        <v>1599</v>
      </c>
      <c r="C5" s="530" t="s">
        <v>643</v>
      </c>
      <c r="D5" s="531" t="s">
        <v>1011</v>
      </c>
      <c r="E5" s="796">
        <v>19336256</v>
      </c>
      <c r="F5" s="796">
        <v>-290044</v>
      </c>
      <c r="G5" s="796">
        <v>-908804</v>
      </c>
      <c r="H5" s="796">
        <v>18137408</v>
      </c>
      <c r="I5" s="796">
        <v>0</v>
      </c>
      <c r="J5" s="796">
        <v>0</v>
      </c>
      <c r="K5" s="796">
        <v>-956516</v>
      </c>
      <c r="L5" s="796">
        <v>21053943</v>
      </c>
      <c r="M5" s="796">
        <v>0</v>
      </c>
      <c r="N5" s="796">
        <v>0</v>
      </c>
      <c r="O5" s="796">
        <v>0</v>
      </c>
    </row>
    <row r="6" spans="1:15" x14ac:dyDescent="0.2">
      <c r="A6" s="532" t="s">
        <v>646</v>
      </c>
      <c r="B6" s="532" t="s">
        <v>1600</v>
      </c>
      <c r="C6" s="530" t="s">
        <v>645</v>
      </c>
      <c r="D6" s="530" t="s">
        <v>738</v>
      </c>
      <c r="E6" s="796">
        <v>765626</v>
      </c>
      <c r="F6" s="796">
        <v>0</v>
      </c>
      <c r="G6" s="796">
        <v>0</v>
      </c>
      <c r="H6" s="796">
        <v>765626</v>
      </c>
      <c r="I6" s="796">
        <v>0</v>
      </c>
      <c r="J6" s="796">
        <v>0</v>
      </c>
      <c r="K6" s="796">
        <v>0</v>
      </c>
      <c r="L6" s="796">
        <v>94500</v>
      </c>
      <c r="M6" s="796">
        <v>671126</v>
      </c>
      <c r="N6" s="796">
        <v>129306</v>
      </c>
      <c r="O6" s="796">
        <v>129306</v>
      </c>
    </row>
    <row r="7" spans="1:15" x14ac:dyDescent="0.2">
      <c r="A7" s="532" t="s">
        <v>652</v>
      </c>
      <c r="B7" s="532" t="s">
        <v>1601</v>
      </c>
      <c r="C7" s="530" t="s">
        <v>651</v>
      </c>
      <c r="D7" s="530" t="s">
        <v>831</v>
      </c>
      <c r="E7" s="796">
        <v>1330830</v>
      </c>
      <c r="F7" s="796">
        <v>-50000</v>
      </c>
      <c r="G7" s="796">
        <v>-50000</v>
      </c>
      <c r="H7" s="796">
        <v>1230830</v>
      </c>
      <c r="I7" s="796">
        <v>0</v>
      </c>
      <c r="J7" s="796">
        <v>0</v>
      </c>
      <c r="K7" s="796">
        <v>1096</v>
      </c>
      <c r="L7" s="796">
        <v>2282546</v>
      </c>
      <c r="M7" s="796">
        <v>0</v>
      </c>
      <c r="N7" s="796">
        <v>436769</v>
      </c>
      <c r="O7" s="796">
        <v>436769</v>
      </c>
    </row>
    <row r="8" spans="1:15" x14ac:dyDescent="0.2">
      <c r="A8" s="532" t="s">
        <v>656</v>
      </c>
      <c r="B8" s="532" t="s">
        <v>1602</v>
      </c>
      <c r="C8" s="530" t="s">
        <v>655</v>
      </c>
      <c r="D8" s="530" t="s">
        <v>739</v>
      </c>
      <c r="E8" s="796">
        <v>5921209</v>
      </c>
      <c r="F8" s="796">
        <v>-123030</v>
      </c>
      <c r="G8" s="796">
        <v>-260918</v>
      </c>
      <c r="H8" s="796">
        <v>5537261</v>
      </c>
      <c r="I8" s="796">
        <v>0</v>
      </c>
      <c r="J8" s="796">
        <v>0</v>
      </c>
      <c r="K8" s="796">
        <v>16230</v>
      </c>
      <c r="L8" s="796">
        <v>5555713</v>
      </c>
      <c r="M8" s="796">
        <v>0</v>
      </c>
      <c r="N8" s="796">
        <v>37300</v>
      </c>
      <c r="O8" s="796">
        <v>37300</v>
      </c>
    </row>
    <row r="9" spans="1:15" x14ac:dyDescent="0.2">
      <c r="A9" s="532" t="s">
        <v>656</v>
      </c>
      <c r="B9" s="532" t="s">
        <v>1603</v>
      </c>
      <c r="C9" s="530" t="s">
        <v>655</v>
      </c>
      <c r="D9" s="530" t="s">
        <v>832</v>
      </c>
      <c r="E9" s="796">
        <v>0</v>
      </c>
      <c r="F9" s="796">
        <v>0</v>
      </c>
      <c r="G9" s="796">
        <v>0</v>
      </c>
      <c r="H9" s="796">
        <v>0</v>
      </c>
      <c r="I9" s="796">
        <v>0</v>
      </c>
      <c r="J9" s="796">
        <v>0</v>
      </c>
      <c r="K9" s="796">
        <v>0</v>
      </c>
      <c r="L9" s="796">
        <v>0</v>
      </c>
      <c r="M9" s="796">
        <v>0</v>
      </c>
      <c r="N9" s="796">
        <v>0</v>
      </c>
      <c r="O9" s="796">
        <v>0</v>
      </c>
    </row>
    <row r="10" spans="1:15" x14ac:dyDescent="0.2">
      <c r="A10" s="532" t="s">
        <v>656</v>
      </c>
      <c r="B10" s="532" t="s">
        <v>1604</v>
      </c>
      <c r="C10" s="530" t="s">
        <v>655</v>
      </c>
      <c r="D10" s="530" t="s">
        <v>833</v>
      </c>
      <c r="E10" s="796">
        <v>0</v>
      </c>
      <c r="F10" s="796">
        <v>0</v>
      </c>
      <c r="G10" s="796">
        <v>0</v>
      </c>
      <c r="H10" s="796">
        <v>0</v>
      </c>
      <c r="I10" s="796">
        <v>0</v>
      </c>
      <c r="J10" s="796">
        <v>0</v>
      </c>
      <c r="K10" s="796">
        <v>0</v>
      </c>
      <c r="L10" s="796">
        <v>16524</v>
      </c>
      <c r="M10" s="796">
        <v>0</v>
      </c>
      <c r="N10" s="796">
        <v>0</v>
      </c>
      <c r="O10" s="796">
        <v>0</v>
      </c>
    </row>
    <row r="11" spans="1:15" x14ac:dyDescent="0.2">
      <c r="A11" s="532" t="s">
        <v>656</v>
      </c>
      <c r="B11" s="532" t="s">
        <v>1605</v>
      </c>
      <c r="C11" s="530" t="s">
        <v>655</v>
      </c>
      <c r="D11" s="530" t="s">
        <v>834</v>
      </c>
      <c r="E11" s="796">
        <v>0</v>
      </c>
      <c r="F11" s="796">
        <v>0</v>
      </c>
      <c r="G11" s="796">
        <v>0</v>
      </c>
      <c r="H11" s="796">
        <v>0</v>
      </c>
      <c r="I11" s="796">
        <v>0</v>
      </c>
      <c r="J11" s="796">
        <v>0</v>
      </c>
      <c r="K11" s="796">
        <v>0</v>
      </c>
      <c r="L11" s="796">
        <v>0</v>
      </c>
      <c r="M11" s="796">
        <v>0</v>
      </c>
      <c r="N11" s="796">
        <v>0</v>
      </c>
      <c r="O11" s="796">
        <v>0</v>
      </c>
    </row>
    <row r="12" spans="1:15" x14ac:dyDescent="0.2">
      <c r="A12" s="532" t="s">
        <v>662</v>
      </c>
      <c r="B12" s="532" t="s">
        <v>1606</v>
      </c>
      <c r="C12" s="530" t="s">
        <v>661</v>
      </c>
      <c r="D12" s="530" t="s">
        <v>771</v>
      </c>
      <c r="E12" s="796">
        <v>13068464</v>
      </c>
      <c r="F12" s="796">
        <v>-369361</v>
      </c>
      <c r="G12" s="796">
        <v>-644275</v>
      </c>
      <c r="H12" s="796">
        <v>12054828</v>
      </c>
      <c r="I12" s="796">
        <v>0</v>
      </c>
      <c r="J12" s="796">
        <v>0</v>
      </c>
      <c r="K12" s="796">
        <v>0</v>
      </c>
      <c r="L12" s="796">
        <v>4376671</v>
      </c>
      <c r="M12" s="796">
        <v>7678157</v>
      </c>
      <c r="N12" s="796">
        <v>872371</v>
      </c>
      <c r="O12" s="796">
        <v>872371</v>
      </c>
    </row>
    <row r="13" spans="1:15" x14ac:dyDescent="0.2">
      <c r="A13" s="532" t="s">
        <v>662</v>
      </c>
      <c r="B13" s="532" t="s">
        <v>1607</v>
      </c>
      <c r="C13" s="530" t="s">
        <v>661</v>
      </c>
      <c r="D13" s="530" t="s">
        <v>835</v>
      </c>
      <c r="E13" s="796">
        <v>7697460</v>
      </c>
      <c r="F13" s="796">
        <v>0</v>
      </c>
      <c r="G13" s="796">
        <v>0</v>
      </c>
      <c r="H13" s="796">
        <v>7697460</v>
      </c>
      <c r="I13" s="796">
        <v>0</v>
      </c>
      <c r="J13" s="796">
        <v>0</v>
      </c>
      <c r="K13" s="796">
        <v>0</v>
      </c>
      <c r="L13" s="796">
        <v>7155241</v>
      </c>
      <c r="M13" s="796">
        <v>542219</v>
      </c>
      <c r="N13" s="796">
        <v>0</v>
      </c>
      <c r="O13" s="796">
        <v>0</v>
      </c>
    </row>
    <row r="14" spans="1:15" x14ac:dyDescent="0.2">
      <c r="A14" s="532" t="s">
        <v>667</v>
      </c>
      <c r="B14" s="532" t="s">
        <v>1608</v>
      </c>
      <c r="C14" s="530" t="s">
        <v>666</v>
      </c>
      <c r="D14" s="530" t="s">
        <v>836</v>
      </c>
      <c r="E14" s="796">
        <v>1644139</v>
      </c>
      <c r="F14" s="796">
        <v>-58000</v>
      </c>
      <c r="G14" s="796">
        <v>-65000</v>
      </c>
      <c r="H14" s="796">
        <v>1521139</v>
      </c>
      <c r="I14" s="796">
        <v>0</v>
      </c>
      <c r="J14" s="796">
        <v>0</v>
      </c>
      <c r="K14" s="796">
        <v>0</v>
      </c>
      <c r="L14" s="796">
        <v>1609437</v>
      </c>
      <c r="M14" s="796">
        <v>0</v>
      </c>
      <c r="N14" s="796">
        <v>307132</v>
      </c>
      <c r="O14" s="796">
        <v>307132</v>
      </c>
    </row>
    <row r="15" spans="1:15" x14ac:dyDescent="0.2">
      <c r="A15" s="532" t="s">
        <v>676</v>
      </c>
      <c r="B15" s="532" t="s">
        <v>1609</v>
      </c>
      <c r="C15" s="530" t="s">
        <v>675</v>
      </c>
      <c r="D15" s="530" t="s">
        <v>837</v>
      </c>
      <c r="E15" s="796">
        <v>0</v>
      </c>
      <c r="F15" s="796">
        <v>0</v>
      </c>
      <c r="G15" s="796">
        <v>0</v>
      </c>
      <c r="H15" s="796">
        <v>0</v>
      </c>
      <c r="I15" s="796">
        <v>0</v>
      </c>
      <c r="J15" s="796">
        <v>0</v>
      </c>
      <c r="K15" s="796">
        <v>0</v>
      </c>
      <c r="L15" s="796">
        <v>0</v>
      </c>
      <c r="M15" s="796">
        <v>0</v>
      </c>
      <c r="N15" s="796">
        <v>0</v>
      </c>
      <c r="O15" s="796">
        <v>0</v>
      </c>
    </row>
    <row r="16" spans="1:15" x14ac:dyDescent="0.2">
      <c r="A16" s="532" t="s">
        <v>676</v>
      </c>
      <c r="B16" s="532" t="s">
        <v>1610</v>
      </c>
      <c r="C16" s="530" t="s">
        <v>675</v>
      </c>
      <c r="D16" s="530" t="s">
        <v>838</v>
      </c>
      <c r="E16" s="796">
        <v>0</v>
      </c>
      <c r="F16" s="796">
        <v>0</v>
      </c>
      <c r="G16" s="796">
        <v>0</v>
      </c>
      <c r="H16" s="796">
        <v>0</v>
      </c>
      <c r="I16" s="796">
        <v>0</v>
      </c>
      <c r="J16" s="796">
        <v>0</v>
      </c>
      <c r="K16" s="796">
        <v>0</v>
      </c>
      <c r="L16" s="796">
        <v>0</v>
      </c>
      <c r="M16" s="796">
        <v>0</v>
      </c>
      <c r="N16" s="796">
        <v>0</v>
      </c>
      <c r="O16" s="796">
        <v>0</v>
      </c>
    </row>
    <row r="17" spans="1:15" x14ac:dyDescent="0.2">
      <c r="A17" s="532" t="s">
        <v>676</v>
      </c>
      <c r="B17" s="532" t="s">
        <v>1611</v>
      </c>
      <c r="C17" s="530" t="s">
        <v>675</v>
      </c>
      <c r="D17" s="530" t="s">
        <v>839</v>
      </c>
      <c r="E17" s="796">
        <v>0</v>
      </c>
      <c r="F17" s="796">
        <v>0</v>
      </c>
      <c r="G17" s="796">
        <v>0</v>
      </c>
      <c r="H17" s="796">
        <v>0</v>
      </c>
      <c r="I17" s="796">
        <v>0</v>
      </c>
      <c r="J17" s="796">
        <v>0</v>
      </c>
      <c r="K17" s="796">
        <v>0</v>
      </c>
      <c r="L17" s="796">
        <v>0</v>
      </c>
      <c r="M17" s="796">
        <v>0</v>
      </c>
      <c r="N17" s="796">
        <v>0</v>
      </c>
      <c r="O17" s="796">
        <v>0</v>
      </c>
    </row>
    <row r="18" spans="1:15" x14ac:dyDescent="0.2">
      <c r="A18" s="532" t="s">
        <v>687</v>
      </c>
      <c r="B18" s="532" t="s">
        <v>1612</v>
      </c>
      <c r="C18" s="530" t="s">
        <v>686</v>
      </c>
      <c r="D18" s="530" t="s">
        <v>740</v>
      </c>
      <c r="E18" s="796">
        <v>18340989</v>
      </c>
      <c r="F18" s="796">
        <v>-320968</v>
      </c>
      <c r="G18" s="796">
        <v>-862027</v>
      </c>
      <c r="H18" s="796">
        <v>17157994</v>
      </c>
      <c r="I18" s="796">
        <v>0</v>
      </c>
      <c r="J18" s="796">
        <v>0</v>
      </c>
      <c r="K18" s="796">
        <v>13591</v>
      </c>
      <c r="L18" s="796">
        <v>15095524</v>
      </c>
      <c r="M18" s="796">
        <v>2076061</v>
      </c>
      <c r="N18" s="796">
        <v>480600</v>
      </c>
      <c r="O18" s="796">
        <v>480600</v>
      </c>
    </row>
    <row r="19" spans="1:15" x14ac:dyDescent="0.2">
      <c r="A19" s="532" t="s">
        <v>687</v>
      </c>
      <c r="B19" s="532" t="s">
        <v>1613</v>
      </c>
      <c r="C19" s="530" t="s">
        <v>686</v>
      </c>
      <c r="D19" s="530" t="s">
        <v>739</v>
      </c>
      <c r="E19" s="796">
        <v>14137050</v>
      </c>
      <c r="F19" s="796">
        <v>-247398</v>
      </c>
      <c r="G19" s="796">
        <v>-664441</v>
      </c>
      <c r="H19" s="796">
        <v>13225211</v>
      </c>
      <c r="I19" s="796">
        <v>151920</v>
      </c>
      <c r="J19" s="796">
        <v>0</v>
      </c>
      <c r="K19" s="796">
        <v>-28997</v>
      </c>
      <c r="L19" s="796">
        <v>7415105</v>
      </c>
      <c r="M19" s="796">
        <v>5629189</v>
      </c>
      <c r="N19" s="796">
        <v>0</v>
      </c>
      <c r="O19" s="796">
        <v>0</v>
      </c>
    </row>
    <row r="20" spans="1:15" x14ac:dyDescent="0.2">
      <c r="A20" s="532" t="s">
        <v>687</v>
      </c>
      <c r="B20" s="532" t="s">
        <v>1614</v>
      </c>
      <c r="C20" s="530" t="s">
        <v>686</v>
      </c>
      <c r="D20" s="530" t="s">
        <v>840</v>
      </c>
      <c r="E20" s="796">
        <v>4848170</v>
      </c>
      <c r="F20" s="796">
        <v>-84843</v>
      </c>
      <c r="G20" s="796">
        <v>-227864</v>
      </c>
      <c r="H20" s="796">
        <v>4535463</v>
      </c>
      <c r="I20" s="796">
        <v>0</v>
      </c>
      <c r="J20" s="796">
        <v>0</v>
      </c>
      <c r="K20" s="796">
        <v>792</v>
      </c>
      <c r="L20" s="796">
        <v>4082788</v>
      </c>
      <c r="M20" s="796">
        <v>453467</v>
      </c>
      <c r="N20" s="796">
        <v>700000</v>
      </c>
      <c r="O20" s="796">
        <v>700000</v>
      </c>
    </row>
    <row r="21" spans="1:15" x14ac:dyDescent="0.2">
      <c r="A21" s="532" t="s">
        <v>697</v>
      </c>
      <c r="B21" s="532" t="s">
        <v>1615</v>
      </c>
      <c r="C21" s="530" t="s">
        <v>696</v>
      </c>
      <c r="D21" s="530" t="s">
        <v>741</v>
      </c>
      <c r="E21" s="796">
        <v>430007</v>
      </c>
      <c r="F21" s="796">
        <v>0</v>
      </c>
      <c r="G21" s="796">
        <v>0</v>
      </c>
      <c r="H21" s="796">
        <v>430007</v>
      </c>
      <c r="I21" s="796">
        <v>0</v>
      </c>
      <c r="J21" s="796">
        <v>0</v>
      </c>
      <c r="K21" s="796">
        <v>0</v>
      </c>
      <c r="L21" s="796">
        <v>1266763</v>
      </c>
      <c r="M21" s="796">
        <v>0</v>
      </c>
      <c r="N21" s="796">
        <v>110000</v>
      </c>
      <c r="O21" s="796">
        <v>110000</v>
      </c>
    </row>
    <row r="22" spans="1:15" x14ac:dyDescent="0.2">
      <c r="A22" s="532" t="s">
        <v>1048</v>
      </c>
      <c r="B22" s="532" t="s">
        <v>1596</v>
      </c>
      <c r="C22" s="531" t="s">
        <v>1047</v>
      </c>
      <c r="D22" s="530" t="s">
        <v>828</v>
      </c>
      <c r="E22" s="796">
        <v>1374898</v>
      </c>
      <c r="F22" s="796">
        <v>0</v>
      </c>
      <c r="G22" s="796">
        <v>0</v>
      </c>
      <c r="H22" s="796">
        <v>1374898</v>
      </c>
      <c r="I22" s="796">
        <v>0</v>
      </c>
      <c r="J22" s="796">
        <v>0</v>
      </c>
      <c r="K22" s="796">
        <v>0</v>
      </c>
      <c r="L22" s="796">
        <v>0</v>
      </c>
      <c r="M22" s="796">
        <v>1374898</v>
      </c>
      <c r="N22" s="796">
        <v>0</v>
      </c>
      <c r="O22" s="796">
        <v>0</v>
      </c>
    </row>
    <row r="23" spans="1:15" x14ac:dyDescent="0.2">
      <c r="A23" s="532" t="s">
        <v>1048</v>
      </c>
      <c r="B23" s="532" t="s">
        <v>1597</v>
      </c>
      <c r="C23" s="531" t="s">
        <v>1047</v>
      </c>
      <c r="D23" s="530" t="s">
        <v>829</v>
      </c>
      <c r="E23" s="796">
        <v>669440</v>
      </c>
      <c r="F23" s="796">
        <v>0</v>
      </c>
      <c r="G23" s="796">
        <v>0</v>
      </c>
      <c r="H23" s="796">
        <v>669440</v>
      </c>
      <c r="I23" s="796">
        <v>0</v>
      </c>
      <c r="J23" s="796">
        <v>0</v>
      </c>
      <c r="K23" s="796">
        <v>0</v>
      </c>
      <c r="L23" s="796">
        <v>0</v>
      </c>
      <c r="M23" s="796">
        <v>669440</v>
      </c>
      <c r="N23" s="796">
        <v>0</v>
      </c>
      <c r="O23" s="796">
        <v>0</v>
      </c>
    </row>
    <row r="24" spans="1:15" x14ac:dyDescent="0.2">
      <c r="A24" s="532" t="s">
        <v>1048</v>
      </c>
      <c r="B24" s="532" t="s">
        <v>1598</v>
      </c>
      <c r="C24" s="531" t="s">
        <v>1047</v>
      </c>
      <c r="D24" s="530" t="s">
        <v>830</v>
      </c>
      <c r="E24" s="796">
        <v>179599</v>
      </c>
      <c r="F24" s="796">
        <v>0</v>
      </c>
      <c r="G24" s="796">
        <v>0</v>
      </c>
      <c r="H24" s="796">
        <v>179599</v>
      </c>
      <c r="I24" s="796">
        <v>0</v>
      </c>
      <c r="J24" s="796">
        <v>0</v>
      </c>
      <c r="K24" s="796">
        <v>0</v>
      </c>
      <c r="L24" s="796">
        <v>26680</v>
      </c>
      <c r="M24" s="796">
        <v>152919</v>
      </c>
      <c r="N24" s="796">
        <v>0</v>
      </c>
      <c r="O24" s="796">
        <v>0</v>
      </c>
    </row>
    <row r="25" spans="1:15" x14ac:dyDescent="0.2">
      <c r="A25" s="532" t="s">
        <v>703</v>
      </c>
      <c r="B25" s="532" t="s">
        <v>1616</v>
      </c>
      <c r="C25" s="530" t="s">
        <v>702</v>
      </c>
      <c r="D25" s="530" t="s">
        <v>841</v>
      </c>
      <c r="E25" s="796">
        <v>0</v>
      </c>
      <c r="F25" s="796">
        <v>0</v>
      </c>
      <c r="G25" s="796">
        <v>0</v>
      </c>
      <c r="H25" s="796">
        <v>0</v>
      </c>
      <c r="I25" s="796">
        <v>0</v>
      </c>
      <c r="J25" s="796">
        <v>0</v>
      </c>
      <c r="K25" s="796">
        <v>0</v>
      </c>
      <c r="L25" s="796">
        <v>0</v>
      </c>
      <c r="M25" s="796">
        <v>0</v>
      </c>
      <c r="N25" s="796">
        <v>0</v>
      </c>
      <c r="O25" s="796">
        <v>0</v>
      </c>
    </row>
    <row r="26" spans="1:15" x14ac:dyDescent="0.2">
      <c r="A26" s="532" t="s">
        <v>713</v>
      </c>
      <c r="B26" s="532" t="s">
        <v>1617</v>
      </c>
      <c r="C26" s="530" t="s">
        <v>712</v>
      </c>
      <c r="D26" s="530" t="s">
        <v>842</v>
      </c>
      <c r="E26" s="796">
        <v>1724106</v>
      </c>
      <c r="F26" s="796">
        <v>-22968</v>
      </c>
      <c r="G26" s="796">
        <v>-14620</v>
      </c>
      <c r="H26" s="796">
        <v>1686518</v>
      </c>
      <c r="I26" s="796">
        <v>7497</v>
      </c>
      <c r="J26" s="796">
        <v>0</v>
      </c>
      <c r="K26" s="796">
        <v>228</v>
      </c>
      <c r="L26" s="796">
        <v>1743197</v>
      </c>
      <c r="M26" s="796">
        <v>0</v>
      </c>
      <c r="N26" s="796">
        <v>307797</v>
      </c>
      <c r="O26" s="796">
        <v>307797</v>
      </c>
    </row>
    <row r="27" spans="1:15" x14ac:dyDescent="0.2">
      <c r="A27" s="532" t="s">
        <v>719</v>
      </c>
      <c r="B27" s="532" t="s">
        <v>1618</v>
      </c>
      <c r="C27" s="530" t="s">
        <v>718</v>
      </c>
      <c r="D27" s="530" t="s">
        <v>843</v>
      </c>
      <c r="E27" s="796">
        <v>200000</v>
      </c>
      <c r="F27" s="796">
        <v>0</v>
      </c>
      <c r="G27" s="796">
        <v>0</v>
      </c>
      <c r="H27" s="796">
        <v>200000</v>
      </c>
      <c r="I27" s="796">
        <v>0</v>
      </c>
      <c r="J27" s="796">
        <v>0</v>
      </c>
      <c r="K27" s="796">
        <v>0</v>
      </c>
      <c r="L27" s="796">
        <v>0</v>
      </c>
      <c r="M27" s="796">
        <v>200000</v>
      </c>
      <c r="N27" s="796">
        <v>0</v>
      </c>
      <c r="O27" s="796">
        <v>0</v>
      </c>
    </row>
    <row r="28" spans="1:15" x14ac:dyDescent="0.2">
      <c r="A28" s="532" t="s">
        <v>719</v>
      </c>
      <c r="B28" s="532" t="s">
        <v>1619</v>
      </c>
      <c r="C28" s="530" t="s">
        <v>718</v>
      </c>
      <c r="D28" s="530" t="s">
        <v>844</v>
      </c>
      <c r="E28" s="796">
        <v>973080</v>
      </c>
      <c r="F28" s="796">
        <v>0</v>
      </c>
      <c r="G28" s="796">
        <v>-64519</v>
      </c>
      <c r="H28" s="796">
        <v>908561</v>
      </c>
      <c r="I28" s="796">
        <v>0</v>
      </c>
      <c r="J28" s="796">
        <v>0</v>
      </c>
      <c r="K28" s="796">
        <v>0</v>
      </c>
      <c r="L28" s="796">
        <v>127427</v>
      </c>
      <c r="M28" s="796">
        <v>781134</v>
      </c>
      <c r="N28" s="796">
        <v>55000</v>
      </c>
      <c r="O28" s="796">
        <v>55000</v>
      </c>
    </row>
    <row r="29" spans="1:15" x14ac:dyDescent="0.2">
      <c r="A29" s="532" t="s">
        <v>727</v>
      </c>
      <c r="B29" s="532" t="s">
        <v>1620</v>
      </c>
      <c r="C29" s="530" t="s">
        <v>726</v>
      </c>
      <c r="D29" s="530" t="s">
        <v>845</v>
      </c>
      <c r="E29" s="796">
        <v>3869822</v>
      </c>
      <c r="F29" s="796">
        <v>-25766</v>
      </c>
      <c r="G29" s="796">
        <v>0</v>
      </c>
      <c r="H29" s="796">
        <v>3844056</v>
      </c>
      <c r="I29" s="796">
        <v>0</v>
      </c>
      <c r="J29" s="796">
        <v>0</v>
      </c>
      <c r="K29" s="796">
        <v>5782</v>
      </c>
      <c r="L29" s="796">
        <v>2413001</v>
      </c>
      <c r="M29" s="796">
        <v>1436837</v>
      </c>
      <c r="N29" s="796">
        <v>431389</v>
      </c>
      <c r="O29" s="796">
        <v>431389</v>
      </c>
    </row>
    <row r="30" spans="1:15" x14ac:dyDescent="0.2">
      <c r="A30" s="532" t="s">
        <v>728</v>
      </c>
      <c r="B30" s="532" t="s">
        <v>1621</v>
      </c>
      <c r="C30" s="530" t="s">
        <v>507</v>
      </c>
      <c r="D30" s="530" t="s">
        <v>846</v>
      </c>
      <c r="E30" s="796">
        <v>168448</v>
      </c>
      <c r="F30" s="796">
        <v>0</v>
      </c>
      <c r="G30" s="796">
        <v>0</v>
      </c>
      <c r="H30" s="796">
        <v>168448</v>
      </c>
      <c r="I30" s="796">
        <v>0</v>
      </c>
      <c r="J30" s="796">
        <v>0</v>
      </c>
      <c r="K30" s="796">
        <v>0</v>
      </c>
      <c r="L30" s="796">
        <v>153684</v>
      </c>
      <c r="M30" s="796">
        <v>14764</v>
      </c>
      <c r="N30" s="796">
        <v>0</v>
      </c>
      <c r="O30" s="796">
        <v>0</v>
      </c>
    </row>
    <row r="31" spans="1:15" x14ac:dyDescent="0.2">
      <c r="A31" s="532" t="s">
        <v>728</v>
      </c>
      <c r="B31" s="532" t="s">
        <v>1622</v>
      </c>
      <c r="C31" s="530" t="s">
        <v>507</v>
      </c>
      <c r="D31" s="530" t="s">
        <v>847</v>
      </c>
      <c r="E31" s="796">
        <v>0</v>
      </c>
      <c r="F31" s="796">
        <v>0</v>
      </c>
      <c r="G31" s="796">
        <v>0</v>
      </c>
      <c r="H31" s="796">
        <v>0</v>
      </c>
      <c r="I31" s="796">
        <v>0</v>
      </c>
      <c r="J31" s="796">
        <v>0</v>
      </c>
      <c r="K31" s="796">
        <v>0</v>
      </c>
      <c r="L31" s="796">
        <v>0</v>
      </c>
      <c r="M31" s="796">
        <v>0</v>
      </c>
      <c r="N31" s="796">
        <v>75264</v>
      </c>
      <c r="O31" s="796">
        <v>75264</v>
      </c>
    </row>
    <row r="32" spans="1:15" x14ac:dyDescent="0.2">
      <c r="A32" s="532" t="s">
        <v>728</v>
      </c>
      <c r="B32" s="532" t="s">
        <v>1623</v>
      </c>
      <c r="C32" s="530" t="s">
        <v>507</v>
      </c>
      <c r="D32" s="530" t="s">
        <v>848</v>
      </c>
      <c r="E32" s="796">
        <v>0</v>
      </c>
      <c r="F32" s="796">
        <v>0</v>
      </c>
      <c r="G32" s="796">
        <v>0</v>
      </c>
      <c r="H32" s="796">
        <v>0</v>
      </c>
      <c r="I32" s="796">
        <v>0</v>
      </c>
      <c r="J32" s="796">
        <v>0</v>
      </c>
      <c r="K32" s="796">
        <v>0</v>
      </c>
      <c r="L32" s="796">
        <v>0</v>
      </c>
      <c r="M32" s="796">
        <v>0</v>
      </c>
      <c r="N32" s="796">
        <v>0</v>
      </c>
      <c r="O32" s="796">
        <v>0</v>
      </c>
    </row>
    <row r="33" spans="1:15" x14ac:dyDescent="0.2">
      <c r="A33" s="532" t="s">
        <v>728</v>
      </c>
      <c r="B33" s="532" t="s">
        <v>1624</v>
      </c>
      <c r="C33" s="530" t="s">
        <v>507</v>
      </c>
      <c r="D33" s="530" t="s">
        <v>849</v>
      </c>
      <c r="E33" s="796">
        <v>0</v>
      </c>
      <c r="F33" s="796">
        <v>0</v>
      </c>
      <c r="G33" s="796">
        <v>0</v>
      </c>
      <c r="H33" s="796">
        <v>0</v>
      </c>
      <c r="I33" s="796">
        <v>0</v>
      </c>
      <c r="J33" s="796">
        <v>0</v>
      </c>
      <c r="K33" s="796">
        <v>0</v>
      </c>
      <c r="L33" s="796">
        <v>0</v>
      </c>
      <c r="M33" s="796">
        <v>0</v>
      </c>
      <c r="N33" s="796">
        <v>0</v>
      </c>
      <c r="O33" s="796">
        <v>0</v>
      </c>
    </row>
    <row r="34" spans="1:15" x14ac:dyDescent="0.2">
      <c r="A34" s="532" t="s">
        <v>728</v>
      </c>
      <c r="B34" s="532" t="s">
        <v>1625</v>
      </c>
      <c r="C34" s="530" t="s">
        <v>507</v>
      </c>
      <c r="D34" s="530" t="s">
        <v>850</v>
      </c>
      <c r="E34" s="796">
        <v>0</v>
      </c>
      <c r="F34" s="796">
        <v>0</v>
      </c>
      <c r="G34" s="796">
        <v>0</v>
      </c>
      <c r="H34" s="796">
        <v>0</v>
      </c>
      <c r="I34" s="796">
        <v>0</v>
      </c>
      <c r="J34" s="796">
        <v>0</v>
      </c>
      <c r="K34" s="796">
        <v>0</v>
      </c>
      <c r="L34" s="796">
        <v>0</v>
      </c>
      <c r="M34" s="796">
        <v>0</v>
      </c>
      <c r="N34" s="796">
        <v>164784</v>
      </c>
      <c r="O34" s="796">
        <v>164784</v>
      </c>
    </row>
    <row r="35" spans="1:15" x14ac:dyDescent="0.2">
      <c r="A35" s="532" t="s">
        <v>728</v>
      </c>
      <c r="B35" s="532" t="s">
        <v>1626</v>
      </c>
      <c r="C35" s="530" t="s">
        <v>507</v>
      </c>
      <c r="D35" s="530" t="s">
        <v>851</v>
      </c>
      <c r="E35" s="796">
        <v>147200</v>
      </c>
      <c r="F35" s="796">
        <v>0</v>
      </c>
      <c r="G35" s="796">
        <v>0</v>
      </c>
      <c r="H35" s="796">
        <v>147200</v>
      </c>
      <c r="I35" s="796">
        <v>0</v>
      </c>
      <c r="J35" s="796">
        <v>0</v>
      </c>
      <c r="K35" s="796">
        <v>0</v>
      </c>
      <c r="L35" s="796">
        <v>0</v>
      </c>
      <c r="M35" s="796">
        <v>147200</v>
      </c>
      <c r="N35" s="796">
        <v>0</v>
      </c>
      <c r="O35" s="796">
        <v>0</v>
      </c>
    </row>
    <row r="36" spans="1:15" x14ac:dyDescent="0.2">
      <c r="A36" s="532" t="s">
        <v>728</v>
      </c>
      <c r="B36" s="532" t="s">
        <v>1627</v>
      </c>
      <c r="C36" s="530" t="s">
        <v>507</v>
      </c>
      <c r="D36" s="530" t="s">
        <v>852</v>
      </c>
      <c r="E36" s="796">
        <v>0</v>
      </c>
      <c r="F36" s="796">
        <v>0</v>
      </c>
      <c r="G36" s="796">
        <v>0</v>
      </c>
      <c r="H36" s="796">
        <v>0</v>
      </c>
      <c r="I36" s="796">
        <v>0</v>
      </c>
      <c r="J36" s="796">
        <v>0</v>
      </c>
      <c r="K36" s="796">
        <v>0</v>
      </c>
      <c r="L36" s="796">
        <v>0</v>
      </c>
      <c r="M36" s="796">
        <v>0</v>
      </c>
      <c r="N36" s="796">
        <v>0</v>
      </c>
      <c r="O36" s="796">
        <v>0</v>
      </c>
    </row>
    <row r="37" spans="1:15" x14ac:dyDescent="0.2">
      <c r="A37" s="532" t="s">
        <v>728</v>
      </c>
      <c r="B37" s="532" t="s">
        <v>1628</v>
      </c>
      <c r="C37" s="530" t="s">
        <v>507</v>
      </c>
      <c r="D37" s="530" t="s">
        <v>853</v>
      </c>
      <c r="E37" s="796">
        <v>82145</v>
      </c>
      <c r="F37" s="796">
        <v>0</v>
      </c>
      <c r="G37" s="796">
        <v>0</v>
      </c>
      <c r="H37" s="796">
        <v>82145</v>
      </c>
      <c r="I37" s="796">
        <v>0</v>
      </c>
      <c r="J37" s="796">
        <v>0</v>
      </c>
      <c r="K37" s="796">
        <v>0</v>
      </c>
      <c r="L37" s="796">
        <v>25593</v>
      </c>
      <c r="M37" s="796">
        <v>56552</v>
      </c>
      <c r="N37" s="796">
        <v>20000</v>
      </c>
      <c r="O37" s="796">
        <v>20000</v>
      </c>
    </row>
    <row r="38" spans="1:15" x14ac:dyDescent="0.2">
      <c r="A38" s="532" t="s">
        <v>728</v>
      </c>
      <c r="B38" s="532" t="s">
        <v>1629</v>
      </c>
      <c r="C38" s="530" t="s">
        <v>507</v>
      </c>
      <c r="D38" s="530" t="s">
        <v>854</v>
      </c>
      <c r="E38" s="796">
        <v>0</v>
      </c>
      <c r="F38" s="796">
        <v>0</v>
      </c>
      <c r="G38" s="796">
        <v>0</v>
      </c>
      <c r="H38" s="796">
        <v>0</v>
      </c>
      <c r="I38" s="796">
        <v>0</v>
      </c>
      <c r="J38" s="796">
        <v>0</v>
      </c>
      <c r="K38" s="796">
        <v>0</v>
      </c>
      <c r="L38" s="796">
        <v>0</v>
      </c>
      <c r="M38" s="796">
        <v>0</v>
      </c>
      <c r="N38" s="796">
        <v>0</v>
      </c>
      <c r="O38" s="796">
        <v>0</v>
      </c>
    </row>
    <row r="39" spans="1:15" x14ac:dyDescent="0.2">
      <c r="A39" s="532" t="s">
        <v>728</v>
      </c>
      <c r="B39" s="532" t="s">
        <v>1630</v>
      </c>
      <c r="C39" s="530" t="s">
        <v>507</v>
      </c>
      <c r="D39" s="530" t="s">
        <v>855</v>
      </c>
      <c r="E39" s="796">
        <v>0</v>
      </c>
      <c r="F39" s="796">
        <v>0</v>
      </c>
      <c r="G39" s="796">
        <v>0</v>
      </c>
      <c r="H39" s="796">
        <v>0</v>
      </c>
      <c r="I39" s="796">
        <v>0</v>
      </c>
      <c r="J39" s="796">
        <v>0</v>
      </c>
      <c r="K39" s="796">
        <v>0</v>
      </c>
      <c r="L39" s="796">
        <v>0</v>
      </c>
      <c r="M39" s="796">
        <v>0</v>
      </c>
      <c r="N39" s="796">
        <v>0</v>
      </c>
      <c r="O39" s="796">
        <v>0</v>
      </c>
    </row>
    <row r="40" spans="1:15" x14ac:dyDescent="0.2">
      <c r="A40" s="532" t="s">
        <v>730</v>
      </c>
      <c r="B40" s="532" t="s">
        <v>1631</v>
      </c>
      <c r="C40" s="530" t="s">
        <v>729</v>
      </c>
      <c r="D40" s="530" t="s">
        <v>742</v>
      </c>
      <c r="E40" s="796">
        <v>1924992</v>
      </c>
      <c r="F40" s="796">
        <v>0</v>
      </c>
      <c r="G40" s="796">
        <v>0</v>
      </c>
      <c r="H40" s="796">
        <v>1924992</v>
      </c>
      <c r="I40" s="796">
        <v>0</v>
      </c>
      <c r="J40" s="796">
        <v>0</v>
      </c>
      <c r="K40" s="796">
        <v>0</v>
      </c>
      <c r="L40" s="796">
        <v>0</v>
      </c>
      <c r="M40" s="796">
        <v>1924992</v>
      </c>
      <c r="N40" s="796">
        <v>0</v>
      </c>
      <c r="O40" s="796">
        <v>0</v>
      </c>
    </row>
    <row r="41" spans="1:15" x14ac:dyDescent="0.2">
      <c r="A41" s="532" t="s">
        <v>6</v>
      </c>
      <c r="B41" s="532" t="s">
        <v>1632</v>
      </c>
      <c r="C41" s="530" t="s">
        <v>5</v>
      </c>
      <c r="D41" s="530" t="s">
        <v>743</v>
      </c>
      <c r="E41" s="796">
        <v>882347</v>
      </c>
      <c r="F41" s="796">
        <v>0</v>
      </c>
      <c r="G41" s="796">
        <v>0</v>
      </c>
      <c r="H41" s="796">
        <v>882347</v>
      </c>
      <c r="I41" s="796">
        <v>0</v>
      </c>
      <c r="J41" s="796">
        <v>0</v>
      </c>
      <c r="K41" s="796">
        <v>0</v>
      </c>
      <c r="L41" s="796">
        <v>542579</v>
      </c>
      <c r="M41" s="796">
        <v>339768</v>
      </c>
      <c r="N41" s="796">
        <v>158335</v>
      </c>
      <c r="O41" s="796">
        <v>158335</v>
      </c>
    </row>
    <row r="42" spans="1:15" x14ac:dyDescent="0.2">
      <c r="A42" s="532" t="s">
        <v>6</v>
      </c>
      <c r="B42" s="532" t="s">
        <v>1633</v>
      </c>
      <c r="C42" s="530" t="s">
        <v>5</v>
      </c>
      <c r="D42" s="530" t="s">
        <v>856</v>
      </c>
      <c r="E42" s="796">
        <v>325335</v>
      </c>
      <c r="F42" s="796">
        <v>0</v>
      </c>
      <c r="G42" s="796">
        <v>0</v>
      </c>
      <c r="H42" s="796">
        <v>325335</v>
      </c>
      <c r="I42" s="796">
        <v>0</v>
      </c>
      <c r="J42" s="796">
        <v>0</v>
      </c>
      <c r="K42" s="796">
        <v>0</v>
      </c>
      <c r="L42" s="796">
        <v>73550</v>
      </c>
      <c r="M42" s="796">
        <v>251785</v>
      </c>
      <c r="N42" s="796">
        <v>37800</v>
      </c>
      <c r="O42" s="796">
        <v>37800</v>
      </c>
    </row>
    <row r="43" spans="1:15" x14ac:dyDescent="0.2">
      <c r="A43" s="532" t="s">
        <v>6</v>
      </c>
      <c r="B43" s="532" t="s">
        <v>1634</v>
      </c>
      <c r="C43" s="530" t="s">
        <v>5</v>
      </c>
      <c r="D43" s="530" t="s">
        <v>857</v>
      </c>
      <c r="E43" s="796">
        <v>47804</v>
      </c>
      <c r="F43" s="796">
        <v>0</v>
      </c>
      <c r="G43" s="796">
        <v>0</v>
      </c>
      <c r="H43" s="796">
        <v>47804</v>
      </c>
      <c r="I43" s="796">
        <v>0</v>
      </c>
      <c r="J43" s="796">
        <v>0</v>
      </c>
      <c r="K43" s="796">
        <v>0</v>
      </c>
      <c r="L43" s="796">
        <v>79119</v>
      </c>
      <c r="M43" s="796">
        <v>0</v>
      </c>
      <c r="N43" s="796">
        <v>26501</v>
      </c>
      <c r="O43" s="796">
        <v>26501</v>
      </c>
    </row>
    <row r="44" spans="1:15" x14ac:dyDescent="0.2">
      <c r="A44" s="532" t="s">
        <v>6</v>
      </c>
      <c r="B44" s="532" t="s">
        <v>1635</v>
      </c>
      <c r="C44" s="530" t="s">
        <v>5</v>
      </c>
      <c r="D44" s="530" t="s">
        <v>858</v>
      </c>
      <c r="E44" s="796">
        <v>0</v>
      </c>
      <c r="F44" s="796">
        <v>0</v>
      </c>
      <c r="G44" s="796">
        <v>0</v>
      </c>
      <c r="H44" s="796">
        <v>0</v>
      </c>
      <c r="I44" s="796">
        <v>0</v>
      </c>
      <c r="J44" s="796">
        <v>0</v>
      </c>
      <c r="K44" s="796">
        <v>0</v>
      </c>
      <c r="L44" s="796">
        <v>0</v>
      </c>
      <c r="M44" s="796">
        <v>0</v>
      </c>
      <c r="N44" s="796">
        <v>0</v>
      </c>
      <c r="O44" s="796">
        <v>0</v>
      </c>
    </row>
    <row r="45" spans="1:15" x14ac:dyDescent="0.2">
      <c r="A45" s="532" t="s">
        <v>6</v>
      </c>
      <c r="B45" s="532" t="s">
        <v>1636</v>
      </c>
      <c r="C45" s="530" t="s">
        <v>5</v>
      </c>
      <c r="D45" s="530" t="s">
        <v>859</v>
      </c>
      <c r="E45" s="796">
        <v>12672</v>
      </c>
      <c r="F45" s="796">
        <v>0</v>
      </c>
      <c r="G45" s="796">
        <v>0</v>
      </c>
      <c r="H45" s="796">
        <v>12672</v>
      </c>
      <c r="I45" s="796">
        <v>0</v>
      </c>
      <c r="J45" s="796">
        <v>0</v>
      </c>
      <c r="K45" s="796">
        <v>0</v>
      </c>
      <c r="L45" s="796">
        <v>12695</v>
      </c>
      <c r="M45" s="796">
        <v>0</v>
      </c>
      <c r="N45" s="796">
        <v>0</v>
      </c>
      <c r="O45" s="796">
        <v>0</v>
      </c>
    </row>
    <row r="46" spans="1:15" x14ac:dyDescent="0.2">
      <c r="A46" s="532" t="s">
        <v>16</v>
      </c>
      <c r="B46" s="532" t="s">
        <v>1637</v>
      </c>
      <c r="C46" s="530" t="s">
        <v>15</v>
      </c>
      <c r="D46" s="531" t="s">
        <v>1012</v>
      </c>
      <c r="E46" s="796">
        <v>24229792</v>
      </c>
      <c r="F46" s="796">
        <v>-268999</v>
      </c>
      <c r="G46" s="796">
        <v>-508697</v>
      </c>
      <c r="H46" s="796">
        <v>23452096</v>
      </c>
      <c r="I46" s="796">
        <v>0</v>
      </c>
      <c r="J46" s="796">
        <v>0</v>
      </c>
      <c r="K46" s="796">
        <v>-408249</v>
      </c>
      <c r="L46" s="796">
        <v>20741893</v>
      </c>
      <c r="M46" s="796">
        <v>2301954</v>
      </c>
      <c r="N46" s="796">
        <v>0</v>
      </c>
      <c r="O46" s="796">
        <v>0</v>
      </c>
    </row>
    <row r="47" spans="1:15" x14ac:dyDescent="0.2">
      <c r="A47" s="532" t="s">
        <v>18</v>
      </c>
      <c r="B47" s="532" t="s">
        <v>1638</v>
      </c>
      <c r="C47" s="530" t="s">
        <v>17</v>
      </c>
      <c r="D47" s="530" t="s">
        <v>860</v>
      </c>
      <c r="E47" s="796">
        <v>89600</v>
      </c>
      <c r="F47" s="796">
        <v>-896</v>
      </c>
      <c r="G47" s="796">
        <v>0</v>
      </c>
      <c r="H47" s="796">
        <v>88704</v>
      </c>
      <c r="I47" s="796">
        <v>0</v>
      </c>
      <c r="J47" s="796">
        <v>0</v>
      </c>
      <c r="K47" s="796">
        <v>0</v>
      </c>
      <c r="L47" s="796">
        <v>0</v>
      </c>
      <c r="M47" s="796">
        <v>88704</v>
      </c>
      <c r="N47" s="796">
        <v>0</v>
      </c>
      <c r="O47" s="796">
        <v>0</v>
      </c>
    </row>
    <row r="48" spans="1:15" x14ac:dyDescent="0.2">
      <c r="A48" s="532" t="s">
        <v>18</v>
      </c>
      <c r="B48" s="532" t="s">
        <v>1639</v>
      </c>
      <c r="C48" s="530" t="s">
        <v>17</v>
      </c>
      <c r="D48" s="530" t="s">
        <v>861</v>
      </c>
      <c r="E48" s="796">
        <v>0</v>
      </c>
      <c r="F48" s="796">
        <v>0</v>
      </c>
      <c r="G48" s="796">
        <v>0</v>
      </c>
      <c r="H48" s="796">
        <v>0</v>
      </c>
      <c r="I48" s="796">
        <v>0</v>
      </c>
      <c r="J48" s="796">
        <v>0</v>
      </c>
      <c r="K48" s="796">
        <v>0</v>
      </c>
      <c r="L48" s="796">
        <v>0</v>
      </c>
      <c r="M48" s="796">
        <v>0</v>
      </c>
      <c r="N48" s="796">
        <v>0</v>
      </c>
      <c r="O48" s="796">
        <v>0</v>
      </c>
    </row>
    <row r="49" spans="1:15" x14ac:dyDescent="0.2">
      <c r="A49" s="532" t="s">
        <v>18</v>
      </c>
      <c r="B49" s="532" t="s">
        <v>1640</v>
      </c>
      <c r="C49" s="530" t="s">
        <v>17</v>
      </c>
      <c r="D49" s="530" t="s">
        <v>862</v>
      </c>
      <c r="E49" s="796">
        <v>1317824</v>
      </c>
      <c r="F49" s="796">
        <v>-13178</v>
      </c>
      <c r="G49" s="796">
        <v>0</v>
      </c>
      <c r="H49" s="796">
        <v>1304646</v>
      </c>
      <c r="I49" s="796">
        <v>0</v>
      </c>
      <c r="J49" s="796">
        <v>0</v>
      </c>
      <c r="K49" s="796">
        <v>0</v>
      </c>
      <c r="L49" s="796">
        <v>0</v>
      </c>
      <c r="M49" s="796">
        <v>1304646</v>
      </c>
      <c r="N49" s="796">
        <v>73536</v>
      </c>
      <c r="O49" s="796">
        <v>73536</v>
      </c>
    </row>
    <row r="50" spans="1:15" x14ac:dyDescent="0.2">
      <c r="A50" s="532" t="s">
        <v>18</v>
      </c>
      <c r="B50" s="532" t="s">
        <v>1641</v>
      </c>
      <c r="C50" s="530" t="s">
        <v>17</v>
      </c>
      <c r="D50" s="530" t="s">
        <v>863</v>
      </c>
      <c r="E50" s="796">
        <v>28416</v>
      </c>
      <c r="F50" s="796">
        <v>-284</v>
      </c>
      <c r="G50" s="796">
        <v>0</v>
      </c>
      <c r="H50" s="796">
        <v>28132</v>
      </c>
      <c r="I50" s="796">
        <v>0</v>
      </c>
      <c r="J50" s="796">
        <v>0</v>
      </c>
      <c r="K50" s="796">
        <v>0</v>
      </c>
      <c r="L50" s="796">
        <v>65623</v>
      </c>
      <c r="M50" s="796">
        <v>0</v>
      </c>
      <c r="N50" s="796">
        <v>0</v>
      </c>
      <c r="O50" s="796">
        <v>0</v>
      </c>
    </row>
    <row r="51" spans="1:15" x14ac:dyDescent="0.2">
      <c r="A51" s="532" t="s">
        <v>20</v>
      </c>
      <c r="B51" s="532" t="s">
        <v>1642</v>
      </c>
      <c r="C51" s="530" t="s">
        <v>19</v>
      </c>
      <c r="D51" s="530" t="s">
        <v>864</v>
      </c>
      <c r="E51" s="796">
        <v>237610</v>
      </c>
      <c r="F51" s="796">
        <v>0</v>
      </c>
      <c r="G51" s="796">
        <v>0</v>
      </c>
      <c r="H51" s="796">
        <v>237610</v>
      </c>
      <c r="I51" s="796">
        <v>0</v>
      </c>
      <c r="J51" s="796">
        <v>0</v>
      </c>
      <c r="K51" s="796">
        <v>0</v>
      </c>
      <c r="L51" s="796">
        <v>30601</v>
      </c>
      <c r="M51" s="796">
        <v>207009</v>
      </c>
      <c r="N51" s="796">
        <v>30264</v>
      </c>
      <c r="O51" s="796">
        <v>30264</v>
      </c>
    </row>
    <row r="52" spans="1:15" x14ac:dyDescent="0.2">
      <c r="A52" s="532" t="s">
        <v>22</v>
      </c>
      <c r="B52" s="532" t="s">
        <v>1643</v>
      </c>
      <c r="C52" s="530" t="s">
        <v>21</v>
      </c>
      <c r="D52" s="530" t="s">
        <v>865</v>
      </c>
      <c r="E52" s="796">
        <v>0</v>
      </c>
      <c r="F52" s="796">
        <v>0</v>
      </c>
      <c r="G52" s="796">
        <v>0</v>
      </c>
      <c r="H52" s="796">
        <v>0</v>
      </c>
      <c r="I52" s="796">
        <v>0</v>
      </c>
      <c r="J52" s="796">
        <v>0</v>
      </c>
      <c r="K52" s="796">
        <v>0</v>
      </c>
      <c r="L52" s="796">
        <v>0</v>
      </c>
      <c r="M52" s="796">
        <v>0</v>
      </c>
      <c r="N52" s="796">
        <v>0</v>
      </c>
      <c r="O52" s="796">
        <v>0</v>
      </c>
    </row>
    <row r="53" spans="1:15" x14ac:dyDescent="0.2">
      <c r="A53" s="532" t="s">
        <v>24</v>
      </c>
      <c r="B53" s="532" t="s">
        <v>1644</v>
      </c>
      <c r="C53" s="530" t="s">
        <v>23</v>
      </c>
      <c r="D53" s="530" t="s">
        <v>780</v>
      </c>
      <c r="E53" s="796">
        <v>105189</v>
      </c>
      <c r="F53" s="796">
        <v>0</v>
      </c>
      <c r="G53" s="796">
        <v>0</v>
      </c>
      <c r="H53" s="796">
        <v>105189</v>
      </c>
      <c r="I53" s="796">
        <v>0</v>
      </c>
      <c r="J53" s="796">
        <v>0</v>
      </c>
      <c r="K53" s="796">
        <v>0</v>
      </c>
      <c r="L53" s="796">
        <v>0</v>
      </c>
      <c r="M53" s="796">
        <v>105189</v>
      </c>
      <c r="N53" s="796">
        <v>29067</v>
      </c>
      <c r="O53" s="796">
        <v>29067</v>
      </c>
    </row>
    <row r="54" spans="1:15" x14ac:dyDescent="0.2">
      <c r="A54" s="532" t="s">
        <v>24</v>
      </c>
      <c r="B54" s="532" t="s">
        <v>1645</v>
      </c>
      <c r="C54" s="530" t="s">
        <v>23</v>
      </c>
      <c r="D54" s="530" t="s">
        <v>794</v>
      </c>
      <c r="E54" s="796">
        <v>0</v>
      </c>
      <c r="F54" s="796">
        <v>0</v>
      </c>
      <c r="G54" s="796">
        <v>0</v>
      </c>
      <c r="H54" s="796">
        <v>0</v>
      </c>
      <c r="I54" s="796">
        <v>0</v>
      </c>
      <c r="J54" s="796">
        <v>0</v>
      </c>
      <c r="K54" s="796">
        <v>0</v>
      </c>
      <c r="L54" s="796">
        <v>0</v>
      </c>
      <c r="M54" s="796">
        <v>0</v>
      </c>
      <c r="N54" s="796">
        <v>0</v>
      </c>
      <c r="O54" s="796">
        <v>0</v>
      </c>
    </row>
    <row r="55" spans="1:15" x14ac:dyDescent="0.2">
      <c r="A55" s="532" t="s">
        <v>1019</v>
      </c>
      <c r="B55" s="532" t="s">
        <v>1767</v>
      </c>
      <c r="C55" s="531" t="s">
        <v>1018</v>
      </c>
      <c r="D55" s="530" t="s">
        <v>952</v>
      </c>
      <c r="E55" s="796">
        <v>303318</v>
      </c>
      <c r="F55" s="796">
        <v>0</v>
      </c>
      <c r="G55" s="796">
        <v>0</v>
      </c>
      <c r="H55" s="796">
        <v>303318</v>
      </c>
      <c r="I55" s="796">
        <v>0</v>
      </c>
      <c r="J55" s="796">
        <v>0</v>
      </c>
      <c r="K55" s="796">
        <v>0</v>
      </c>
      <c r="L55" s="796">
        <v>282048</v>
      </c>
      <c r="M55" s="796">
        <v>21270</v>
      </c>
      <c r="N55" s="796">
        <v>50556</v>
      </c>
      <c r="O55" s="796">
        <v>50556</v>
      </c>
    </row>
    <row r="56" spans="1:15" x14ac:dyDescent="0.2">
      <c r="A56" s="532" t="s">
        <v>40</v>
      </c>
      <c r="B56" s="532" t="s">
        <v>1646</v>
      </c>
      <c r="C56" s="530" t="s">
        <v>39</v>
      </c>
      <c r="D56" s="530" t="s">
        <v>866</v>
      </c>
      <c r="E56" s="796">
        <v>0</v>
      </c>
      <c r="F56" s="796">
        <v>0</v>
      </c>
      <c r="G56" s="796">
        <v>0</v>
      </c>
      <c r="H56" s="796">
        <v>0</v>
      </c>
      <c r="I56" s="796">
        <v>0</v>
      </c>
      <c r="J56" s="796">
        <v>0</v>
      </c>
      <c r="K56" s="796">
        <v>0</v>
      </c>
      <c r="L56" s="796">
        <v>0</v>
      </c>
      <c r="M56" s="796">
        <v>0</v>
      </c>
      <c r="N56" s="796">
        <v>0</v>
      </c>
      <c r="O56" s="796">
        <v>0</v>
      </c>
    </row>
    <row r="57" spans="1:15" x14ac:dyDescent="0.2">
      <c r="A57" s="532" t="s">
        <v>40</v>
      </c>
      <c r="B57" s="532" t="s">
        <v>1647</v>
      </c>
      <c r="C57" s="530" t="s">
        <v>39</v>
      </c>
      <c r="D57" s="530" t="s">
        <v>867</v>
      </c>
      <c r="E57" s="796">
        <v>1547</v>
      </c>
      <c r="F57" s="796">
        <v>0</v>
      </c>
      <c r="G57" s="796">
        <v>0</v>
      </c>
      <c r="H57" s="796">
        <v>1547</v>
      </c>
      <c r="I57" s="796">
        <v>0</v>
      </c>
      <c r="J57" s="796">
        <v>0</v>
      </c>
      <c r="K57" s="796">
        <v>0</v>
      </c>
      <c r="L57" s="796">
        <v>15769</v>
      </c>
      <c r="M57" s="796">
        <v>0</v>
      </c>
      <c r="N57" s="796">
        <v>14221</v>
      </c>
      <c r="O57" s="796">
        <v>14221</v>
      </c>
    </row>
    <row r="58" spans="1:15" x14ac:dyDescent="0.2">
      <c r="A58" s="532" t="s">
        <v>40</v>
      </c>
      <c r="B58" s="532" t="s">
        <v>1648</v>
      </c>
      <c r="C58" s="530" t="s">
        <v>39</v>
      </c>
      <c r="D58" s="530" t="s">
        <v>868</v>
      </c>
      <c r="E58" s="796">
        <v>18338</v>
      </c>
      <c r="F58" s="796">
        <v>0</v>
      </c>
      <c r="G58" s="796">
        <v>0</v>
      </c>
      <c r="H58" s="796">
        <v>18338</v>
      </c>
      <c r="I58" s="796">
        <v>0</v>
      </c>
      <c r="J58" s="796">
        <v>0</v>
      </c>
      <c r="K58" s="796">
        <v>608</v>
      </c>
      <c r="L58" s="796">
        <v>20583</v>
      </c>
      <c r="M58" s="796">
        <v>0</v>
      </c>
      <c r="N58" s="796">
        <v>0</v>
      </c>
      <c r="O58" s="796">
        <v>0</v>
      </c>
    </row>
    <row r="59" spans="1:15" x14ac:dyDescent="0.2">
      <c r="A59" s="532" t="s">
        <v>40</v>
      </c>
      <c r="B59" s="532" t="s">
        <v>1649</v>
      </c>
      <c r="C59" s="530" t="s">
        <v>39</v>
      </c>
      <c r="D59" s="530" t="s">
        <v>869</v>
      </c>
      <c r="E59" s="796">
        <v>0</v>
      </c>
      <c r="F59" s="796">
        <v>0</v>
      </c>
      <c r="G59" s="796">
        <v>0</v>
      </c>
      <c r="H59" s="796">
        <v>0</v>
      </c>
      <c r="I59" s="796">
        <v>0</v>
      </c>
      <c r="J59" s="796">
        <v>0</v>
      </c>
      <c r="K59" s="796">
        <v>0</v>
      </c>
      <c r="L59" s="796">
        <v>0</v>
      </c>
      <c r="M59" s="796">
        <v>0</v>
      </c>
      <c r="N59" s="796">
        <v>0</v>
      </c>
      <c r="O59" s="796">
        <v>0</v>
      </c>
    </row>
    <row r="60" spans="1:15" x14ac:dyDescent="0.2">
      <c r="A60" s="532" t="s">
        <v>40</v>
      </c>
      <c r="B60" s="532" t="s">
        <v>1650</v>
      </c>
      <c r="C60" s="530" t="s">
        <v>39</v>
      </c>
      <c r="D60" s="530" t="s">
        <v>870</v>
      </c>
      <c r="E60" s="796">
        <v>0</v>
      </c>
      <c r="F60" s="796">
        <v>0</v>
      </c>
      <c r="G60" s="796">
        <v>0</v>
      </c>
      <c r="H60" s="796">
        <v>0</v>
      </c>
      <c r="I60" s="796">
        <v>0</v>
      </c>
      <c r="J60" s="796">
        <v>0</v>
      </c>
      <c r="K60" s="796">
        <v>0</v>
      </c>
      <c r="L60" s="796">
        <v>17748</v>
      </c>
      <c r="M60" s="796">
        <v>0</v>
      </c>
      <c r="N60" s="796">
        <v>0</v>
      </c>
      <c r="O60" s="796">
        <v>0</v>
      </c>
    </row>
    <row r="61" spans="1:15" x14ac:dyDescent="0.2">
      <c r="A61" s="532" t="s">
        <v>40</v>
      </c>
      <c r="B61" s="532" t="s">
        <v>1651</v>
      </c>
      <c r="C61" s="530" t="s">
        <v>39</v>
      </c>
      <c r="D61" s="530" t="s">
        <v>871</v>
      </c>
      <c r="E61" s="796">
        <v>190436</v>
      </c>
      <c r="F61" s="796">
        <v>0</v>
      </c>
      <c r="G61" s="796">
        <v>0</v>
      </c>
      <c r="H61" s="796">
        <v>190436</v>
      </c>
      <c r="I61" s="796">
        <v>0</v>
      </c>
      <c r="J61" s="796">
        <v>0</v>
      </c>
      <c r="K61" s="796">
        <v>0</v>
      </c>
      <c r="L61" s="796">
        <v>99384</v>
      </c>
      <c r="M61" s="796">
        <v>91052</v>
      </c>
      <c r="N61" s="796">
        <v>272022</v>
      </c>
      <c r="O61" s="796">
        <v>272022</v>
      </c>
    </row>
    <row r="62" spans="1:15" x14ac:dyDescent="0.2">
      <c r="A62" s="532" t="s">
        <v>42</v>
      </c>
      <c r="B62" s="532" t="s">
        <v>1652</v>
      </c>
      <c r="C62" s="530" t="s">
        <v>41</v>
      </c>
      <c r="D62" s="530" t="s">
        <v>872</v>
      </c>
      <c r="E62" s="796">
        <v>0</v>
      </c>
      <c r="F62" s="796">
        <v>0</v>
      </c>
      <c r="G62" s="796">
        <v>0</v>
      </c>
      <c r="H62" s="796">
        <v>0</v>
      </c>
      <c r="I62" s="796">
        <v>0</v>
      </c>
      <c r="J62" s="796">
        <v>0</v>
      </c>
      <c r="K62" s="796">
        <v>0</v>
      </c>
      <c r="L62" s="796">
        <v>0</v>
      </c>
      <c r="M62" s="796">
        <v>0</v>
      </c>
      <c r="N62" s="796">
        <v>261955</v>
      </c>
      <c r="O62" s="796">
        <v>261955</v>
      </c>
    </row>
    <row r="63" spans="1:15" x14ac:dyDescent="0.2">
      <c r="A63" s="532" t="s">
        <v>46</v>
      </c>
      <c r="B63" s="532" t="s">
        <v>1653</v>
      </c>
      <c r="C63" s="530" t="s">
        <v>45</v>
      </c>
      <c r="D63" s="530" t="s">
        <v>873</v>
      </c>
      <c r="E63" s="796">
        <v>296333</v>
      </c>
      <c r="F63" s="796">
        <v>0</v>
      </c>
      <c r="G63" s="796">
        <v>0</v>
      </c>
      <c r="H63" s="796">
        <v>296333</v>
      </c>
      <c r="I63" s="796">
        <v>0</v>
      </c>
      <c r="J63" s="796">
        <v>0</v>
      </c>
      <c r="K63" s="796">
        <v>0</v>
      </c>
      <c r="L63" s="796">
        <v>209271</v>
      </c>
      <c r="M63" s="796">
        <v>87062</v>
      </c>
      <c r="N63" s="796">
        <v>122483</v>
      </c>
      <c r="O63" s="796">
        <v>122483</v>
      </c>
    </row>
    <row r="64" spans="1:15" x14ac:dyDescent="0.2">
      <c r="A64" s="532" t="s">
        <v>48</v>
      </c>
      <c r="B64" s="532" t="s">
        <v>1654</v>
      </c>
      <c r="C64" s="530" t="s">
        <v>47</v>
      </c>
      <c r="D64" s="530" t="s">
        <v>874</v>
      </c>
      <c r="E64" s="796">
        <v>812499</v>
      </c>
      <c r="F64" s="796">
        <v>0</v>
      </c>
      <c r="G64" s="796">
        <v>-38187</v>
      </c>
      <c r="H64" s="796">
        <v>774312</v>
      </c>
      <c r="I64" s="796">
        <v>0</v>
      </c>
      <c r="J64" s="796">
        <v>0</v>
      </c>
      <c r="K64" s="796">
        <v>1052</v>
      </c>
      <c r="L64" s="796">
        <v>254282</v>
      </c>
      <c r="M64" s="796">
        <v>521082</v>
      </c>
      <c r="N64" s="796">
        <v>28802</v>
      </c>
      <c r="O64" s="796">
        <v>28802</v>
      </c>
    </row>
    <row r="65" spans="1:15" x14ac:dyDescent="0.2">
      <c r="A65" s="532" t="s">
        <v>48</v>
      </c>
      <c r="B65" s="532" t="s">
        <v>1655</v>
      </c>
      <c r="C65" s="530" t="s">
        <v>47</v>
      </c>
      <c r="D65" s="530" t="s">
        <v>875</v>
      </c>
      <c r="E65" s="796">
        <v>571855</v>
      </c>
      <c r="F65" s="796">
        <v>0</v>
      </c>
      <c r="G65" s="796">
        <v>-26877</v>
      </c>
      <c r="H65" s="796">
        <v>544978</v>
      </c>
      <c r="I65" s="796">
        <v>13056</v>
      </c>
      <c r="J65" s="796">
        <v>0</v>
      </c>
      <c r="K65" s="796">
        <v>0</v>
      </c>
      <c r="L65" s="796">
        <v>429907</v>
      </c>
      <c r="M65" s="796">
        <v>102015</v>
      </c>
      <c r="N65" s="796">
        <v>110466</v>
      </c>
      <c r="O65" s="796">
        <v>110466</v>
      </c>
    </row>
    <row r="66" spans="1:15" x14ac:dyDescent="0.2">
      <c r="A66" s="532" t="s">
        <v>48</v>
      </c>
      <c r="B66" s="532" t="s">
        <v>1656</v>
      </c>
      <c r="C66" s="530" t="s">
        <v>47</v>
      </c>
      <c r="D66" s="530" t="s">
        <v>876</v>
      </c>
      <c r="E66" s="796">
        <v>0</v>
      </c>
      <c r="F66" s="796">
        <v>0</v>
      </c>
      <c r="G66" s="796">
        <v>0</v>
      </c>
      <c r="H66" s="796">
        <v>0</v>
      </c>
      <c r="I66" s="796">
        <v>0</v>
      </c>
      <c r="J66" s="796">
        <v>0</v>
      </c>
      <c r="K66" s="796">
        <v>0</v>
      </c>
      <c r="L66" s="796">
        <v>0</v>
      </c>
      <c r="M66" s="796">
        <v>0</v>
      </c>
      <c r="N66" s="796">
        <v>0</v>
      </c>
      <c r="O66" s="796">
        <v>0</v>
      </c>
    </row>
    <row r="67" spans="1:15" x14ac:dyDescent="0.2">
      <c r="A67" s="532" t="s">
        <v>48</v>
      </c>
      <c r="B67" s="532" t="s">
        <v>1657</v>
      </c>
      <c r="C67" s="530" t="s">
        <v>47</v>
      </c>
      <c r="D67" s="530" t="s">
        <v>877</v>
      </c>
      <c r="E67" s="796">
        <v>46336</v>
      </c>
      <c r="F67" s="796">
        <v>0</v>
      </c>
      <c r="G67" s="796">
        <v>-2178</v>
      </c>
      <c r="H67" s="796">
        <v>44158</v>
      </c>
      <c r="I67" s="796">
        <v>0</v>
      </c>
      <c r="J67" s="796">
        <v>0</v>
      </c>
      <c r="K67" s="796">
        <v>0</v>
      </c>
      <c r="L67" s="796">
        <v>0</v>
      </c>
      <c r="M67" s="796">
        <v>44158</v>
      </c>
      <c r="N67" s="796">
        <v>0</v>
      </c>
      <c r="O67" s="796">
        <v>0</v>
      </c>
    </row>
    <row r="68" spans="1:15" x14ac:dyDescent="0.2">
      <c r="A68" s="532" t="s">
        <v>50</v>
      </c>
      <c r="B68" s="532" t="s">
        <v>1658</v>
      </c>
      <c r="C68" s="530" t="s">
        <v>49</v>
      </c>
      <c r="D68" s="530" t="s">
        <v>878</v>
      </c>
      <c r="E68" s="796">
        <v>33403</v>
      </c>
      <c r="F68" s="796">
        <v>0</v>
      </c>
      <c r="G68" s="796">
        <v>0</v>
      </c>
      <c r="H68" s="796">
        <v>33403</v>
      </c>
      <c r="I68" s="796">
        <v>0</v>
      </c>
      <c r="J68" s="796">
        <v>0</v>
      </c>
      <c r="K68" s="796">
        <v>0</v>
      </c>
      <c r="L68" s="796">
        <v>0</v>
      </c>
      <c r="M68" s="796">
        <v>33403</v>
      </c>
      <c r="N68" s="796">
        <v>5399</v>
      </c>
      <c r="O68" s="796">
        <v>5399</v>
      </c>
    </row>
    <row r="69" spans="1:15" x14ac:dyDescent="0.2">
      <c r="A69" s="532" t="s">
        <v>56</v>
      </c>
      <c r="B69" s="532" t="s">
        <v>1659</v>
      </c>
      <c r="C69" s="530" t="s">
        <v>55</v>
      </c>
      <c r="D69" s="530" t="s">
        <v>744</v>
      </c>
      <c r="E69" s="796">
        <v>0</v>
      </c>
      <c r="F69" s="796">
        <v>0</v>
      </c>
      <c r="G69" s="796">
        <v>0</v>
      </c>
      <c r="H69" s="796">
        <v>0</v>
      </c>
      <c r="I69" s="796">
        <v>0</v>
      </c>
      <c r="J69" s="796">
        <v>0</v>
      </c>
      <c r="K69" s="796">
        <v>0</v>
      </c>
      <c r="L69" s="796">
        <v>0</v>
      </c>
      <c r="M69" s="796">
        <v>0</v>
      </c>
      <c r="N69" s="796">
        <v>0</v>
      </c>
      <c r="O69" s="796">
        <v>0</v>
      </c>
    </row>
    <row r="70" spans="1:15" x14ac:dyDescent="0.2">
      <c r="A70" s="532" t="s">
        <v>56</v>
      </c>
      <c r="B70" s="532" t="s">
        <v>1660</v>
      </c>
      <c r="C70" s="530" t="s">
        <v>55</v>
      </c>
      <c r="D70" s="530" t="s">
        <v>745</v>
      </c>
      <c r="E70" s="796">
        <v>113152</v>
      </c>
      <c r="F70" s="796">
        <v>0</v>
      </c>
      <c r="G70" s="796">
        <v>0</v>
      </c>
      <c r="H70" s="796">
        <v>113152</v>
      </c>
      <c r="I70" s="796">
        <v>0</v>
      </c>
      <c r="J70" s="796">
        <v>0</v>
      </c>
      <c r="K70" s="796">
        <v>0</v>
      </c>
      <c r="L70" s="796">
        <v>146006</v>
      </c>
      <c r="M70" s="796">
        <v>0</v>
      </c>
      <c r="N70" s="796">
        <v>0</v>
      </c>
      <c r="O70" s="796">
        <v>0</v>
      </c>
    </row>
    <row r="71" spans="1:15" x14ac:dyDescent="0.2">
      <c r="A71" s="532" t="s">
        <v>56</v>
      </c>
      <c r="B71" s="532" t="s">
        <v>1661</v>
      </c>
      <c r="C71" s="530" t="s">
        <v>55</v>
      </c>
      <c r="D71" s="530" t="s">
        <v>879</v>
      </c>
      <c r="E71" s="796">
        <v>0</v>
      </c>
      <c r="F71" s="796">
        <v>0</v>
      </c>
      <c r="G71" s="796">
        <v>0</v>
      </c>
      <c r="H71" s="796">
        <v>0</v>
      </c>
      <c r="I71" s="796">
        <v>0</v>
      </c>
      <c r="J71" s="796">
        <v>0</v>
      </c>
      <c r="K71" s="796">
        <v>0</v>
      </c>
      <c r="L71" s="796">
        <v>0</v>
      </c>
      <c r="M71" s="796">
        <v>0</v>
      </c>
      <c r="N71" s="796">
        <v>0</v>
      </c>
      <c r="O71" s="796">
        <v>0</v>
      </c>
    </row>
    <row r="72" spans="1:15" x14ac:dyDescent="0.2">
      <c r="A72" s="532" t="s">
        <v>56</v>
      </c>
      <c r="B72" s="532" t="s">
        <v>1662</v>
      </c>
      <c r="C72" s="530" t="s">
        <v>55</v>
      </c>
      <c r="D72" s="530" t="s">
        <v>880</v>
      </c>
      <c r="E72" s="796">
        <v>388123</v>
      </c>
      <c r="F72" s="796">
        <v>0</v>
      </c>
      <c r="G72" s="796">
        <v>0</v>
      </c>
      <c r="H72" s="796">
        <v>388123</v>
      </c>
      <c r="I72" s="796">
        <v>0</v>
      </c>
      <c r="J72" s="796">
        <v>0</v>
      </c>
      <c r="K72" s="796">
        <v>0</v>
      </c>
      <c r="L72" s="796">
        <v>0</v>
      </c>
      <c r="M72" s="796">
        <v>388123</v>
      </c>
      <c r="N72" s="796">
        <v>0</v>
      </c>
      <c r="O72" s="796">
        <v>0</v>
      </c>
    </row>
    <row r="73" spans="1:15" x14ac:dyDescent="0.2">
      <c r="A73" s="532" t="s">
        <v>56</v>
      </c>
      <c r="B73" s="532" t="s">
        <v>1663</v>
      </c>
      <c r="C73" s="530" t="s">
        <v>55</v>
      </c>
      <c r="D73" s="530" t="s">
        <v>881</v>
      </c>
      <c r="E73" s="796">
        <v>0</v>
      </c>
      <c r="F73" s="796">
        <v>0</v>
      </c>
      <c r="G73" s="796">
        <v>0</v>
      </c>
      <c r="H73" s="796">
        <v>0</v>
      </c>
      <c r="I73" s="796">
        <v>0</v>
      </c>
      <c r="J73" s="796">
        <v>0</v>
      </c>
      <c r="K73" s="796">
        <v>0</v>
      </c>
      <c r="L73" s="796">
        <v>0</v>
      </c>
      <c r="M73" s="796">
        <v>0</v>
      </c>
      <c r="N73" s="796">
        <v>0</v>
      </c>
      <c r="O73" s="796">
        <v>0</v>
      </c>
    </row>
    <row r="74" spans="1:15" x14ac:dyDescent="0.2">
      <c r="A74" s="532" t="s">
        <v>56</v>
      </c>
      <c r="B74" s="532" t="s">
        <v>1664</v>
      </c>
      <c r="C74" s="530" t="s">
        <v>55</v>
      </c>
      <c r="D74" s="530" t="s">
        <v>882</v>
      </c>
      <c r="E74" s="796">
        <v>0</v>
      </c>
      <c r="F74" s="796">
        <v>0</v>
      </c>
      <c r="G74" s="796">
        <v>0</v>
      </c>
      <c r="H74" s="796">
        <v>0</v>
      </c>
      <c r="I74" s="796">
        <v>0</v>
      </c>
      <c r="J74" s="796">
        <v>0</v>
      </c>
      <c r="K74" s="796">
        <v>0</v>
      </c>
      <c r="L74" s="796">
        <v>0</v>
      </c>
      <c r="M74" s="796">
        <v>0</v>
      </c>
      <c r="N74" s="796">
        <v>0</v>
      </c>
      <c r="O74" s="796">
        <v>0</v>
      </c>
    </row>
    <row r="75" spans="1:15" x14ac:dyDescent="0.2">
      <c r="A75" s="532" t="s">
        <v>56</v>
      </c>
      <c r="B75" s="532" t="s">
        <v>1665</v>
      </c>
      <c r="C75" s="530" t="s">
        <v>55</v>
      </c>
      <c r="D75" s="530" t="s">
        <v>883</v>
      </c>
      <c r="E75" s="796">
        <v>78009</v>
      </c>
      <c r="F75" s="796">
        <v>0</v>
      </c>
      <c r="G75" s="796">
        <v>0</v>
      </c>
      <c r="H75" s="796">
        <v>78009</v>
      </c>
      <c r="I75" s="796">
        <v>0</v>
      </c>
      <c r="J75" s="796">
        <v>0</v>
      </c>
      <c r="K75" s="796">
        <v>0</v>
      </c>
      <c r="L75" s="796">
        <v>0</v>
      </c>
      <c r="M75" s="796">
        <v>78009</v>
      </c>
      <c r="N75" s="796">
        <v>0</v>
      </c>
      <c r="O75" s="796">
        <v>0</v>
      </c>
    </row>
    <row r="76" spans="1:15" x14ac:dyDescent="0.2">
      <c r="A76" s="532" t="s">
        <v>1021</v>
      </c>
      <c r="B76" s="532" t="s">
        <v>1821</v>
      </c>
      <c r="C76" s="531" t="s">
        <v>1020</v>
      </c>
      <c r="D76" s="530" t="s">
        <v>749</v>
      </c>
      <c r="E76" s="796">
        <v>495023</v>
      </c>
      <c r="F76" s="796">
        <v>0</v>
      </c>
      <c r="G76" s="796">
        <v>0</v>
      </c>
      <c r="H76" s="796">
        <v>495023</v>
      </c>
      <c r="I76" s="796">
        <v>0</v>
      </c>
      <c r="J76" s="796">
        <v>0</v>
      </c>
      <c r="K76" s="796">
        <v>0</v>
      </c>
      <c r="L76" s="796">
        <v>0</v>
      </c>
      <c r="M76" s="796">
        <v>495023</v>
      </c>
      <c r="N76" s="796">
        <v>4790</v>
      </c>
      <c r="O76" s="796">
        <v>4790</v>
      </c>
    </row>
    <row r="77" spans="1:15" x14ac:dyDescent="0.2">
      <c r="A77" s="532" t="s">
        <v>1021</v>
      </c>
      <c r="B77" s="532" t="s">
        <v>1822</v>
      </c>
      <c r="C77" s="531" t="s">
        <v>1020</v>
      </c>
      <c r="D77" s="530" t="s">
        <v>990</v>
      </c>
      <c r="E77" s="796">
        <v>14844</v>
      </c>
      <c r="F77" s="796">
        <v>0</v>
      </c>
      <c r="G77" s="796">
        <v>0</v>
      </c>
      <c r="H77" s="796">
        <v>14844</v>
      </c>
      <c r="I77" s="796">
        <v>0</v>
      </c>
      <c r="J77" s="796">
        <v>0</v>
      </c>
      <c r="K77" s="796">
        <v>0</v>
      </c>
      <c r="L77" s="796">
        <v>14844</v>
      </c>
      <c r="M77" s="796">
        <v>0</v>
      </c>
      <c r="N77" s="796">
        <v>0</v>
      </c>
      <c r="O77" s="796">
        <v>0</v>
      </c>
    </row>
    <row r="78" spans="1:15" x14ac:dyDescent="0.2">
      <c r="A78" s="532" t="s">
        <v>1021</v>
      </c>
      <c r="B78" s="532" t="s">
        <v>1823</v>
      </c>
      <c r="C78" s="531" t="s">
        <v>1020</v>
      </c>
      <c r="D78" s="530" t="s">
        <v>991</v>
      </c>
      <c r="E78" s="796">
        <v>31031</v>
      </c>
      <c r="F78" s="796">
        <v>0</v>
      </c>
      <c r="G78" s="796">
        <v>0</v>
      </c>
      <c r="H78" s="796">
        <v>31031</v>
      </c>
      <c r="I78" s="796">
        <v>0</v>
      </c>
      <c r="J78" s="796">
        <v>0</v>
      </c>
      <c r="K78" s="796">
        <v>0</v>
      </c>
      <c r="L78" s="796">
        <v>31031</v>
      </c>
      <c r="M78" s="796">
        <v>0</v>
      </c>
      <c r="N78" s="796">
        <v>0</v>
      </c>
      <c r="O78" s="796">
        <v>0</v>
      </c>
    </row>
    <row r="79" spans="1:15" x14ac:dyDescent="0.2">
      <c r="A79" s="532" t="s">
        <v>77</v>
      </c>
      <c r="B79" s="532" t="s">
        <v>1666</v>
      </c>
      <c r="C79" s="530" t="s">
        <v>76</v>
      </c>
      <c r="D79" s="530" t="s">
        <v>746</v>
      </c>
      <c r="E79" s="796">
        <v>336734</v>
      </c>
      <c r="F79" s="796">
        <v>-5051</v>
      </c>
      <c r="G79" s="796">
        <v>-19456</v>
      </c>
      <c r="H79" s="796">
        <v>312227</v>
      </c>
      <c r="I79" s="796">
        <v>0</v>
      </c>
      <c r="J79" s="796">
        <v>0</v>
      </c>
      <c r="K79" s="796">
        <v>0</v>
      </c>
      <c r="L79" s="796">
        <v>115871</v>
      </c>
      <c r="M79" s="796">
        <v>196356</v>
      </c>
      <c r="N79" s="796">
        <v>179919</v>
      </c>
      <c r="O79" s="796">
        <v>179919</v>
      </c>
    </row>
    <row r="80" spans="1:15" x14ac:dyDescent="0.2">
      <c r="A80" s="532" t="s">
        <v>83</v>
      </c>
      <c r="B80" s="532" t="s">
        <v>1667</v>
      </c>
      <c r="C80" s="530" t="s">
        <v>82</v>
      </c>
      <c r="D80" s="530" t="s">
        <v>747</v>
      </c>
      <c r="E80" s="796">
        <v>2119808</v>
      </c>
      <c r="F80" s="796">
        <v>0</v>
      </c>
      <c r="G80" s="796">
        <v>0</v>
      </c>
      <c r="H80" s="796">
        <v>2119808</v>
      </c>
      <c r="I80" s="796">
        <v>0</v>
      </c>
      <c r="J80" s="796">
        <v>0</v>
      </c>
      <c r="K80" s="796">
        <v>0</v>
      </c>
      <c r="L80" s="796">
        <v>2134803</v>
      </c>
      <c r="M80" s="796">
        <v>0</v>
      </c>
      <c r="N80" s="796">
        <v>0</v>
      </c>
      <c r="O80" s="796">
        <v>0</v>
      </c>
    </row>
    <row r="81" spans="1:15" x14ac:dyDescent="0.2">
      <c r="A81" s="532" t="s">
        <v>83</v>
      </c>
      <c r="B81" s="532" t="s">
        <v>1668</v>
      </c>
      <c r="C81" s="530" t="s">
        <v>82</v>
      </c>
      <c r="D81" s="530" t="s">
        <v>836</v>
      </c>
      <c r="E81" s="796">
        <v>731128</v>
      </c>
      <c r="F81" s="796">
        <v>-50000</v>
      </c>
      <c r="G81" s="796">
        <v>-105485</v>
      </c>
      <c r="H81" s="796">
        <v>575643</v>
      </c>
      <c r="I81" s="796">
        <v>0</v>
      </c>
      <c r="J81" s="796">
        <v>0</v>
      </c>
      <c r="K81" s="796">
        <v>-14205</v>
      </c>
      <c r="L81" s="796">
        <v>931609</v>
      </c>
      <c r="M81" s="796">
        <v>0</v>
      </c>
      <c r="N81" s="796">
        <v>231083</v>
      </c>
      <c r="O81" s="796">
        <v>231083</v>
      </c>
    </row>
    <row r="82" spans="1:15" x14ac:dyDescent="0.2">
      <c r="A82" s="532" t="s">
        <v>85</v>
      </c>
      <c r="B82" s="532" t="s">
        <v>1669</v>
      </c>
      <c r="C82" s="530" t="s">
        <v>84</v>
      </c>
      <c r="D82" s="531" t="s">
        <v>1006</v>
      </c>
      <c r="E82" s="796">
        <v>2564817</v>
      </c>
      <c r="F82" s="796">
        <v>-1000</v>
      </c>
      <c r="G82" s="796">
        <v>-106130</v>
      </c>
      <c r="H82" s="796">
        <v>2457687</v>
      </c>
      <c r="I82" s="796">
        <v>0</v>
      </c>
      <c r="J82" s="796">
        <v>0</v>
      </c>
      <c r="K82" s="796">
        <v>-3282</v>
      </c>
      <c r="L82" s="796">
        <v>1434114</v>
      </c>
      <c r="M82" s="796">
        <v>1020291</v>
      </c>
      <c r="N82" s="796">
        <v>0</v>
      </c>
      <c r="O82" s="796">
        <v>0</v>
      </c>
    </row>
    <row r="83" spans="1:15" x14ac:dyDescent="0.2">
      <c r="A83" s="532" t="s">
        <v>85</v>
      </c>
      <c r="B83" s="532" t="s">
        <v>1670</v>
      </c>
      <c r="C83" s="530" t="s">
        <v>84</v>
      </c>
      <c r="D83" s="530" t="s">
        <v>884</v>
      </c>
      <c r="E83" s="796">
        <v>353476</v>
      </c>
      <c r="F83" s="796">
        <v>0</v>
      </c>
      <c r="G83" s="796">
        <v>0</v>
      </c>
      <c r="H83" s="796">
        <v>353476</v>
      </c>
      <c r="I83" s="796">
        <v>0</v>
      </c>
      <c r="J83" s="796">
        <v>0</v>
      </c>
      <c r="K83" s="796">
        <v>0</v>
      </c>
      <c r="L83" s="796">
        <v>0</v>
      </c>
      <c r="M83" s="796">
        <v>353476</v>
      </c>
      <c r="N83" s="796">
        <v>91694</v>
      </c>
      <c r="O83" s="796">
        <v>91694</v>
      </c>
    </row>
    <row r="84" spans="1:15" x14ac:dyDescent="0.2">
      <c r="A84" s="532" t="s">
        <v>91</v>
      </c>
      <c r="B84" s="532" t="s">
        <v>1671</v>
      </c>
      <c r="C84" s="530" t="s">
        <v>90</v>
      </c>
      <c r="D84" s="530" t="s">
        <v>746</v>
      </c>
      <c r="E84" s="796">
        <v>438580</v>
      </c>
      <c r="F84" s="796">
        <v>-6579</v>
      </c>
      <c r="G84" s="796">
        <v>-20613</v>
      </c>
      <c r="H84" s="796">
        <v>411388</v>
      </c>
      <c r="I84" s="796">
        <v>0</v>
      </c>
      <c r="J84" s="796">
        <v>0</v>
      </c>
      <c r="K84" s="796">
        <v>0</v>
      </c>
      <c r="L84" s="796">
        <v>425046</v>
      </c>
      <c r="M84" s="796">
        <v>0</v>
      </c>
      <c r="N84" s="796">
        <v>370804</v>
      </c>
      <c r="O84" s="796">
        <v>370804</v>
      </c>
    </row>
    <row r="85" spans="1:15" x14ac:dyDescent="0.2">
      <c r="A85" s="532" t="s">
        <v>93</v>
      </c>
      <c r="B85" s="532" t="s">
        <v>1672</v>
      </c>
      <c r="C85" s="530" t="s">
        <v>92</v>
      </c>
      <c r="D85" s="530" t="s">
        <v>885</v>
      </c>
      <c r="E85" s="796">
        <v>0</v>
      </c>
      <c r="F85" s="796">
        <v>0</v>
      </c>
      <c r="G85" s="796">
        <v>0</v>
      </c>
      <c r="H85" s="796">
        <v>0</v>
      </c>
      <c r="I85" s="796">
        <v>0</v>
      </c>
      <c r="J85" s="796">
        <v>0</v>
      </c>
      <c r="K85" s="796">
        <v>0</v>
      </c>
      <c r="L85" s="796">
        <v>0</v>
      </c>
      <c r="M85" s="796">
        <v>0</v>
      </c>
      <c r="N85" s="796">
        <v>0</v>
      </c>
      <c r="O85" s="796">
        <v>0</v>
      </c>
    </row>
    <row r="86" spans="1:15" x14ac:dyDescent="0.2">
      <c r="A86" s="532" t="s">
        <v>93</v>
      </c>
      <c r="B86" s="532" t="s">
        <v>1673</v>
      </c>
      <c r="C86" s="530" t="s">
        <v>92</v>
      </c>
      <c r="D86" s="530" t="s">
        <v>886</v>
      </c>
      <c r="E86" s="796">
        <v>333750</v>
      </c>
      <c r="F86" s="796">
        <v>0</v>
      </c>
      <c r="G86" s="796">
        <v>0</v>
      </c>
      <c r="H86" s="796">
        <v>333750</v>
      </c>
      <c r="I86" s="796">
        <v>0</v>
      </c>
      <c r="J86" s="796">
        <v>0</v>
      </c>
      <c r="K86" s="796">
        <v>0</v>
      </c>
      <c r="L86" s="796">
        <v>0</v>
      </c>
      <c r="M86" s="796">
        <v>333750</v>
      </c>
      <c r="N86" s="796">
        <v>41250</v>
      </c>
      <c r="O86" s="796">
        <v>41250</v>
      </c>
    </row>
    <row r="87" spans="1:15" x14ac:dyDescent="0.2">
      <c r="A87" s="532" t="s">
        <v>93</v>
      </c>
      <c r="B87" s="532" t="s">
        <v>1674</v>
      </c>
      <c r="C87" s="530" t="s">
        <v>92</v>
      </c>
      <c r="D87" s="530" t="s">
        <v>865</v>
      </c>
      <c r="E87" s="796">
        <v>0</v>
      </c>
      <c r="F87" s="796">
        <v>0</v>
      </c>
      <c r="G87" s="796">
        <v>0</v>
      </c>
      <c r="H87" s="796">
        <v>0</v>
      </c>
      <c r="I87" s="796">
        <v>0</v>
      </c>
      <c r="J87" s="796">
        <v>0</v>
      </c>
      <c r="K87" s="796">
        <v>0</v>
      </c>
      <c r="L87" s="796">
        <v>0</v>
      </c>
      <c r="M87" s="796">
        <v>0</v>
      </c>
      <c r="N87" s="796">
        <v>0</v>
      </c>
      <c r="O87" s="796">
        <v>0</v>
      </c>
    </row>
    <row r="88" spans="1:15" x14ac:dyDescent="0.2">
      <c r="A88" s="532" t="s">
        <v>95</v>
      </c>
      <c r="B88" s="532" t="s">
        <v>1675</v>
      </c>
      <c r="C88" s="530" t="s">
        <v>94</v>
      </c>
      <c r="D88" s="530" t="s">
        <v>749</v>
      </c>
      <c r="E88" s="796">
        <v>1273388</v>
      </c>
      <c r="F88" s="796">
        <v>0</v>
      </c>
      <c r="G88" s="796">
        <v>0</v>
      </c>
      <c r="H88" s="796">
        <v>1273388</v>
      </c>
      <c r="I88" s="796">
        <v>0</v>
      </c>
      <c r="J88" s="796">
        <v>0</v>
      </c>
      <c r="K88" s="796">
        <v>248</v>
      </c>
      <c r="L88" s="796">
        <v>314506</v>
      </c>
      <c r="M88" s="796">
        <v>959130</v>
      </c>
      <c r="N88" s="796">
        <v>279800</v>
      </c>
      <c r="O88" s="796">
        <v>279800</v>
      </c>
    </row>
    <row r="89" spans="1:15" x14ac:dyDescent="0.2">
      <c r="A89" s="532" t="s">
        <v>95</v>
      </c>
      <c r="B89" s="532" t="s">
        <v>1676</v>
      </c>
      <c r="C89" s="530" t="s">
        <v>94</v>
      </c>
      <c r="D89" s="530" t="s">
        <v>887</v>
      </c>
      <c r="E89" s="796">
        <v>0</v>
      </c>
      <c r="F89" s="796">
        <v>0</v>
      </c>
      <c r="G89" s="796">
        <v>0</v>
      </c>
      <c r="H89" s="796">
        <v>0</v>
      </c>
      <c r="I89" s="796">
        <v>0</v>
      </c>
      <c r="J89" s="796">
        <v>0</v>
      </c>
      <c r="K89" s="796">
        <v>0</v>
      </c>
      <c r="L89" s="796">
        <v>0</v>
      </c>
      <c r="M89" s="796">
        <v>0</v>
      </c>
      <c r="N89" s="796">
        <v>0</v>
      </c>
      <c r="O89" s="796">
        <v>0</v>
      </c>
    </row>
    <row r="90" spans="1:15" x14ac:dyDescent="0.2">
      <c r="A90" s="532" t="s">
        <v>95</v>
      </c>
      <c r="B90" s="532" t="s">
        <v>1677</v>
      </c>
      <c r="C90" s="530" t="s">
        <v>94</v>
      </c>
      <c r="D90" s="530" t="s">
        <v>888</v>
      </c>
      <c r="E90" s="796">
        <v>144640</v>
      </c>
      <c r="F90" s="796">
        <v>0</v>
      </c>
      <c r="G90" s="796">
        <v>0</v>
      </c>
      <c r="H90" s="796">
        <v>144640</v>
      </c>
      <c r="I90" s="796">
        <v>0</v>
      </c>
      <c r="J90" s="796">
        <v>0</v>
      </c>
      <c r="K90" s="796">
        <v>0</v>
      </c>
      <c r="L90" s="796">
        <v>6997</v>
      </c>
      <c r="M90" s="796">
        <v>137643</v>
      </c>
      <c r="N90" s="796">
        <v>0</v>
      </c>
      <c r="O90" s="796">
        <v>0</v>
      </c>
    </row>
    <row r="91" spans="1:15" x14ac:dyDescent="0.2">
      <c r="A91" s="532" t="s">
        <v>95</v>
      </c>
      <c r="B91" s="532" t="s">
        <v>1678</v>
      </c>
      <c r="C91" s="530" t="s">
        <v>94</v>
      </c>
      <c r="D91" s="530" t="s">
        <v>889</v>
      </c>
      <c r="E91" s="796">
        <v>0</v>
      </c>
      <c r="F91" s="796">
        <v>0</v>
      </c>
      <c r="G91" s="796">
        <v>0</v>
      </c>
      <c r="H91" s="796">
        <v>0</v>
      </c>
      <c r="I91" s="796">
        <v>0</v>
      </c>
      <c r="J91" s="796">
        <v>0</v>
      </c>
      <c r="K91" s="796">
        <v>0</v>
      </c>
      <c r="L91" s="796">
        <v>2901</v>
      </c>
      <c r="M91" s="796">
        <v>0</v>
      </c>
      <c r="N91" s="796">
        <v>0</v>
      </c>
      <c r="O91" s="796">
        <v>0</v>
      </c>
    </row>
    <row r="92" spans="1:15" x14ac:dyDescent="0.2">
      <c r="A92" s="532" t="s">
        <v>95</v>
      </c>
      <c r="B92" s="532" t="s">
        <v>1679</v>
      </c>
      <c r="C92" s="530" t="s">
        <v>94</v>
      </c>
      <c r="D92" s="530" t="s">
        <v>890</v>
      </c>
      <c r="E92" s="796">
        <v>0</v>
      </c>
      <c r="F92" s="796">
        <v>0</v>
      </c>
      <c r="G92" s="796">
        <v>0</v>
      </c>
      <c r="H92" s="796">
        <v>0</v>
      </c>
      <c r="I92" s="796">
        <v>0</v>
      </c>
      <c r="J92" s="796">
        <v>0</v>
      </c>
      <c r="K92" s="796">
        <v>0</v>
      </c>
      <c r="L92" s="796">
        <v>2265</v>
      </c>
      <c r="M92" s="796">
        <v>0</v>
      </c>
      <c r="N92" s="796">
        <v>0</v>
      </c>
      <c r="O92" s="796">
        <v>0</v>
      </c>
    </row>
    <row r="93" spans="1:15" x14ac:dyDescent="0.2">
      <c r="A93" s="532" t="s">
        <v>103</v>
      </c>
      <c r="B93" s="532" t="s">
        <v>1680</v>
      </c>
      <c r="C93" s="530" t="s">
        <v>102</v>
      </c>
      <c r="D93" s="530" t="s">
        <v>750</v>
      </c>
      <c r="E93" s="796">
        <v>245835</v>
      </c>
      <c r="F93" s="796">
        <v>0</v>
      </c>
      <c r="G93" s="796">
        <v>0</v>
      </c>
      <c r="H93" s="796">
        <v>245835</v>
      </c>
      <c r="I93" s="796">
        <v>0</v>
      </c>
      <c r="J93" s="796">
        <v>0</v>
      </c>
      <c r="K93" s="796">
        <v>0</v>
      </c>
      <c r="L93" s="796">
        <v>34568</v>
      </c>
      <c r="M93" s="796">
        <v>211267</v>
      </c>
      <c r="N93" s="796">
        <v>189625</v>
      </c>
      <c r="O93" s="796">
        <v>189625</v>
      </c>
    </row>
    <row r="94" spans="1:15" x14ac:dyDescent="0.2">
      <c r="A94" s="532" t="s">
        <v>113</v>
      </c>
      <c r="B94" s="532" t="s">
        <v>1681</v>
      </c>
      <c r="C94" s="530" t="s">
        <v>112</v>
      </c>
      <c r="D94" s="530" t="s">
        <v>112</v>
      </c>
      <c r="E94" s="796">
        <v>4790565</v>
      </c>
      <c r="F94" s="796">
        <v>-250000</v>
      </c>
      <c r="G94" s="796">
        <v>-73602</v>
      </c>
      <c r="H94" s="796">
        <v>4466963</v>
      </c>
      <c r="I94" s="796">
        <v>0</v>
      </c>
      <c r="J94" s="796">
        <v>0</v>
      </c>
      <c r="K94" s="796">
        <v>65</v>
      </c>
      <c r="L94" s="796">
        <v>3394318</v>
      </c>
      <c r="M94" s="796">
        <v>1072710</v>
      </c>
      <c r="N94" s="796">
        <v>0</v>
      </c>
      <c r="O94" s="796">
        <v>0</v>
      </c>
    </row>
    <row r="95" spans="1:15" x14ac:dyDescent="0.2">
      <c r="A95" s="532" t="s">
        <v>121</v>
      </c>
      <c r="B95" s="532" t="s">
        <v>1682</v>
      </c>
      <c r="C95" s="530" t="s">
        <v>120</v>
      </c>
      <c r="D95" s="530" t="s">
        <v>751</v>
      </c>
      <c r="E95" s="796">
        <v>167569</v>
      </c>
      <c r="F95" s="796">
        <v>0</v>
      </c>
      <c r="G95" s="796">
        <v>0</v>
      </c>
      <c r="H95" s="796">
        <v>167569</v>
      </c>
      <c r="I95" s="796">
        <v>0</v>
      </c>
      <c r="J95" s="796">
        <v>0</v>
      </c>
      <c r="K95" s="796">
        <v>604</v>
      </c>
      <c r="L95" s="796">
        <v>0</v>
      </c>
      <c r="M95" s="796">
        <v>168173</v>
      </c>
      <c r="N95" s="796">
        <v>0</v>
      </c>
      <c r="O95" s="796">
        <v>0</v>
      </c>
    </row>
    <row r="96" spans="1:15" x14ac:dyDescent="0.2">
      <c r="A96" s="532" t="s">
        <v>129</v>
      </c>
      <c r="B96" s="532" t="s">
        <v>1683</v>
      </c>
      <c r="C96" s="530" t="s">
        <v>128</v>
      </c>
      <c r="D96" s="530" t="s">
        <v>752</v>
      </c>
      <c r="E96" s="796">
        <v>479632</v>
      </c>
      <c r="F96" s="796">
        <v>0</v>
      </c>
      <c r="G96" s="796">
        <v>0</v>
      </c>
      <c r="H96" s="796">
        <v>479632</v>
      </c>
      <c r="I96" s="796">
        <v>0</v>
      </c>
      <c r="J96" s="796">
        <v>0</v>
      </c>
      <c r="K96" s="796">
        <v>427</v>
      </c>
      <c r="L96" s="796">
        <v>253818</v>
      </c>
      <c r="M96" s="796">
        <v>226241</v>
      </c>
      <c r="N96" s="796">
        <v>345410</v>
      </c>
      <c r="O96" s="796">
        <v>345410</v>
      </c>
    </row>
    <row r="97" spans="1:15" x14ac:dyDescent="0.2">
      <c r="A97" s="532" t="s">
        <v>137</v>
      </c>
      <c r="B97" s="532" t="s">
        <v>1684</v>
      </c>
      <c r="C97" s="530" t="s">
        <v>136</v>
      </c>
      <c r="D97" s="530" t="s">
        <v>753</v>
      </c>
      <c r="E97" s="796">
        <v>1216428</v>
      </c>
      <c r="F97" s="796">
        <v>-12164</v>
      </c>
      <c r="G97" s="796">
        <v>-36493</v>
      </c>
      <c r="H97" s="796">
        <v>1167771</v>
      </c>
      <c r="I97" s="796">
        <v>0</v>
      </c>
      <c r="J97" s="796">
        <v>0</v>
      </c>
      <c r="K97" s="796">
        <v>0</v>
      </c>
      <c r="L97" s="796">
        <v>903679</v>
      </c>
      <c r="M97" s="796">
        <v>264092</v>
      </c>
      <c r="N97" s="796">
        <v>80299</v>
      </c>
      <c r="O97" s="796">
        <v>80299</v>
      </c>
    </row>
    <row r="98" spans="1:15" x14ac:dyDescent="0.2">
      <c r="A98" s="532" t="s">
        <v>137</v>
      </c>
      <c r="B98" s="532" t="s">
        <v>1685</v>
      </c>
      <c r="C98" s="530" t="s">
        <v>136</v>
      </c>
      <c r="D98" s="530" t="s">
        <v>793</v>
      </c>
      <c r="E98" s="796">
        <v>0</v>
      </c>
      <c r="F98" s="796">
        <v>0</v>
      </c>
      <c r="G98" s="796">
        <v>0</v>
      </c>
      <c r="H98" s="796">
        <v>0</v>
      </c>
      <c r="I98" s="796">
        <v>0</v>
      </c>
      <c r="J98" s="796">
        <v>0</v>
      </c>
      <c r="K98" s="796">
        <v>0</v>
      </c>
      <c r="L98" s="796">
        <v>0</v>
      </c>
      <c r="M98" s="796">
        <v>0</v>
      </c>
      <c r="N98" s="796">
        <v>0</v>
      </c>
      <c r="O98" s="796">
        <v>0</v>
      </c>
    </row>
    <row r="99" spans="1:15" x14ac:dyDescent="0.2">
      <c r="A99" s="532" t="s">
        <v>143</v>
      </c>
      <c r="B99" s="532" t="s">
        <v>1686</v>
      </c>
      <c r="C99" s="530" t="s">
        <v>142</v>
      </c>
      <c r="D99" s="530" t="s">
        <v>754</v>
      </c>
      <c r="E99" s="796">
        <v>1799961</v>
      </c>
      <c r="F99" s="796">
        <v>0</v>
      </c>
      <c r="G99" s="796">
        <v>0</v>
      </c>
      <c r="H99" s="796">
        <v>1799961</v>
      </c>
      <c r="I99" s="796">
        <v>0</v>
      </c>
      <c r="J99" s="796">
        <v>0</v>
      </c>
      <c r="K99" s="796">
        <v>0</v>
      </c>
      <c r="L99" s="796">
        <v>787871</v>
      </c>
      <c r="M99" s="796">
        <v>1012090</v>
      </c>
      <c r="N99" s="796">
        <v>155930</v>
      </c>
      <c r="O99" s="796">
        <v>155930</v>
      </c>
    </row>
    <row r="100" spans="1:15" x14ac:dyDescent="0.2">
      <c r="A100" s="532" t="s">
        <v>147</v>
      </c>
      <c r="B100" s="532" t="s">
        <v>1687</v>
      </c>
      <c r="C100" s="530" t="s">
        <v>146</v>
      </c>
      <c r="D100" s="530" t="s">
        <v>891</v>
      </c>
      <c r="E100" s="796">
        <v>678324</v>
      </c>
      <c r="F100" s="796">
        <v>-7669</v>
      </c>
      <c r="G100" s="796">
        <v>-17141</v>
      </c>
      <c r="H100" s="796">
        <v>653514</v>
      </c>
      <c r="I100" s="796">
        <v>0</v>
      </c>
      <c r="J100" s="796">
        <v>0</v>
      </c>
      <c r="K100" s="796">
        <v>0</v>
      </c>
      <c r="L100" s="796">
        <v>0</v>
      </c>
      <c r="M100" s="796">
        <v>653514</v>
      </c>
      <c r="N100" s="796">
        <v>0</v>
      </c>
      <c r="O100" s="796">
        <v>0</v>
      </c>
    </row>
    <row r="101" spans="1:15" x14ac:dyDescent="0.2">
      <c r="A101" s="532" t="s">
        <v>147</v>
      </c>
      <c r="B101" s="532" t="s">
        <v>1688</v>
      </c>
      <c r="C101" s="530" t="s">
        <v>146</v>
      </c>
      <c r="D101" s="530" t="s">
        <v>892</v>
      </c>
      <c r="E101" s="796">
        <v>563599</v>
      </c>
      <c r="F101" s="796">
        <v>-6372</v>
      </c>
      <c r="G101" s="796">
        <v>-14242</v>
      </c>
      <c r="H101" s="796">
        <v>542985</v>
      </c>
      <c r="I101" s="796">
        <v>0</v>
      </c>
      <c r="J101" s="796">
        <v>0</v>
      </c>
      <c r="K101" s="796">
        <v>0</v>
      </c>
      <c r="L101" s="796">
        <v>206194</v>
      </c>
      <c r="M101" s="796">
        <v>336791</v>
      </c>
      <c r="N101" s="796">
        <v>131518</v>
      </c>
      <c r="O101" s="796">
        <v>131518</v>
      </c>
    </row>
    <row r="102" spans="1:15" x14ac:dyDescent="0.2">
      <c r="A102" s="532" t="s">
        <v>147</v>
      </c>
      <c r="B102" s="532" t="s">
        <v>1689</v>
      </c>
      <c r="C102" s="530" t="s">
        <v>146</v>
      </c>
      <c r="D102" s="530" t="s">
        <v>893</v>
      </c>
      <c r="E102" s="796">
        <v>0</v>
      </c>
      <c r="F102" s="796">
        <v>0</v>
      </c>
      <c r="G102" s="796">
        <v>0</v>
      </c>
      <c r="H102" s="796">
        <v>0</v>
      </c>
      <c r="I102" s="796">
        <v>0</v>
      </c>
      <c r="J102" s="796">
        <v>0</v>
      </c>
      <c r="K102" s="796">
        <v>0</v>
      </c>
      <c r="L102" s="796">
        <v>0</v>
      </c>
      <c r="M102" s="796">
        <v>0</v>
      </c>
      <c r="N102" s="796">
        <v>0</v>
      </c>
      <c r="O102" s="796">
        <v>0</v>
      </c>
    </row>
    <row r="103" spans="1:15" x14ac:dyDescent="0.2">
      <c r="A103" s="532" t="s">
        <v>155</v>
      </c>
      <c r="B103" s="532" t="s">
        <v>1690</v>
      </c>
      <c r="C103" s="530" t="s">
        <v>154</v>
      </c>
      <c r="D103" s="530" t="s">
        <v>894</v>
      </c>
      <c r="E103" s="796">
        <v>16902</v>
      </c>
      <c r="F103" s="796">
        <v>0</v>
      </c>
      <c r="G103" s="796">
        <v>0</v>
      </c>
      <c r="H103" s="796">
        <v>16902</v>
      </c>
      <c r="I103" s="796">
        <v>0</v>
      </c>
      <c r="J103" s="796">
        <v>0</v>
      </c>
      <c r="K103" s="796">
        <v>0</v>
      </c>
      <c r="L103" s="796">
        <v>0</v>
      </c>
      <c r="M103" s="796">
        <v>16902</v>
      </c>
      <c r="N103" s="796">
        <v>51594</v>
      </c>
      <c r="O103" s="796">
        <v>51594</v>
      </c>
    </row>
    <row r="104" spans="1:15" x14ac:dyDescent="0.2">
      <c r="A104" s="532" t="s">
        <v>157</v>
      </c>
      <c r="B104" s="532" t="s">
        <v>1691</v>
      </c>
      <c r="C104" s="530" t="s">
        <v>156</v>
      </c>
      <c r="D104" s="530" t="s">
        <v>744</v>
      </c>
      <c r="E104" s="796">
        <v>145958</v>
      </c>
      <c r="F104" s="796">
        <v>0</v>
      </c>
      <c r="G104" s="796">
        <v>0</v>
      </c>
      <c r="H104" s="796">
        <v>145958</v>
      </c>
      <c r="I104" s="796">
        <v>0</v>
      </c>
      <c r="J104" s="796">
        <v>0</v>
      </c>
      <c r="K104" s="796">
        <v>0</v>
      </c>
      <c r="L104" s="796">
        <v>0</v>
      </c>
      <c r="M104" s="796">
        <v>145958</v>
      </c>
      <c r="N104" s="796">
        <v>0</v>
      </c>
      <c r="O104" s="796">
        <v>0</v>
      </c>
    </row>
    <row r="105" spans="1:15" x14ac:dyDescent="0.2">
      <c r="A105" s="532" t="s">
        <v>157</v>
      </c>
      <c r="B105" s="532" t="s">
        <v>1692</v>
      </c>
      <c r="C105" s="530" t="s">
        <v>156</v>
      </c>
      <c r="D105" s="530" t="s">
        <v>745</v>
      </c>
      <c r="E105" s="796">
        <v>1849940</v>
      </c>
      <c r="F105" s="796">
        <v>0</v>
      </c>
      <c r="G105" s="796">
        <v>0</v>
      </c>
      <c r="H105" s="796">
        <v>1849940</v>
      </c>
      <c r="I105" s="796">
        <v>0</v>
      </c>
      <c r="J105" s="796">
        <v>0</v>
      </c>
      <c r="K105" s="796">
        <v>0</v>
      </c>
      <c r="L105" s="796">
        <v>174791</v>
      </c>
      <c r="M105" s="796">
        <v>1675149</v>
      </c>
      <c r="N105" s="796">
        <v>0</v>
      </c>
      <c r="O105" s="796">
        <v>0</v>
      </c>
    </row>
    <row r="106" spans="1:15" x14ac:dyDescent="0.2">
      <c r="A106" s="532" t="s">
        <v>157</v>
      </c>
      <c r="B106" s="532" t="s">
        <v>1693</v>
      </c>
      <c r="C106" s="530" t="s">
        <v>156</v>
      </c>
      <c r="D106" s="530" t="s">
        <v>895</v>
      </c>
      <c r="E106" s="796">
        <v>0</v>
      </c>
      <c r="F106" s="796">
        <v>0</v>
      </c>
      <c r="G106" s="796">
        <v>0</v>
      </c>
      <c r="H106" s="796">
        <v>0</v>
      </c>
      <c r="I106" s="796">
        <v>0</v>
      </c>
      <c r="J106" s="796">
        <v>0</v>
      </c>
      <c r="K106" s="796">
        <v>0</v>
      </c>
      <c r="L106" s="796">
        <v>0</v>
      </c>
      <c r="M106" s="796">
        <v>0</v>
      </c>
      <c r="N106" s="796">
        <v>0</v>
      </c>
      <c r="O106" s="796">
        <v>0</v>
      </c>
    </row>
    <row r="107" spans="1:15" x14ac:dyDescent="0.2">
      <c r="A107" s="532" t="s">
        <v>157</v>
      </c>
      <c r="B107" s="532" t="s">
        <v>1694</v>
      </c>
      <c r="C107" s="530" t="s">
        <v>156</v>
      </c>
      <c r="D107" s="530" t="s">
        <v>896</v>
      </c>
      <c r="E107" s="796">
        <v>205838</v>
      </c>
      <c r="F107" s="796">
        <v>0</v>
      </c>
      <c r="G107" s="796">
        <v>0</v>
      </c>
      <c r="H107" s="796">
        <v>205838</v>
      </c>
      <c r="I107" s="796">
        <v>0</v>
      </c>
      <c r="J107" s="796">
        <v>0</v>
      </c>
      <c r="K107" s="796">
        <v>0</v>
      </c>
      <c r="L107" s="796">
        <v>0</v>
      </c>
      <c r="M107" s="796">
        <v>205838</v>
      </c>
      <c r="N107" s="796">
        <v>0</v>
      </c>
      <c r="O107" s="796">
        <v>0</v>
      </c>
    </row>
    <row r="108" spans="1:15" x14ac:dyDescent="0.2">
      <c r="A108" s="532" t="s">
        <v>157</v>
      </c>
      <c r="B108" s="532" t="s">
        <v>1695</v>
      </c>
      <c r="C108" s="530" t="s">
        <v>156</v>
      </c>
      <c r="D108" s="530" t="s">
        <v>897</v>
      </c>
      <c r="E108" s="796">
        <v>35555</v>
      </c>
      <c r="F108" s="796">
        <v>0</v>
      </c>
      <c r="G108" s="796">
        <v>0</v>
      </c>
      <c r="H108" s="796">
        <v>35555</v>
      </c>
      <c r="I108" s="796">
        <v>0</v>
      </c>
      <c r="J108" s="796">
        <v>0</v>
      </c>
      <c r="K108" s="796">
        <v>0</v>
      </c>
      <c r="L108" s="796">
        <v>0</v>
      </c>
      <c r="M108" s="796">
        <v>35555</v>
      </c>
      <c r="N108" s="796">
        <v>0</v>
      </c>
      <c r="O108" s="796">
        <v>0</v>
      </c>
    </row>
    <row r="109" spans="1:15" x14ac:dyDescent="0.2">
      <c r="A109" s="532" t="s">
        <v>157</v>
      </c>
      <c r="B109" s="532" t="s">
        <v>1696</v>
      </c>
      <c r="C109" s="530" t="s">
        <v>156</v>
      </c>
      <c r="D109" s="530" t="s">
        <v>898</v>
      </c>
      <c r="E109" s="796">
        <v>14222</v>
      </c>
      <c r="F109" s="796">
        <v>0</v>
      </c>
      <c r="G109" s="796">
        <v>0</v>
      </c>
      <c r="H109" s="796">
        <v>14222</v>
      </c>
      <c r="I109" s="796">
        <v>0</v>
      </c>
      <c r="J109" s="796">
        <v>0</v>
      </c>
      <c r="K109" s="796">
        <v>0</v>
      </c>
      <c r="L109" s="796">
        <v>18171</v>
      </c>
      <c r="M109" s="796">
        <v>0</v>
      </c>
      <c r="N109" s="796">
        <v>0</v>
      </c>
      <c r="O109" s="796">
        <v>0</v>
      </c>
    </row>
    <row r="110" spans="1:15" x14ac:dyDescent="0.2">
      <c r="A110" s="532" t="s">
        <v>157</v>
      </c>
      <c r="B110" s="532" t="s">
        <v>1697</v>
      </c>
      <c r="C110" s="530" t="s">
        <v>156</v>
      </c>
      <c r="D110" s="530" t="s">
        <v>899</v>
      </c>
      <c r="E110" s="796">
        <v>500000</v>
      </c>
      <c r="F110" s="796">
        <v>0</v>
      </c>
      <c r="G110" s="796">
        <v>0</v>
      </c>
      <c r="H110" s="796">
        <v>500000</v>
      </c>
      <c r="I110" s="796">
        <v>500000</v>
      </c>
      <c r="J110" s="796">
        <v>0</v>
      </c>
      <c r="K110" s="796">
        <v>0</v>
      </c>
      <c r="L110" s="796">
        <v>0</v>
      </c>
      <c r="M110" s="796">
        <v>0</v>
      </c>
      <c r="N110" s="796">
        <v>0</v>
      </c>
      <c r="O110" s="796">
        <v>0</v>
      </c>
    </row>
    <row r="111" spans="1:15" x14ac:dyDescent="0.2">
      <c r="A111" s="532" t="s">
        <v>157</v>
      </c>
      <c r="B111" s="532" t="s">
        <v>1698</v>
      </c>
      <c r="C111" s="530" t="s">
        <v>156</v>
      </c>
      <c r="D111" s="530" t="s">
        <v>900</v>
      </c>
      <c r="E111" s="796">
        <v>9432</v>
      </c>
      <c r="F111" s="796">
        <v>0</v>
      </c>
      <c r="G111" s="796">
        <v>0</v>
      </c>
      <c r="H111" s="796">
        <v>9432</v>
      </c>
      <c r="I111" s="796">
        <v>0</v>
      </c>
      <c r="J111" s="796">
        <v>0</v>
      </c>
      <c r="K111" s="796">
        <v>0</v>
      </c>
      <c r="L111" s="796">
        <v>3564</v>
      </c>
      <c r="M111" s="796">
        <v>5868</v>
      </c>
      <c r="N111" s="796">
        <v>0</v>
      </c>
      <c r="O111" s="796">
        <v>0</v>
      </c>
    </row>
    <row r="112" spans="1:15" x14ac:dyDescent="0.2">
      <c r="A112" s="532" t="s">
        <v>157</v>
      </c>
      <c r="B112" s="532" t="s">
        <v>1699</v>
      </c>
      <c r="C112" s="530" t="s">
        <v>156</v>
      </c>
      <c r="D112" s="530" t="s">
        <v>901</v>
      </c>
      <c r="E112" s="796">
        <v>9980</v>
      </c>
      <c r="F112" s="796">
        <v>0</v>
      </c>
      <c r="G112" s="796">
        <v>0</v>
      </c>
      <c r="H112" s="796">
        <v>9980</v>
      </c>
      <c r="I112" s="796">
        <v>0</v>
      </c>
      <c r="J112" s="796">
        <v>0</v>
      </c>
      <c r="K112" s="796">
        <v>0</v>
      </c>
      <c r="L112" s="796">
        <v>33423</v>
      </c>
      <c r="M112" s="796">
        <v>0</v>
      </c>
      <c r="N112" s="796">
        <v>0</v>
      </c>
      <c r="O112" s="796">
        <v>0</v>
      </c>
    </row>
    <row r="113" spans="1:15" x14ac:dyDescent="0.2">
      <c r="A113" s="532" t="s">
        <v>157</v>
      </c>
      <c r="B113" s="532" t="s">
        <v>1700</v>
      </c>
      <c r="C113" s="530" t="s">
        <v>156</v>
      </c>
      <c r="D113" s="530" t="s">
        <v>902</v>
      </c>
      <c r="E113" s="796">
        <v>97305</v>
      </c>
      <c r="F113" s="796">
        <v>0</v>
      </c>
      <c r="G113" s="796">
        <v>0</v>
      </c>
      <c r="H113" s="796">
        <v>97305</v>
      </c>
      <c r="I113" s="796">
        <v>0</v>
      </c>
      <c r="J113" s="796">
        <v>0</v>
      </c>
      <c r="K113" s="796">
        <v>0</v>
      </c>
      <c r="L113" s="796">
        <v>6256</v>
      </c>
      <c r="M113" s="796">
        <v>91049</v>
      </c>
      <c r="N113" s="796">
        <v>0</v>
      </c>
      <c r="O113" s="796">
        <v>0</v>
      </c>
    </row>
    <row r="114" spans="1:15" x14ac:dyDescent="0.2">
      <c r="A114" s="532" t="s">
        <v>157</v>
      </c>
      <c r="B114" s="532" t="s">
        <v>1701</v>
      </c>
      <c r="C114" s="530" t="s">
        <v>156</v>
      </c>
      <c r="D114" s="530" t="s">
        <v>903</v>
      </c>
      <c r="E114" s="796">
        <v>0</v>
      </c>
      <c r="F114" s="796">
        <v>0</v>
      </c>
      <c r="G114" s="796">
        <v>0</v>
      </c>
      <c r="H114" s="796">
        <v>0</v>
      </c>
      <c r="I114" s="796">
        <v>0</v>
      </c>
      <c r="J114" s="796">
        <v>0</v>
      </c>
      <c r="K114" s="796">
        <v>0</v>
      </c>
      <c r="L114" s="796">
        <v>7984</v>
      </c>
      <c r="M114" s="796">
        <v>0</v>
      </c>
      <c r="N114" s="796">
        <v>0</v>
      </c>
      <c r="O114" s="796">
        <v>0</v>
      </c>
    </row>
    <row r="115" spans="1:15" x14ac:dyDescent="0.2">
      <c r="A115" s="532" t="s">
        <v>157</v>
      </c>
      <c r="B115" s="532" t="s">
        <v>1702</v>
      </c>
      <c r="C115" s="530" t="s">
        <v>156</v>
      </c>
      <c r="D115" s="530" t="s">
        <v>904</v>
      </c>
      <c r="E115" s="796">
        <v>0</v>
      </c>
      <c r="F115" s="796">
        <v>0</v>
      </c>
      <c r="G115" s="796">
        <v>0</v>
      </c>
      <c r="H115" s="796">
        <v>0</v>
      </c>
      <c r="I115" s="796">
        <v>0</v>
      </c>
      <c r="J115" s="796">
        <v>0</v>
      </c>
      <c r="K115" s="796">
        <v>0</v>
      </c>
      <c r="L115" s="796">
        <v>3692</v>
      </c>
      <c r="M115" s="796">
        <v>0</v>
      </c>
      <c r="N115" s="796">
        <v>0</v>
      </c>
      <c r="O115" s="796">
        <v>0</v>
      </c>
    </row>
    <row r="116" spans="1:15" x14ac:dyDescent="0.2">
      <c r="A116" s="532" t="s">
        <v>157</v>
      </c>
      <c r="B116" s="532" t="s">
        <v>1703</v>
      </c>
      <c r="C116" s="530" t="s">
        <v>156</v>
      </c>
      <c r="D116" s="530" t="s">
        <v>905</v>
      </c>
      <c r="E116" s="796">
        <v>266965</v>
      </c>
      <c r="F116" s="796">
        <v>0</v>
      </c>
      <c r="G116" s="796">
        <v>0</v>
      </c>
      <c r="H116" s="796">
        <v>266965</v>
      </c>
      <c r="I116" s="796">
        <v>0</v>
      </c>
      <c r="J116" s="796">
        <v>0</v>
      </c>
      <c r="K116" s="796">
        <v>0</v>
      </c>
      <c r="L116" s="796">
        <v>20100</v>
      </c>
      <c r="M116" s="796">
        <v>246865</v>
      </c>
      <c r="N116" s="796">
        <v>0</v>
      </c>
      <c r="O116" s="796">
        <v>0</v>
      </c>
    </row>
    <row r="117" spans="1:15" x14ac:dyDescent="0.2">
      <c r="A117" s="532" t="s">
        <v>157</v>
      </c>
      <c r="B117" s="532" t="s">
        <v>1704</v>
      </c>
      <c r="C117" s="530" t="s">
        <v>156</v>
      </c>
      <c r="D117" s="530" t="s">
        <v>906</v>
      </c>
      <c r="E117" s="796">
        <v>0</v>
      </c>
      <c r="F117" s="796">
        <v>0</v>
      </c>
      <c r="G117" s="796">
        <v>0</v>
      </c>
      <c r="H117" s="796">
        <v>0</v>
      </c>
      <c r="I117" s="796">
        <v>0</v>
      </c>
      <c r="J117" s="796">
        <v>0</v>
      </c>
      <c r="K117" s="796">
        <v>0</v>
      </c>
      <c r="L117" s="796">
        <v>0</v>
      </c>
      <c r="M117" s="796">
        <v>0</v>
      </c>
      <c r="N117" s="796">
        <v>0</v>
      </c>
      <c r="O117" s="796">
        <v>0</v>
      </c>
    </row>
    <row r="118" spans="1:15" x14ac:dyDescent="0.2">
      <c r="A118" s="532" t="s">
        <v>157</v>
      </c>
      <c r="B118" s="532" t="s">
        <v>1705</v>
      </c>
      <c r="C118" s="530" t="s">
        <v>156</v>
      </c>
      <c r="D118" s="530" t="s">
        <v>907</v>
      </c>
      <c r="E118" s="796">
        <v>0</v>
      </c>
      <c r="F118" s="796">
        <v>0</v>
      </c>
      <c r="G118" s="796">
        <v>0</v>
      </c>
      <c r="H118" s="796">
        <v>0</v>
      </c>
      <c r="I118" s="796">
        <v>0</v>
      </c>
      <c r="J118" s="796">
        <v>0</v>
      </c>
      <c r="K118" s="796">
        <v>0</v>
      </c>
      <c r="L118" s="796">
        <v>5065</v>
      </c>
      <c r="M118" s="796">
        <v>0</v>
      </c>
      <c r="N118" s="796">
        <v>0</v>
      </c>
      <c r="O118" s="796">
        <v>0</v>
      </c>
    </row>
    <row r="119" spans="1:15" x14ac:dyDescent="0.2">
      <c r="A119" s="532" t="s">
        <v>157</v>
      </c>
      <c r="B119" s="532" t="s">
        <v>1706</v>
      </c>
      <c r="C119" s="530" t="s">
        <v>156</v>
      </c>
      <c r="D119" s="530" t="s">
        <v>908</v>
      </c>
      <c r="E119" s="796">
        <v>99800</v>
      </c>
      <c r="F119" s="796">
        <v>0</v>
      </c>
      <c r="G119" s="796">
        <v>0</v>
      </c>
      <c r="H119" s="796">
        <v>99800</v>
      </c>
      <c r="I119" s="796">
        <v>0</v>
      </c>
      <c r="J119" s="796">
        <v>0</v>
      </c>
      <c r="K119" s="796">
        <v>0</v>
      </c>
      <c r="L119" s="796">
        <v>8243</v>
      </c>
      <c r="M119" s="796">
        <v>91557</v>
      </c>
      <c r="N119" s="796">
        <v>81920</v>
      </c>
      <c r="O119" s="796">
        <v>81920</v>
      </c>
    </row>
    <row r="120" spans="1:15" x14ac:dyDescent="0.2">
      <c r="A120" s="532" t="s">
        <v>157</v>
      </c>
      <c r="B120" s="532" t="s">
        <v>1707</v>
      </c>
      <c r="C120" s="530" t="s">
        <v>156</v>
      </c>
      <c r="D120" s="530" t="s">
        <v>909</v>
      </c>
      <c r="E120" s="796">
        <v>0</v>
      </c>
      <c r="F120" s="796">
        <v>0</v>
      </c>
      <c r="G120" s="796">
        <v>0</v>
      </c>
      <c r="H120" s="796">
        <v>0</v>
      </c>
      <c r="I120" s="796">
        <v>0</v>
      </c>
      <c r="J120" s="796">
        <v>0</v>
      </c>
      <c r="K120" s="796">
        <v>0</v>
      </c>
      <c r="L120" s="796">
        <v>0</v>
      </c>
      <c r="M120" s="796">
        <v>0</v>
      </c>
      <c r="N120" s="796">
        <v>0</v>
      </c>
      <c r="O120" s="796">
        <v>0</v>
      </c>
    </row>
    <row r="121" spans="1:15" x14ac:dyDescent="0.2">
      <c r="A121" s="532" t="s">
        <v>157</v>
      </c>
      <c r="B121" s="532" t="s">
        <v>1708</v>
      </c>
      <c r="C121" s="530" t="s">
        <v>156</v>
      </c>
      <c r="D121" s="530" t="s">
        <v>910</v>
      </c>
      <c r="E121" s="796">
        <v>0</v>
      </c>
      <c r="F121" s="796">
        <v>0</v>
      </c>
      <c r="G121" s="796">
        <v>0</v>
      </c>
      <c r="H121" s="796">
        <v>0</v>
      </c>
      <c r="I121" s="796">
        <v>0</v>
      </c>
      <c r="J121" s="796">
        <v>0</v>
      </c>
      <c r="K121" s="796">
        <v>0</v>
      </c>
      <c r="L121" s="796">
        <v>0</v>
      </c>
      <c r="M121" s="796">
        <v>0</v>
      </c>
      <c r="N121" s="796">
        <v>0</v>
      </c>
      <c r="O121" s="796">
        <v>0</v>
      </c>
    </row>
    <row r="122" spans="1:15" x14ac:dyDescent="0.2">
      <c r="A122" s="532" t="s">
        <v>157</v>
      </c>
      <c r="B122" s="532" t="s">
        <v>1709</v>
      </c>
      <c r="C122" s="530" t="s">
        <v>156</v>
      </c>
      <c r="D122" s="530" t="s">
        <v>911</v>
      </c>
      <c r="E122" s="796">
        <v>76846</v>
      </c>
      <c r="F122" s="796">
        <v>0</v>
      </c>
      <c r="G122" s="796">
        <v>0</v>
      </c>
      <c r="H122" s="796">
        <v>76846</v>
      </c>
      <c r="I122" s="796">
        <v>0</v>
      </c>
      <c r="J122" s="796">
        <v>0</v>
      </c>
      <c r="K122" s="796">
        <v>0</v>
      </c>
      <c r="L122" s="796">
        <v>22494</v>
      </c>
      <c r="M122" s="796">
        <v>54352</v>
      </c>
      <c r="N122" s="796">
        <v>0</v>
      </c>
      <c r="O122" s="796">
        <v>0</v>
      </c>
    </row>
    <row r="123" spans="1:15" x14ac:dyDescent="0.2">
      <c r="A123" s="532" t="s">
        <v>157</v>
      </c>
      <c r="B123" s="532" t="s">
        <v>1710</v>
      </c>
      <c r="C123" s="530" t="s">
        <v>156</v>
      </c>
      <c r="D123" s="530" t="s">
        <v>912</v>
      </c>
      <c r="E123" s="796">
        <v>137225</v>
      </c>
      <c r="F123" s="796">
        <v>0</v>
      </c>
      <c r="G123" s="796">
        <v>0</v>
      </c>
      <c r="H123" s="796">
        <v>137225</v>
      </c>
      <c r="I123" s="796">
        <v>0</v>
      </c>
      <c r="J123" s="796">
        <v>0</v>
      </c>
      <c r="K123" s="796">
        <v>0</v>
      </c>
      <c r="L123" s="796">
        <v>3493</v>
      </c>
      <c r="M123" s="796">
        <v>133732</v>
      </c>
      <c r="N123" s="796">
        <v>0</v>
      </c>
      <c r="O123" s="796">
        <v>0</v>
      </c>
    </row>
    <row r="124" spans="1:15" x14ac:dyDescent="0.2">
      <c r="A124" s="532" t="s">
        <v>157</v>
      </c>
      <c r="B124" s="532" t="s">
        <v>1711</v>
      </c>
      <c r="C124" s="530" t="s">
        <v>156</v>
      </c>
      <c r="D124" s="530" t="s">
        <v>913</v>
      </c>
      <c r="E124" s="796">
        <v>272258</v>
      </c>
      <c r="F124" s="796">
        <v>0</v>
      </c>
      <c r="G124" s="796">
        <v>0</v>
      </c>
      <c r="H124" s="796">
        <v>272258</v>
      </c>
      <c r="I124" s="796">
        <v>0</v>
      </c>
      <c r="J124" s="796">
        <v>0</v>
      </c>
      <c r="K124" s="796">
        <v>0</v>
      </c>
      <c r="L124" s="796">
        <v>50886</v>
      </c>
      <c r="M124" s="796">
        <v>221372</v>
      </c>
      <c r="N124" s="796">
        <v>83928</v>
      </c>
      <c r="O124" s="796">
        <v>83928</v>
      </c>
    </row>
    <row r="125" spans="1:15" x14ac:dyDescent="0.2">
      <c r="A125" s="532" t="s">
        <v>157</v>
      </c>
      <c r="B125" s="532" t="s">
        <v>1712</v>
      </c>
      <c r="C125" s="530" t="s">
        <v>156</v>
      </c>
      <c r="D125" s="530" t="s">
        <v>914</v>
      </c>
      <c r="E125" s="796">
        <v>3643</v>
      </c>
      <c r="F125" s="796">
        <v>0</v>
      </c>
      <c r="G125" s="796">
        <v>0</v>
      </c>
      <c r="H125" s="796">
        <v>3643</v>
      </c>
      <c r="I125" s="796">
        <v>0</v>
      </c>
      <c r="J125" s="796">
        <v>0</v>
      </c>
      <c r="K125" s="796">
        <v>0</v>
      </c>
      <c r="L125" s="796">
        <v>0</v>
      </c>
      <c r="M125" s="796">
        <v>3643</v>
      </c>
      <c r="N125" s="796">
        <v>0</v>
      </c>
      <c r="O125" s="796">
        <v>0</v>
      </c>
    </row>
    <row r="126" spans="1:15" x14ac:dyDescent="0.2">
      <c r="A126" s="532" t="s">
        <v>161</v>
      </c>
      <c r="B126" s="532" t="s">
        <v>1713</v>
      </c>
      <c r="C126" s="530" t="s">
        <v>160</v>
      </c>
      <c r="D126" s="530" t="s">
        <v>915</v>
      </c>
      <c r="E126" s="796">
        <v>0</v>
      </c>
      <c r="F126" s="796">
        <v>0</v>
      </c>
      <c r="G126" s="796">
        <v>0</v>
      </c>
      <c r="H126" s="796">
        <v>0</v>
      </c>
      <c r="I126" s="796">
        <v>0</v>
      </c>
      <c r="J126" s="796">
        <v>0</v>
      </c>
      <c r="K126" s="796">
        <v>0</v>
      </c>
      <c r="L126" s="796">
        <v>0</v>
      </c>
      <c r="M126" s="796">
        <v>0</v>
      </c>
      <c r="N126" s="796">
        <v>0</v>
      </c>
      <c r="O126" s="796">
        <v>0</v>
      </c>
    </row>
    <row r="127" spans="1:15" x14ac:dyDescent="0.2">
      <c r="A127" s="532" t="s">
        <v>161</v>
      </c>
      <c r="B127" s="532" t="s">
        <v>1714</v>
      </c>
      <c r="C127" s="530" t="s">
        <v>160</v>
      </c>
      <c r="D127" s="530" t="s">
        <v>916</v>
      </c>
      <c r="E127" s="796">
        <v>302929</v>
      </c>
      <c r="F127" s="796">
        <v>0</v>
      </c>
      <c r="G127" s="796">
        <v>0</v>
      </c>
      <c r="H127" s="796">
        <v>302929</v>
      </c>
      <c r="I127" s="796">
        <v>0</v>
      </c>
      <c r="J127" s="796">
        <v>0</v>
      </c>
      <c r="K127" s="796">
        <v>0</v>
      </c>
      <c r="L127" s="796">
        <v>0</v>
      </c>
      <c r="M127" s="796">
        <v>302929</v>
      </c>
      <c r="N127" s="796">
        <v>158896</v>
      </c>
      <c r="O127" s="796">
        <v>158896</v>
      </c>
    </row>
    <row r="128" spans="1:15" x14ac:dyDescent="0.2">
      <c r="A128" s="532" t="s">
        <v>161</v>
      </c>
      <c r="B128" s="532" t="s">
        <v>1715</v>
      </c>
      <c r="C128" s="530" t="s">
        <v>160</v>
      </c>
      <c r="D128" s="530" t="s">
        <v>917</v>
      </c>
      <c r="E128" s="796">
        <v>0</v>
      </c>
      <c r="F128" s="796">
        <v>0</v>
      </c>
      <c r="G128" s="796">
        <v>0</v>
      </c>
      <c r="H128" s="796">
        <v>0</v>
      </c>
      <c r="I128" s="796">
        <v>0</v>
      </c>
      <c r="J128" s="796">
        <v>0</v>
      </c>
      <c r="K128" s="796">
        <v>0</v>
      </c>
      <c r="L128" s="796">
        <v>0</v>
      </c>
      <c r="M128" s="796">
        <v>0</v>
      </c>
      <c r="N128" s="796">
        <v>0</v>
      </c>
      <c r="O128" s="796">
        <v>0</v>
      </c>
    </row>
    <row r="129" spans="1:15" x14ac:dyDescent="0.2">
      <c r="A129" s="532" t="s">
        <v>165</v>
      </c>
      <c r="B129" s="532" t="s">
        <v>1716</v>
      </c>
      <c r="C129" s="530" t="s">
        <v>164</v>
      </c>
      <c r="D129" s="530" t="s">
        <v>797</v>
      </c>
      <c r="E129" s="796">
        <v>1811096</v>
      </c>
      <c r="F129" s="796">
        <v>0</v>
      </c>
      <c r="G129" s="796">
        <v>0</v>
      </c>
      <c r="H129" s="796">
        <v>1811096</v>
      </c>
      <c r="I129" s="796">
        <v>0</v>
      </c>
      <c r="J129" s="796">
        <v>0</v>
      </c>
      <c r="K129" s="796">
        <v>0</v>
      </c>
      <c r="L129" s="796">
        <v>1719253</v>
      </c>
      <c r="M129" s="796">
        <v>91843</v>
      </c>
      <c r="N129" s="796">
        <v>0</v>
      </c>
      <c r="O129" s="796">
        <v>0</v>
      </c>
    </row>
    <row r="130" spans="1:15" x14ac:dyDescent="0.2">
      <c r="A130" s="532" t="s">
        <v>169</v>
      </c>
      <c r="B130" s="532" t="s">
        <v>1717</v>
      </c>
      <c r="C130" s="530" t="s">
        <v>168</v>
      </c>
      <c r="D130" s="530" t="s">
        <v>755</v>
      </c>
      <c r="E130" s="796">
        <v>3872302</v>
      </c>
      <c r="F130" s="796">
        <v>0</v>
      </c>
      <c r="G130" s="796">
        <v>0</v>
      </c>
      <c r="H130" s="796">
        <v>3872302</v>
      </c>
      <c r="I130" s="796">
        <v>0</v>
      </c>
      <c r="J130" s="796">
        <v>0</v>
      </c>
      <c r="K130" s="796">
        <v>0</v>
      </c>
      <c r="L130" s="796">
        <v>1051544</v>
      </c>
      <c r="M130" s="796">
        <v>2820758</v>
      </c>
      <c r="N130" s="796">
        <v>58368</v>
      </c>
      <c r="O130" s="796">
        <v>58368</v>
      </c>
    </row>
    <row r="131" spans="1:15" x14ac:dyDescent="0.2">
      <c r="A131" s="532" t="s">
        <v>171</v>
      </c>
      <c r="B131" s="532" t="s">
        <v>1718</v>
      </c>
      <c r="C131" s="530" t="s">
        <v>170</v>
      </c>
      <c r="D131" s="530" t="s">
        <v>918</v>
      </c>
      <c r="E131" s="796">
        <v>2795784</v>
      </c>
      <c r="F131" s="796">
        <v>-50324</v>
      </c>
      <c r="G131" s="796">
        <v>-95295</v>
      </c>
      <c r="H131" s="796">
        <v>2650165</v>
      </c>
      <c r="I131" s="796">
        <v>0</v>
      </c>
      <c r="J131" s="796">
        <v>0</v>
      </c>
      <c r="K131" s="796">
        <v>7097</v>
      </c>
      <c r="L131" s="796">
        <v>2499363</v>
      </c>
      <c r="M131" s="796">
        <v>157899</v>
      </c>
      <c r="N131" s="796">
        <v>0</v>
      </c>
      <c r="O131" s="796">
        <v>0</v>
      </c>
    </row>
    <row r="132" spans="1:15" x14ac:dyDescent="0.2">
      <c r="A132" s="532" t="s">
        <v>173</v>
      </c>
      <c r="B132" s="532" t="s">
        <v>1719</v>
      </c>
      <c r="C132" s="530" t="s">
        <v>172</v>
      </c>
      <c r="D132" s="530" t="s">
        <v>919</v>
      </c>
      <c r="E132" s="796">
        <v>266747</v>
      </c>
      <c r="F132" s="796">
        <v>-40012</v>
      </c>
      <c r="G132" s="796">
        <v>0</v>
      </c>
      <c r="H132" s="796">
        <v>226735</v>
      </c>
      <c r="I132" s="796">
        <v>0</v>
      </c>
      <c r="J132" s="796">
        <v>0</v>
      </c>
      <c r="K132" s="796">
        <v>416</v>
      </c>
      <c r="L132" s="796">
        <v>267551</v>
      </c>
      <c r="M132" s="796">
        <v>0</v>
      </c>
      <c r="N132" s="796">
        <v>82136</v>
      </c>
      <c r="O132" s="796">
        <v>82136</v>
      </c>
    </row>
    <row r="133" spans="1:15" x14ac:dyDescent="0.2">
      <c r="A133" s="532" t="s">
        <v>173</v>
      </c>
      <c r="B133" s="532" t="s">
        <v>1720</v>
      </c>
      <c r="C133" s="530" t="s">
        <v>172</v>
      </c>
      <c r="D133" s="530" t="s">
        <v>920</v>
      </c>
      <c r="E133" s="796">
        <v>0</v>
      </c>
      <c r="F133" s="796">
        <v>0</v>
      </c>
      <c r="G133" s="796">
        <v>0</v>
      </c>
      <c r="H133" s="796">
        <v>0</v>
      </c>
      <c r="I133" s="796">
        <v>0</v>
      </c>
      <c r="J133" s="796">
        <v>0</v>
      </c>
      <c r="K133" s="796">
        <v>0</v>
      </c>
      <c r="L133" s="796">
        <v>0</v>
      </c>
      <c r="M133" s="796">
        <v>0</v>
      </c>
      <c r="N133" s="796">
        <v>14768</v>
      </c>
      <c r="O133" s="796">
        <v>14768</v>
      </c>
    </row>
    <row r="134" spans="1:15" x14ac:dyDescent="0.2">
      <c r="A134" s="532" t="s">
        <v>173</v>
      </c>
      <c r="B134" s="532" t="s">
        <v>1721</v>
      </c>
      <c r="C134" s="530" t="s">
        <v>172</v>
      </c>
      <c r="D134" s="530" t="s">
        <v>921</v>
      </c>
      <c r="E134" s="796">
        <v>13473</v>
      </c>
      <c r="F134" s="796">
        <v>-2021</v>
      </c>
      <c r="G134" s="796">
        <v>0</v>
      </c>
      <c r="H134" s="796">
        <v>11452</v>
      </c>
      <c r="I134" s="796">
        <v>0</v>
      </c>
      <c r="J134" s="796">
        <v>0</v>
      </c>
      <c r="K134" s="796">
        <v>0</v>
      </c>
      <c r="L134" s="796">
        <v>0</v>
      </c>
      <c r="M134" s="796">
        <v>11452</v>
      </c>
      <c r="N134" s="796">
        <v>112096</v>
      </c>
      <c r="O134" s="796">
        <v>112096</v>
      </c>
    </row>
    <row r="135" spans="1:15" x14ac:dyDescent="0.2">
      <c r="A135" s="532" t="s">
        <v>173</v>
      </c>
      <c r="B135" s="532" t="s">
        <v>1722</v>
      </c>
      <c r="C135" s="530" t="s">
        <v>172</v>
      </c>
      <c r="D135" s="530" t="s">
        <v>922</v>
      </c>
      <c r="E135" s="796">
        <v>331241</v>
      </c>
      <c r="F135" s="796">
        <v>-48287</v>
      </c>
      <c r="G135" s="796">
        <v>0</v>
      </c>
      <c r="H135" s="796">
        <v>282954</v>
      </c>
      <c r="I135" s="796">
        <v>0</v>
      </c>
      <c r="J135" s="796">
        <v>0</v>
      </c>
      <c r="K135" s="796">
        <v>-1167</v>
      </c>
      <c r="L135" s="796">
        <v>181696</v>
      </c>
      <c r="M135" s="796">
        <v>100091</v>
      </c>
      <c r="N135" s="796">
        <v>14346</v>
      </c>
      <c r="O135" s="796">
        <v>14346</v>
      </c>
    </row>
    <row r="136" spans="1:15" x14ac:dyDescent="0.2">
      <c r="A136" s="532" t="s">
        <v>173</v>
      </c>
      <c r="B136" s="532" t="s">
        <v>1723</v>
      </c>
      <c r="C136" s="530" t="s">
        <v>172</v>
      </c>
      <c r="D136" s="530" t="s">
        <v>923</v>
      </c>
      <c r="E136" s="796">
        <v>156160</v>
      </c>
      <c r="F136" s="796">
        <v>-23424</v>
      </c>
      <c r="G136" s="796">
        <v>0</v>
      </c>
      <c r="H136" s="796">
        <v>132736</v>
      </c>
      <c r="I136" s="796">
        <v>0</v>
      </c>
      <c r="J136" s="796">
        <v>0</v>
      </c>
      <c r="K136" s="796">
        <v>0</v>
      </c>
      <c r="L136" s="796">
        <v>1382</v>
      </c>
      <c r="M136" s="796">
        <v>131354</v>
      </c>
      <c r="N136" s="796">
        <v>0</v>
      </c>
      <c r="O136" s="796">
        <v>0</v>
      </c>
    </row>
    <row r="137" spans="1:15" x14ac:dyDescent="0.2">
      <c r="A137" s="532" t="s">
        <v>173</v>
      </c>
      <c r="B137" s="532" t="s">
        <v>1724</v>
      </c>
      <c r="C137" s="530" t="s">
        <v>172</v>
      </c>
      <c r="D137" s="530" t="s">
        <v>924</v>
      </c>
      <c r="E137" s="796">
        <v>63976</v>
      </c>
      <c r="F137" s="796">
        <v>-9596</v>
      </c>
      <c r="G137" s="796">
        <v>0</v>
      </c>
      <c r="H137" s="796">
        <v>54380</v>
      </c>
      <c r="I137" s="796">
        <v>0</v>
      </c>
      <c r="J137" s="796">
        <v>0</v>
      </c>
      <c r="K137" s="796">
        <v>0</v>
      </c>
      <c r="L137" s="796">
        <v>66287</v>
      </c>
      <c r="M137" s="796">
        <v>0</v>
      </c>
      <c r="N137" s="796">
        <v>72384</v>
      </c>
      <c r="O137" s="796">
        <v>72384</v>
      </c>
    </row>
    <row r="138" spans="1:15" x14ac:dyDescent="0.2">
      <c r="A138" s="532" t="s">
        <v>173</v>
      </c>
      <c r="B138" s="532" t="s">
        <v>1725</v>
      </c>
      <c r="C138" s="530" t="s">
        <v>172</v>
      </c>
      <c r="D138" s="530" t="s">
        <v>925</v>
      </c>
      <c r="E138" s="796">
        <v>317761</v>
      </c>
      <c r="F138" s="796">
        <v>-30659</v>
      </c>
      <c r="G138" s="796">
        <v>0</v>
      </c>
      <c r="H138" s="796">
        <v>287102</v>
      </c>
      <c r="I138" s="796">
        <v>0</v>
      </c>
      <c r="J138" s="796">
        <v>0</v>
      </c>
      <c r="K138" s="796">
        <v>-10230</v>
      </c>
      <c r="L138" s="796">
        <v>310710</v>
      </c>
      <c r="M138" s="796">
        <v>0</v>
      </c>
      <c r="N138" s="796">
        <v>33968</v>
      </c>
      <c r="O138" s="796">
        <v>33968</v>
      </c>
    </row>
    <row r="139" spans="1:15" x14ac:dyDescent="0.2">
      <c r="A139" s="532" t="s">
        <v>173</v>
      </c>
      <c r="B139" s="532" t="s">
        <v>1726</v>
      </c>
      <c r="C139" s="530" t="s">
        <v>172</v>
      </c>
      <c r="D139" s="530" t="s">
        <v>926</v>
      </c>
      <c r="E139" s="796">
        <v>1253202</v>
      </c>
      <c r="F139" s="796">
        <v>-126760</v>
      </c>
      <c r="G139" s="796">
        <v>0</v>
      </c>
      <c r="H139" s="796">
        <v>1126442</v>
      </c>
      <c r="I139" s="796">
        <v>0</v>
      </c>
      <c r="J139" s="796">
        <v>0</v>
      </c>
      <c r="K139" s="796">
        <v>85</v>
      </c>
      <c r="L139" s="796">
        <v>1313308</v>
      </c>
      <c r="M139" s="796">
        <v>0</v>
      </c>
      <c r="N139" s="796">
        <v>224126</v>
      </c>
      <c r="O139" s="796">
        <v>224126</v>
      </c>
    </row>
    <row r="140" spans="1:15" x14ac:dyDescent="0.2">
      <c r="A140" s="532" t="s">
        <v>181</v>
      </c>
      <c r="B140" s="532" t="s">
        <v>1727</v>
      </c>
      <c r="C140" s="530" t="s">
        <v>180</v>
      </c>
      <c r="D140" s="530" t="s">
        <v>756</v>
      </c>
      <c r="E140" s="796">
        <v>2877227</v>
      </c>
      <c r="F140" s="796">
        <v>-150000</v>
      </c>
      <c r="G140" s="796">
        <v>-140600</v>
      </c>
      <c r="H140" s="796">
        <v>2586627</v>
      </c>
      <c r="I140" s="796">
        <v>0</v>
      </c>
      <c r="J140" s="796">
        <v>0</v>
      </c>
      <c r="K140" s="796">
        <v>-164283</v>
      </c>
      <c r="L140" s="796">
        <v>3677604</v>
      </c>
      <c r="M140" s="796">
        <v>0</v>
      </c>
      <c r="N140" s="796">
        <v>58976</v>
      </c>
      <c r="O140" s="796">
        <v>58976</v>
      </c>
    </row>
    <row r="141" spans="1:15" x14ac:dyDescent="0.2">
      <c r="A141" s="532" t="s">
        <v>181</v>
      </c>
      <c r="B141" s="532" t="s">
        <v>1728</v>
      </c>
      <c r="C141" s="530" t="s">
        <v>180</v>
      </c>
      <c r="D141" s="530" t="s">
        <v>757</v>
      </c>
      <c r="E141" s="796">
        <v>25462968</v>
      </c>
      <c r="F141" s="796">
        <v>-3079225</v>
      </c>
      <c r="G141" s="796">
        <v>-700000</v>
      </c>
      <c r="H141" s="796">
        <v>21683743</v>
      </c>
      <c r="I141" s="796">
        <v>0</v>
      </c>
      <c r="J141" s="796">
        <v>0</v>
      </c>
      <c r="K141" s="796">
        <v>-106320</v>
      </c>
      <c r="L141" s="796">
        <v>31508528</v>
      </c>
      <c r="M141" s="796">
        <v>0</v>
      </c>
      <c r="N141" s="796">
        <v>0</v>
      </c>
      <c r="O141" s="796">
        <v>0</v>
      </c>
    </row>
    <row r="142" spans="1:15" x14ac:dyDescent="0.2">
      <c r="A142" s="532" t="s">
        <v>183</v>
      </c>
      <c r="B142" s="532" t="s">
        <v>1729</v>
      </c>
      <c r="C142" s="530" t="s">
        <v>182</v>
      </c>
      <c r="D142" s="530" t="s">
        <v>927</v>
      </c>
      <c r="E142" s="796">
        <v>4548828</v>
      </c>
      <c r="F142" s="796">
        <v>-147893</v>
      </c>
      <c r="G142" s="796">
        <v>-208394</v>
      </c>
      <c r="H142" s="796">
        <v>4192541</v>
      </c>
      <c r="I142" s="796">
        <v>0</v>
      </c>
      <c r="J142" s="796">
        <v>0</v>
      </c>
      <c r="K142" s="796">
        <v>15942</v>
      </c>
      <c r="L142" s="796">
        <v>4846502</v>
      </c>
      <c r="M142" s="796">
        <v>0</v>
      </c>
      <c r="N142" s="796">
        <v>0</v>
      </c>
      <c r="O142" s="796">
        <v>0</v>
      </c>
    </row>
    <row r="143" spans="1:15" x14ac:dyDescent="0.2">
      <c r="A143" s="532" t="s">
        <v>185</v>
      </c>
      <c r="B143" s="532" t="s">
        <v>1730</v>
      </c>
      <c r="C143" s="530" t="s">
        <v>184</v>
      </c>
      <c r="D143" s="530" t="s">
        <v>928</v>
      </c>
      <c r="E143" s="796">
        <v>107175</v>
      </c>
      <c r="F143" s="796">
        <v>-1072</v>
      </c>
      <c r="G143" s="796">
        <v>0</v>
      </c>
      <c r="H143" s="796">
        <v>106103</v>
      </c>
      <c r="I143" s="796">
        <v>42339</v>
      </c>
      <c r="J143" s="796">
        <v>0</v>
      </c>
      <c r="K143" s="796">
        <v>0</v>
      </c>
      <c r="L143" s="796">
        <v>0</v>
      </c>
      <c r="M143" s="796">
        <v>63764</v>
      </c>
      <c r="N143" s="796">
        <v>55000</v>
      </c>
      <c r="O143" s="796">
        <v>55000</v>
      </c>
    </row>
    <row r="144" spans="1:15" x14ac:dyDescent="0.2">
      <c r="A144" s="532" t="s">
        <v>191</v>
      </c>
      <c r="B144" s="532" t="s">
        <v>1731</v>
      </c>
      <c r="C144" s="530" t="s">
        <v>190</v>
      </c>
      <c r="D144" s="530" t="s">
        <v>929</v>
      </c>
      <c r="E144" s="796">
        <v>6354856</v>
      </c>
      <c r="F144" s="796">
        <v>-395272</v>
      </c>
      <c r="G144" s="796">
        <v>-547337</v>
      </c>
      <c r="H144" s="796">
        <v>5412247</v>
      </c>
      <c r="I144" s="796">
        <v>0</v>
      </c>
      <c r="J144" s="796">
        <v>0</v>
      </c>
      <c r="K144" s="796">
        <v>0</v>
      </c>
      <c r="L144" s="796">
        <v>5759134</v>
      </c>
      <c r="M144" s="796">
        <v>0</v>
      </c>
      <c r="N144" s="796">
        <v>384536</v>
      </c>
      <c r="O144" s="796">
        <v>384536</v>
      </c>
    </row>
    <row r="145" spans="1:15" x14ac:dyDescent="0.2">
      <c r="A145" s="532" t="s">
        <v>191</v>
      </c>
      <c r="B145" s="532" t="s">
        <v>1732</v>
      </c>
      <c r="C145" s="530" t="s">
        <v>190</v>
      </c>
      <c r="D145" s="530" t="s">
        <v>930</v>
      </c>
      <c r="E145" s="796">
        <v>1397784</v>
      </c>
      <c r="F145" s="796">
        <v>-86942</v>
      </c>
      <c r="G145" s="796">
        <v>-120390</v>
      </c>
      <c r="H145" s="796">
        <v>1190452</v>
      </c>
      <c r="I145" s="796">
        <v>0</v>
      </c>
      <c r="J145" s="796">
        <v>0</v>
      </c>
      <c r="K145" s="796">
        <v>6412</v>
      </c>
      <c r="L145" s="796">
        <v>783747</v>
      </c>
      <c r="M145" s="796">
        <v>413117</v>
      </c>
      <c r="N145" s="796">
        <v>318774</v>
      </c>
      <c r="O145" s="796">
        <v>318774</v>
      </c>
    </row>
    <row r="146" spans="1:15" x14ac:dyDescent="0.2">
      <c r="A146" s="532" t="s">
        <v>191</v>
      </c>
      <c r="B146" s="532" t="s">
        <v>1733</v>
      </c>
      <c r="C146" s="530" t="s">
        <v>190</v>
      </c>
      <c r="D146" s="530" t="s">
        <v>931</v>
      </c>
      <c r="E146" s="796">
        <v>5145244</v>
      </c>
      <c r="F146" s="796">
        <v>-320034</v>
      </c>
      <c r="G146" s="796">
        <v>-443155</v>
      </c>
      <c r="H146" s="796">
        <v>4382055</v>
      </c>
      <c r="I146" s="796">
        <v>0</v>
      </c>
      <c r="J146" s="796">
        <v>0</v>
      </c>
      <c r="K146" s="796">
        <v>817</v>
      </c>
      <c r="L146" s="796">
        <v>5304584</v>
      </c>
      <c r="M146" s="796">
        <v>0</v>
      </c>
      <c r="N146" s="796">
        <v>76940</v>
      </c>
      <c r="O146" s="796">
        <v>76940</v>
      </c>
    </row>
    <row r="147" spans="1:15" x14ac:dyDescent="0.2">
      <c r="A147" s="532" t="s">
        <v>191</v>
      </c>
      <c r="B147" s="532" t="s">
        <v>1734</v>
      </c>
      <c r="C147" s="530" t="s">
        <v>190</v>
      </c>
      <c r="D147" s="530" t="s">
        <v>1007</v>
      </c>
      <c r="E147" s="796">
        <v>487675</v>
      </c>
      <c r="F147" s="796">
        <v>-30333</v>
      </c>
      <c r="G147" s="796">
        <v>-42003</v>
      </c>
      <c r="H147" s="796">
        <v>415339</v>
      </c>
      <c r="I147" s="796">
        <v>0</v>
      </c>
      <c r="J147" s="796">
        <v>0</v>
      </c>
      <c r="K147" s="796">
        <v>0</v>
      </c>
      <c r="L147" s="796">
        <v>737277</v>
      </c>
      <c r="M147" s="796">
        <v>0</v>
      </c>
      <c r="N147" s="796">
        <v>30813</v>
      </c>
      <c r="O147" s="796">
        <v>30813</v>
      </c>
    </row>
    <row r="148" spans="1:15" x14ac:dyDescent="0.2">
      <c r="A148" s="532" t="s">
        <v>195</v>
      </c>
      <c r="B148" s="532" t="s">
        <v>1735</v>
      </c>
      <c r="C148" s="530" t="s">
        <v>194</v>
      </c>
      <c r="D148" s="530" t="s">
        <v>932</v>
      </c>
      <c r="E148" s="796">
        <v>0</v>
      </c>
      <c r="F148" s="796">
        <v>0</v>
      </c>
      <c r="G148" s="796">
        <v>0</v>
      </c>
      <c r="H148" s="796">
        <v>0</v>
      </c>
      <c r="I148" s="796">
        <v>0</v>
      </c>
      <c r="J148" s="796">
        <v>0</v>
      </c>
      <c r="K148" s="796">
        <v>0</v>
      </c>
      <c r="L148" s="796">
        <v>11661</v>
      </c>
      <c r="M148" s="796">
        <v>0</v>
      </c>
      <c r="N148" s="796">
        <v>0</v>
      </c>
      <c r="O148" s="796">
        <v>0</v>
      </c>
    </row>
    <row r="149" spans="1:15" x14ac:dyDescent="0.2">
      <c r="A149" s="532" t="s">
        <v>205</v>
      </c>
      <c r="B149" s="532" t="s">
        <v>1737</v>
      </c>
      <c r="C149" s="530" t="s">
        <v>204</v>
      </c>
      <c r="D149" s="530" t="s">
        <v>934</v>
      </c>
      <c r="E149" s="796">
        <v>0</v>
      </c>
      <c r="F149" s="796">
        <v>0</v>
      </c>
      <c r="G149" s="796">
        <v>0</v>
      </c>
      <c r="H149" s="796">
        <v>0</v>
      </c>
      <c r="I149" s="796">
        <v>0</v>
      </c>
      <c r="J149" s="796">
        <v>0</v>
      </c>
      <c r="K149" s="796">
        <v>0</v>
      </c>
      <c r="L149" s="796">
        <v>0</v>
      </c>
      <c r="M149" s="796">
        <v>0</v>
      </c>
      <c r="N149" s="796">
        <v>0</v>
      </c>
      <c r="O149" s="796">
        <v>0</v>
      </c>
    </row>
    <row r="150" spans="1:15" x14ac:dyDescent="0.2">
      <c r="A150" s="532" t="s">
        <v>209</v>
      </c>
      <c r="B150" s="532" t="s">
        <v>1738</v>
      </c>
      <c r="C150" s="530" t="s">
        <v>208</v>
      </c>
      <c r="D150" s="530" t="s">
        <v>751</v>
      </c>
      <c r="E150" s="796">
        <v>207600</v>
      </c>
      <c r="F150" s="796">
        <v>0</v>
      </c>
      <c r="G150" s="796">
        <v>0</v>
      </c>
      <c r="H150" s="796">
        <v>207600</v>
      </c>
      <c r="I150" s="796">
        <v>0</v>
      </c>
      <c r="J150" s="796">
        <v>0</v>
      </c>
      <c r="K150" s="796">
        <v>0</v>
      </c>
      <c r="L150" s="796">
        <v>0</v>
      </c>
      <c r="M150" s="796">
        <v>207600</v>
      </c>
      <c r="N150" s="796">
        <v>55000</v>
      </c>
      <c r="O150" s="796">
        <v>55000</v>
      </c>
    </row>
    <row r="151" spans="1:15" x14ac:dyDescent="0.2">
      <c r="A151" s="532" t="s">
        <v>209</v>
      </c>
      <c r="B151" s="532" t="s">
        <v>1739</v>
      </c>
      <c r="C151" s="530" t="s">
        <v>208</v>
      </c>
      <c r="D151" s="530" t="s">
        <v>935</v>
      </c>
      <c r="E151" s="796">
        <v>2458895</v>
      </c>
      <c r="F151" s="796">
        <v>-100000</v>
      </c>
      <c r="G151" s="796">
        <v>-99000</v>
      </c>
      <c r="H151" s="796">
        <v>2259895</v>
      </c>
      <c r="I151" s="796">
        <v>0</v>
      </c>
      <c r="J151" s="796">
        <v>0</v>
      </c>
      <c r="K151" s="796">
        <v>-29037</v>
      </c>
      <c r="L151" s="796">
        <v>2978093</v>
      </c>
      <c r="M151" s="796">
        <v>0</v>
      </c>
      <c r="N151" s="796">
        <v>107609</v>
      </c>
      <c r="O151" s="796">
        <v>107609</v>
      </c>
    </row>
    <row r="152" spans="1:15" x14ac:dyDescent="0.2">
      <c r="A152" s="532" t="s">
        <v>217</v>
      </c>
      <c r="B152" s="532" t="s">
        <v>1740</v>
      </c>
      <c r="C152" s="530" t="s">
        <v>795</v>
      </c>
      <c r="D152" s="530" t="s">
        <v>758</v>
      </c>
      <c r="E152" s="796">
        <v>607196</v>
      </c>
      <c r="F152" s="796">
        <v>-10474</v>
      </c>
      <c r="G152" s="796">
        <v>-32232</v>
      </c>
      <c r="H152" s="796">
        <v>564490</v>
      </c>
      <c r="I152" s="796">
        <v>0</v>
      </c>
      <c r="J152" s="796">
        <v>0</v>
      </c>
      <c r="K152" s="796">
        <v>0</v>
      </c>
      <c r="L152" s="796">
        <v>91256</v>
      </c>
      <c r="M152" s="796">
        <v>473234</v>
      </c>
      <c r="N152" s="796">
        <v>0</v>
      </c>
      <c r="O152" s="796">
        <v>0</v>
      </c>
    </row>
    <row r="153" spans="1:15" x14ac:dyDescent="0.2">
      <c r="A153" s="532" t="s">
        <v>217</v>
      </c>
      <c r="B153" s="532" t="s">
        <v>1741</v>
      </c>
      <c r="C153" s="530" t="s">
        <v>795</v>
      </c>
      <c r="D153" s="530" t="s">
        <v>748</v>
      </c>
      <c r="E153" s="796">
        <v>8020581</v>
      </c>
      <c r="F153" s="796">
        <v>-148243</v>
      </c>
      <c r="G153" s="796">
        <v>-456155</v>
      </c>
      <c r="H153" s="796">
        <v>7416183</v>
      </c>
      <c r="I153" s="796">
        <v>0</v>
      </c>
      <c r="J153" s="796">
        <v>0</v>
      </c>
      <c r="K153" s="796">
        <v>-5452</v>
      </c>
      <c r="L153" s="796">
        <v>5550196</v>
      </c>
      <c r="M153" s="796">
        <v>1860535</v>
      </c>
      <c r="N153" s="796">
        <v>0</v>
      </c>
      <c r="O153" s="796">
        <v>0</v>
      </c>
    </row>
    <row r="154" spans="1:15" x14ac:dyDescent="0.2">
      <c r="A154" s="532" t="s">
        <v>217</v>
      </c>
      <c r="B154" s="532" t="s">
        <v>1742</v>
      </c>
      <c r="C154" s="530" t="s">
        <v>795</v>
      </c>
      <c r="D154" s="530" t="s">
        <v>937</v>
      </c>
      <c r="E154" s="796">
        <v>0</v>
      </c>
      <c r="F154" s="796">
        <v>0</v>
      </c>
      <c r="G154" s="796">
        <v>0</v>
      </c>
      <c r="H154" s="796">
        <v>0</v>
      </c>
      <c r="I154" s="796">
        <v>0</v>
      </c>
      <c r="J154" s="796">
        <v>0</v>
      </c>
      <c r="K154" s="796">
        <v>0</v>
      </c>
      <c r="L154" s="796">
        <v>0</v>
      </c>
      <c r="M154" s="796">
        <v>0</v>
      </c>
      <c r="N154" s="796">
        <v>0</v>
      </c>
      <c r="O154" s="796">
        <v>0</v>
      </c>
    </row>
    <row r="155" spans="1:15" x14ac:dyDescent="0.2">
      <c r="A155" s="532" t="s">
        <v>217</v>
      </c>
      <c r="B155" s="532" t="s">
        <v>1743</v>
      </c>
      <c r="C155" s="530" t="s">
        <v>795</v>
      </c>
      <c r="D155" s="530" t="s">
        <v>938</v>
      </c>
      <c r="E155" s="796">
        <v>0</v>
      </c>
      <c r="F155" s="796">
        <v>0</v>
      </c>
      <c r="G155" s="796">
        <v>0</v>
      </c>
      <c r="H155" s="796">
        <v>0</v>
      </c>
      <c r="I155" s="796">
        <v>0</v>
      </c>
      <c r="J155" s="796">
        <v>0</v>
      </c>
      <c r="K155" s="796">
        <v>0</v>
      </c>
      <c r="L155" s="796">
        <v>0</v>
      </c>
      <c r="M155" s="796">
        <v>0</v>
      </c>
      <c r="N155" s="796">
        <v>0</v>
      </c>
      <c r="O155" s="796">
        <v>0</v>
      </c>
    </row>
    <row r="156" spans="1:15" x14ac:dyDescent="0.2">
      <c r="A156" s="532" t="s">
        <v>219</v>
      </c>
      <c r="B156" s="532" t="s">
        <v>1744</v>
      </c>
      <c r="C156" s="530" t="s">
        <v>218</v>
      </c>
      <c r="D156" s="530" t="s">
        <v>936</v>
      </c>
      <c r="E156" s="796">
        <v>0</v>
      </c>
      <c r="F156" s="796">
        <v>0</v>
      </c>
      <c r="G156" s="796">
        <v>0</v>
      </c>
      <c r="H156" s="796">
        <v>0</v>
      </c>
      <c r="I156" s="796">
        <v>0</v>
      </c>
      <c r="J156" s="796">
        <v>0</v>
      </c>
      <c r="K156" s="796">
        <v>0</v>
      </c>
      <c r="L156" s="796">
        <v>0</v>
      </c>
      <c r="M156" s="796">
        <v>0</v>
      </c>
      <c r="N156" s="796">
        <v>0</v>
      </c>
      <c r="O156" s="796">
        <v>0</v>
      </c>
    </row>
    <row r="157" spans="1:15" x14ac:dyDescent="0.2">
      <c r="A157" s="532" t="s">
        <v>221</v>
      </c>
      <c r="B157" s="532" t="s">
        <v>1745</v>
      </c>
      <c r="C157" s="530" t="s">
        <v>220</v>
      </c>
      <c r="D157" s="530" t="s">
        <v>759</v>
      </c>
      <c r="E157" s="796">
        <v>4400878</v>
      </c>
      <c r="F157" s="796">
        <v>0</v>
      </c>
      <c r="G157" s="796">
        <v>0</v>
      </c>
      <c r="H157" s="796">
        <v>4400878</v>
      </c>
      <c r="I157" s="796">
        <v>0</v>
      </c>
      <c r="J157" s="796">
        <v>0</v>
      </c>
      <c r="K157" s="796">
        <v>2110</v>
      </c>
      <c r="L157" s="796">
        <v>247182</v>
      </c>
      <c r="M157" s="796">
        <v>4155806</v>
      </c>
      <c r="N157" s="796">
        <v>166422</v>
      </c>
      <c r="O157" s="796">
        <v>166422</v>
      </c>
    </row>
    <row r="158" spans="1:15" x14ac:dyDescent="0.2">
      <c r="A158" s="532" t="s">
        <v>227</v>
      </c>
      <c r="B158" s="532" t="s">
        <v>1746</v>
      </c>
      <c r="C158" s="530" t="s">
        <v>226</v>
      </c>
      <c r="D158" s="530" t="s">
        <v>744</v>
      </c>
      <c r="E158" s="796">
        <v>50165</v>
      </c>
      <c r="F158" s="796">
        <v>0</v>
      </c>
      <c r="G158" s="796">
        <v>0</v>
      </c>
      <c r="H158" s="796">
        <v>50165</v>
      </c>
      <c r="I158" s="796">
        <v>0</v>
      </c>
      <c r="J158" s="796">
        <v>0</v>
      </c>
      <c r="K158" s="796">
        <v>0</v>
      </c>
      <c r="L158" s="796">
        <v>0</v>
      </c>
      <c r="M158" s="796">
        <v>50165</v>
      </c>
      <c r="N158" s="796">
        <v>103310</v>
      </c>
      <c r="O158" s="796">
        <v>103310</v>
      </c>
    </row>
    <row r="159" spans="1:15" x14ac:dyDescent="0.2">
      <c r="A159" s="532" t="s">
        <v>227</v>
      </c>
      <c r="B159" s="532" t="s">
        <v>1747</v>
      </c>
      <c r="C159" s="530" t="s">
        <v>226</v>
      </c>
      <c r="D159" s="530" t="s">
        <v>745</v>
      </c>
      <c r="E159" s="796">
        <v>0</v>
      </c>
      <c r="F159" s="796">
        <v>0</v>
      </c>
      <c r="G159" s="796">
        <v>0</v>
      </c>
      <c r="H159" s="796">
        <v>0</v>
      </c>
      <c r="I159" s="796">
        <v>0</v>
      </c>
      <c r="J159" s="796">
        <v>0</v>
      </c>
      <c r="K159" s="796">
        <v>0</v>
      </c>
      <c r="L159" s="796">
        <v>0</v>
      </c>
      <c r="M159" s="796">
        <v>0</v>
      </c>
      <c r="N159" s="796">
        <v>0</v>
      </c>
      <c r="O159" s="796">
        <v>0</v>
      </c>
    </row>
    <row r="160" spans="1:15" x14ac:dyDescent="0.2">
      <c r="A160" s="532" t="s">
        <v>227</v>
      </c>
      <c r="B160" s="532" t="s">
        <v>1748</v>
      </c>
      <c r="C160" s="530" t="s">
        <v>226</v>
      </c>
      <c r="D160" s="530" t="s">
        <v>939</v>
      </c>
      <c r="E160" s="796">
        <v>0</v>
      </c>
      <c r="F160" s="796">
        <v>0</v>
      </c>
      <c r="G160" s="796">
        <v>0</v>
      </c>
      <c r="H160" s="796">
        <v>0</v>
      </c>
      <c r="I160" s="796">
        <v>0</v>
      </c>
      <c r="J160" s="796">
        <v>0</v>
      </c>
      <c r="K160" s="796">
        <v>0</v>
      </c>
      <c r="L160" s="796">
        <v>0</v>
      </c>
      <c r="M160" s="796">
        <v>0</v>
      </c>
      <c r="N160" s="796">
        <v>0</v>
      </c>
      <c r="O160" s="796">
        <v>0</v>
      </c>
    </row>
    <row r="161" spans="1:15" x14ac:dyDescent="0.2">
      <c r="A161" s="532" t="s">
        <v>227</v>
      </c>
      <c r="B161" s="532" t="s">
        <v>1749</v>
      </c>
      <c r="C161" s="530" t="s">
        <v>226</v>
      </c>
      <c r="D161" s="530" t="s">
        <v>940</v>
      </c>
      <c r="E161" s="796">
        <v>0</v>
      </c>
      <c r="F161" s="796">
        <v>0</v>
      </c>
      <c r="G161" s="796">
        <v>0</v>
      </c>
      <c r="H161" s="796">
        <v>0</v>
      </c>
      <c r="I161" s="796">
        <v>0</v>
      </c>
      <c r="J161" s="796">
        <v>0</v>
      </c>
      <c r="K161" s="796">
        <v>0</v>
      </c>
      <c r="L161" s="796">
        <v>0</v>
      </c>
      <c r="M161" s="796">
        <v>0</v>
      </c>
      <c r="N161" s="796">
        <v>0</v>
      </c>
      <c r="O161" s="796">
        <v>0</v>
      </c>
    </row>
    <row r="162" spans="1:15" x14ac:dyDescent="0.2">
      <c r="A162" s="532" t="s">
        <v>227</v>
      </c>
      <c r="B162" s="532" t="s">
        <v>1750</v>
      </c>
      <c r="C162" s="530" t="s">
        <v>226</v>
      </c>
      <c r="D162" s="530" t="s">
        <v>941</v>
      </c>
      <c r="E162" s="796">
        <v>0</v>
      </c>
      <c r="F162" s="796">
        <v>0</v>
      </c>
      <c r="G162" s="796">
        <v>0</v>
      </c>
      <c r="H162" s="796">
        <v>0</v>
      </c>
      <c r="I162" s="796">
        <v>0</v>
      </c>
      <c r="J162" s="796">
        <v>0</v>
      </c>
      <c r="K162" s="796">
        <v>0</v>
      </c>
      <c r="L162" s="796">
        <v>0</v>
      </c>
      <c r="M162" s="796">
        <v>0</v>
      </c>
      <c r="N162" s="796">
        <v>0</v>
      </c>
      <c r="O162" s="796">
        <v>0</v>
      </c>
    </row>
    <row r="163" spans="1:15" x14ac:dyDescent="0.2">
      <c r="A163" s="532" t="s">
        <v>227</v>
      </c>
      <c r="B163" s="532" t="s">
        <v>1751</v>
      </c>
      <c r="C163" s="530" t="s">
        <v>226</v>
      </c>
      <c r="D163" s="530" t="s">
        <v>942</v>
      </c>
      <c r="E163" s="796">
        <v>0</v>
      </c>
      <c r="F163" s="796">
        <v>0</v>
      </c>
      <c r="G163" s="796">
        <v>0</v>
      </c>
      <c r="H163" s="796">
        <v>0</v>
      </c>
      <c r="I163" s="796">
        <v>0</v>
      </c>
      <c r="J163" s="796">
        <v>0</v>
      </c>
      <c r="K163" s="796">
        <v>0</v>
      </c>
      <c r="L163" s="796">
        <v>0</v>
      </c>
      <c r="M163" s="796">
        <v>0</v>
      </c>
      <c r="N163" s="796">
        <v>44544</v>
      </c>
      <c r="O163" s="796">
        <v>44544</v>
      </c>
    </row>
    <row r="164" spans="1:15" x14ac:dyDescent="0.2">
      <c r="A164" s="532" t="s">
        <v>227</v>
      </c>
      <c r="B164" s="532" t="s">
        <v>1752</v>
      </c>
      <c r="C164" s="530" t="s">
        <v>226</v>
      </c>
      <c r="D164" s="530" t="s">
        <v>943</v>
      </c>
      <c r="E164" s="796">
        <v>0</v>
      </c>
      <c r="F164" s="796">
        <v>0</v>
      </c>
      <c r="G164" s="796">
        <v>0</v>
      </c>
      <c r="H164" s="796">
        <v>0</v>
      </c>
      <c r="I164" s="796">
        <v>0</v>
      </c>
      <c r="J164" s="796">
        <v>0</v>
      </c>
      <c r="K164" s="796">
        <v>0</v>
      </c>
      <c r="L164" s="796">
        <v>0</v>
      </c>
      <c r="M164" s="796">
        <v>0</v>
      </c>
      <c r="N164" s="796">
        <v>0</v>
      </c>
      <c r="O164" s="796">
        <v>0</v>
      </c>
    </row>
    <row r="165" spans="1:15" x14ac:dyDescent="0.2">
      <c r="A165" s="532" t="s">
        <v>227</v>
      </c>
      <c r="B165" s="532" t="s">
        <v>1753</v>
      </c>
      <c r="C165" s="530" t="s">
        <v>226</v>
      </c>
      <c r="D165" s="530" t="s">
        <v>944</v>
      </c>
      <c r="E165" s="796">
        <v>0</v>
      </c>
      <c r="F165" s="796">
        <v>0</v>
      </c>
      <c r="G165" s="796">
        <v>0</v>
      </c>
      <c r="H165" s="796">
        <v>0</v>
      </c>
      <c r="I165" s="796">
        <v>0</v>
      </c>
      <c r="J165" s="796">
        <v>0</v>
      </c>
      <c r="K165" s="796">
        <v>0</v>
      </c>
      <c r="L165" s="796">
        <v>0</v>
      </c>
      <c r="M165" s="796">
        <v>0</v>
      </c>
      <c r="N165" s="796">
        <v>0</v>
      </c>
      <c r="O165" s="796">
        <v>0</v>
      </c>
    </row>
    <row r="166" spans="1:15" x14ac:dyDescent="0.2">
      <c r="A166" s="532" t="s">
        <v>233</v>
      </c>
      <c r="B166" s="532" t="s">
        <v>1754</v>
      </c>
      <c r="C166" s="530" t="s">
        <v>232</v>
      </c>
      <c r="D166" s="530" t="s">
        <v>745</v>
      </c>
      <c r="E166" s="796">
        <v>1606656</v>
      </c>
      <c r="F166" s="796">
        <v>0</v>
      </c>
      <c r="G166" s="796">
        <v>0</v>
      </c>
      <c r="H166" s="796">
        <v>1606656</v>
      </c>
      <c r="I166" s="796">
        <v>0</v>
      </c>
      <c r="J166" s="796">
        <v>0</v>
      </c>
      <c r="K166" s="796">
        <v>0</v>
      </c>
      <c r="L166" s="796">
        <v>962687</v>
      </c>
      <c r="M166" s="796">
        <v>643969</v>
      </c>
      <c r="N166" s="796">
        <v>0</v>
      </c>
      <c r="O166" s="796">
        <v>0</v>
      </c>
    </row>
    <row r="167" spans="1:15" x14ac:dyDescent="0.2">
      <c r="A167" s="532" t="s">
        <v>233</v>
      </c>
      <c r="B167" s="532" t="s">
        <v>1755</v>
      </c>
      <c r="C167" s="530" t="s">
        <v>232</v>
      </c>
      <c r="D167" s="530" t="s">
        <v>945</v>
      </c>
      <c r="E167" s="796">
        <v>1009942</v>
      </c>
      <c r="F167" s="796">
        <v>0</v>
      </c>
      <c r="G167" s="796">
        <v>0</v>
      </c>
      <c r="H167" s="796">
        <v>1009942</v>
      </c>
      <c r="I167" s="796">
        <v>0</v>
      </c>
      <c r="J167" s="796">
        <v>0</v>
      </c>
      <c r="K167" s="796">
        <v>0</v>
      </c>
      <c r="L167" s="796">
        <v>19228</v>
      </c>
      <c r="M167" s="796">
        <v>990714</v>
      </c>
      <c r="N167" s="796">
        <v>84328</v>
      </c>
      <c r="O167" s="796">
        <v>84328</v>
      </c>
    </row>
    <row r="168" spans="1:15" x14ac:dyDescent="0.2">
      <c r="A168" s="532" t="s">
        <v>235</v>
      </c>
      <c r="B168" s="532" t="s">
        <v>1756</v>
      </c>
      <c r="C168" s="530" t="s">
        <v>234</v>
      </c>
      <c r="D168" s="530" t="s">
        <v>946</v>
      </c>
      <c r="E168" s="796">
        <v>0</v>
      </c>
      <c r="F168" s="796">
        <v>0</v>
      </c>
      <c r="G168" s="796">
        <v>0</v>
      </c>
      <c r="H168" s="796">
        <v>0</v>
      </c>
      <c r="I168" s="796">
        <v>0</v>
      </c>
      <c r="J168" s="796">
        <v>0</v>
      </c>
      <c r="K168" s="796">
        <v>0</v>
      </c>
      <c r="L168" s="796">
        <v>0</v>
      </c>
      <c r="M168" s="796">
        <v>0</v>
      </c>
      <c r="N168" s="796">
        <v>298733</v>
      </c>
      <c r="O168" s="796">
        <v>298733</v>
      </c>
    </row>
    <row r="169" spans="1:15" x14ac:dyDescent="0.2">
      <c r="A169" s="532" t="s">
        <v>235</v>
      </c>
      <c r="B169" s="532" t="s">
        <v>1757</v>
      </c>
      <c r="C169" s="530" t="s">
        <v>234</v>
      </c>
      <c r="D169" s="530" t="s">
        <v>947</v>
      </c>
      <c r="E169" s="796">
        <v>0</v>
      </c>
      <c r="F169" s="796">
        <v>0</v>
      </c>
      <c r="G169" s="796">
        <v>0</v>
      </c>
      <c r="H169" s="796">
        <v>0</v>
      </c>
      <c r="I169" s="796">
        <v>0</v>
      </c>
      <c r="J169" s="796">
        <v>0</v>
      </c>
      <c r="K169" s="796">
        <v>0</v>
      </c>
      <c r="L169" s="796">
        <v>0</v>
      </c>
      <c r="M169" s="796">
        <v>0</v>
      </c>
      <c r="N169" s="796">
        <v>0</v>
      </c>
      <c r="O169" s="796">
        <v>0</v>
      </c>
    </row>
    <row r="170" spans="1:15" x14ac:dyDescent="0.2">
      <c r="A170" s="532" t="s">
        <v>237</v>
      </c>
      <c r="B170" s="532" t="s">
        <v>1758</v>
      </c>
      <c r="C170" s="530" t="s">
        <v>236</v>
      </c>
      <c r="D170" s="530" t="s">
        <v>739</v>
      </c>
      <c r="E170" s="796">
        <v>1011540</v>
      </c>
      <c r="F170" s="796">
        <v>-9259</v>
      </c>
      <c r="G170" s="796">
        <v>-47542</v>
      </c>
      <c r="H170" s="796">
        <v>954739</v>
      </c>
      <c r="I170" s="796">
        <v>0</v>
      </c>
      <c r="J170" s="796">
        <v>0</v>
      </c>
      <c r="K170" s="796">
        <v>-26925</v>
      </c>
      <c r="L170" s="796">
        <v>197047</v>
      </c>
      <c r="M170" s="796">
        <v>730767</v>
      </c>
      <c r="N170" s="796">
        <v>0</v>
      </c>
      <c r="O170" s="796">
        <v>0</v>
      </c>
    </row>
    <row r="171" spans="1:15" x14ac:dyDescent="0.2">
      <c r="A171" s="532" t="s">
        <v>239</v>
      </c>
      <c r="B171" s="532" t="s">
        <v>1759</v>
      </c>
      <c r="C171" s="530" t="s">
        <v>238</v>
      </c>
      <c r="D171" s="530" t="s">
        <v>760</v>
      </c>
      <c r="E171" s="796">
        <v>744248</v>
      </c>
      <c r="F171" s="796">
        <v>0</v>
      </c>
      <c r="G171" s="796">
        <v>0</v>
      </c>
      <c r="H171" s="796">
        <v>744248</v>
      </c>
      <c r="I171" s="796">
        <v>0</v>
      </c>
      <c r="J171" s="796">
        <v>0</v>
      </c>
      <c r="K171" s="796">
        <v>6328</v>
      </c>
      <c r="L171" s="796">
        <v>623619</v>
      </c>
      <c r="M171" s="796">
        <v>126957</v>
      </c>
      <c r="N171" s="796">
        <v>6239</v>
      </c>
      <c r="O171" s="796">
        <v>6239</v>
      </c>
    </row>
    <row r="172" spans="1:15" x14ac:dyDescent="0.2">
      <c r="A172" s="532" t="s">
        <v>249</v>
      </c>
      <c r="B172" s="532" t="s">
        <v>1760</v>
      </c>
      <c r="C172" s="530" t="s">
        <v>248</v>
      </c>
      <c r="D172" s="530" t="s">
        <v>762</v>
      </c>
      <c r="E172" s="796">
        <v>289191</v>
      </c>
      <c r="F172" s="796">
        <v>0</v>
      </c>
      <c r="G172" s="796">
        <v>0</v>
      </c>
      <c r="H172" s="796">
        <v>289191</v>
      </c>
      <c r="I172" s="796">
        <v>0</v>
      </c>
      <c r="J172" s="796">
        <v>0</v>
      </c>
      <c r="K172" s="796">
        <v>0</v>
      </c>
      <c r="L172" s="796">
        <v>15539</v>
      </c>
      <c r="M172" s="796">
        <v>273652</v>
      </c>
      <c r="N172" s="796">
        <v>24700</v>
      </c>
      <c r="O172" s="796">
        <v>24700</v>
      </c>
    </row>
    <row r="173" spans="1:15" x14ac:dyDescent="0.2">
      <c r="A173" s="532" t="s">
        <v>249</v>
      </c>
      <c r="B173" s="532" t="s">
        <v>1761</v>
      </c>
      <c r="C173" s="530" t="s">
        <v>248</v>
      </c>
      <c r="D173" s="530" t="s">
        <v>948</v>
      </c>
      <c r="E173" s="796">
        <v>0</v>
      </c>
      <c r="F173" s="796">
        <v>0</v>
      </c>
      <c r="G173" s="796">
        <v>0</v>
      </c>
      <c r="H173" s="796">
        <v>0</v>
      </c>
      <c r="I173" s="796">
        <v>0</v>
      </c>
      <c r="J173" s="796">
        <v>0</v>
      </c>
      <c r="K173" s="796">
        <v>0</v>
      </c>
      <c r="L173" s="796">
        <v>0</v>
      </c>
      <c r="M173" s="796">
        <v>0</v>
      </c>
      <c r="N173" s="796">
        <v>0</v>
      </c>
      <c r="O173" s="796">
        <v>0</v>
      </c>
    </row>
    <row r="174" spans="1:15" x14ac:dyDescent="0.2">
      <c r="A174" s="532" t="s">
        <v>249</v>
      </c>
      <c r="B174" s="532" t="s">
        <v>1762</v>
      </c>
      <c r="C174" s="530" t="s">
        <v>248</v>
      </c>
      <c r="D174" s="530" t="s">
        <v>949</v>
      </c>
      <c r="E174" s="796">
        <v>0</v>
      </c>
      <c r="F174" s="796">
        <v>0</v>
      </c>
      <c r="G174" s="796">
        <v>0</v>
      </c>
      <c r="H174" s="796">
        <v>0</v>
      </c>
      <c r="I174" s="796">
        <v>0</v>
      </c>
      <c r="J174" s="796">
        <v>0</v>
      </c>
      <c r="K174" s="796">
        <v>0</v>
      </c>
      <c r="L174" s="796">
        <v>0</v>
      </c>
      <c r="M174" s="796">
        <v>0</v>
      </c>
      <c r="N174" s="796">
        <v>0</v>
      </c>
      <c r="O174" s="796">
        <v>0</v>
      </c>
    </row>
    <row r="175" spans="1:15" x14ac:dyDescent="0.2">
      <c r="A175" s="532" t="s">
        <v>249</v>
      </c>
      <c r="B175" s="532" t="s">
        <v>1763</v>
      </c>
      <c r="C175" s="530" t="s">
        <v>248</v>
      </c>
      <c r="D175" s="530" t="s">
        <v>950</v>
      </c>
      <c r="E175" s="796">
        <v>9644</v>
      </c>
      <c r="F175" s="796">
        <v>0</v>
      </c>
      <c r="G175" s="796">
        <v>0</v>
      </c>
      <c r="H175" s="796">
        <v>9644</v>
      </c>
      <c r="I175" s="796">
        <v>0</v>
      </c>
      <c r="J175" s="796">
        <v>0</v>
      </c>
      <c r="K175" s="796">
        <v>0</v>
      </c>
      <c r="L175" s="796">
        <v>21265</v>
      </c>
      <c r="M175" s="796">
        <v>0</v>
      </c>
      <c r="N175" s="796">
        <v>42278</v>
      </c>
      <c r="O175" s="796">
        <v>42278</v>
      </c>
    </row>
    <row r="176" spans="1:15" x14ac:dyDescent="0.2">
      <c r="A176" s="532" t="s">
        <v>253</v>
      </c>
      <c r="B176" s="532" t="s">
        <v>1764</v>
      </c>
      <c r="C176" s="530" t="s">
        <v>252</v>
      </c>
      <c r="D176" s="530" t="s">
        <v>763</v>
      </c>
      <c r="E176" s="796">
        <v>4138072</v>
      </c>
      <c r="F176" s="796">
        <v>0</v>
      </c>
      <c r="G176" s="796">
        <v>0</v>
      </c>
      <c r="H176" s="796">
        <v>4138072</v>
      </c>
      <c r="I176" s="796">
        <v>0</v>
      </c>
      <c r="J176" s="796">
        <v>0</v>
      </c>
      <c r="K176" s="796">
        <v>0</v>
      </c>
      <c r="L176" s="796">
        <v>4262382</v>
      </c>
      <c r="M176" s="796">
        <v>0</v>
      </c>
      <c r="N176" s="796">
        <v>0</v>
      </c>
      <c r="O176" s="796">
        <v>0</v>
      </c>
    </row>
    <row r="177" spans="1:15" x14ac:dyDescent="0.2">
      <c r="A177" s="532" t="s">
        <v>253</v>
      </c>
      <c r="B177" s="532" t="s">
        <v>1765</v>
      </c>
      <c r="C177" s="530" t="s">
        <v>252</v>
      </c>
      <c r="D177" s="530" t="s">
        <v>764</v>
      </c>
      <c r="E177" s="796">
        <v>6831250</v>
      </c>
      <c r="F177" s="796">
        <v>-210000</v>
      </c>
      <c r="G177" s="796">
        <v>-280000</v>
      </c>
      <c r="H177" s="796">
        <v>6341250</v>
      </c>
      <c r="I177" s="796">
        <v>0</v>
      </c>
      <c r="J177" s="796">
        <v>0</v>
      </c>
      <c r="K177" s="796">
        <v>10746</v>
      </c>
      <c r="L177" s="796">
        <v>7448354</v>
      </c>
      <c r="M177" s="796">
        <v>0</v>
      </c>
      <c r="N177" s="796">
        <v>0</v>
      </c>
      <c r="O177" s="796">
        <v>0</v>
      </c>
    </row>
    <row r="178" spans="1:15" x14ac:dyDescent="0.2">
      <c r="A178" s="532" t="s">
        <v>266</v>
      </c>
      <c r="B178" s="532" t="s">
        <v>1766</v>
      </c>
      <c r="C178" s="530" t="s">
        <v>265</v>
      </c>
      <c r="D178" s="530" t="s">
        <v>951</v>
      </c>
      <c r="E178" s="796">
        <v>5240</v>
      </c>
      <c r="F178" s="796">
        <v>0</v>
      </c>
      <c r="G178" s="796">
        <v>0</v>
      </c>
      <c r="H178" s="796">
        <v>5240</v>
      </c>
      <c r="I178" s="796">
        <v>0</v>
      </c>
      <c r="J178" s="796">
        <v>0</v>
      </c>
      <c r="K178" s="796">
        <v>0</v>
      </c>
      <c r="L178" s="796">
        <v>565889</v>
      </c>
      <c r="M178" s="796">
        <v>0</v>
      </c>
      <c r="N178" s="796">
        <v>15469</v>
      </c>
      <c r="O178" s="796">
        <v>15469</v>
      </c>
    </row>
    <row r="179" spans="1:15" x14ac:dyDescent="0.2">
      <c r="A179" s="532" t="s">
        <v>274</v>
      </c>
      <c r="B179" s="532" t="s">
        <v>1768</v>
      </c>
      <c r="C179" s="530" t="s">
        <v>273</v>
      </c>
      <c r="D179" s="530" t="s">
        <v>751</v>
      </c>
      <c r="E179" s="796">
        <v>1886141</v>
      </c>
      <c r="F179" s="796">
        <v>0</v>
      </c>
      <c r="G179" s="796">
        <v>-39609</v>
      </c>
      <c r="H179" s="796">
        <v>1846532</v>
      </c>
      <c r="I179" s="796">
        <v>0</v>
      </c>
      <c r="J179" s="796">
        <v>0</v>
      </c>
      <c r="K179" s="796">
        <v>0</v>
      </c>
      <c r="L179" s="796">
        <v>0</v>
      </c>
      <c r="M179" s="796">
        <v>1846532</v>
      </c>
      <c r="N179" s="796">
        <v>0</v>
      </c>
      <c r="O179" s="796">
        <v>0</v>
      </c>
    </row>
    <row r="180" spans="1:15" x14ac:dyDescent="0.2">
      <c r="A180" s="532" t="s">
        <v>274</v>
      </c>
      <c r="B180" s="532" t="s">
        <v>1829</v>
      </c>
      <c r="C180" s="530" t="s">
        <v>273</v>
      </c>
      <c r="D180" s="531" t="s">
        <v>1147</v>
      </c>
      <c r="E180" s="796">
        <v>0</v>
      </c>
      <c r="F180" s="796">
        <v>0</v>
      </c>
      <c r="G180" s="796">
        <v>0</v>
      </c>
      <c r="H180" s="796">
        <v>0</v>
      </c>
      <c r="I180" s="796">
        <v>0</v>
      </c>
      <c r="J180" s="796">
        <v>0</v>
      </c>
      <c r="K180" s="796">
        <v>0</v>
      </c>
      <c r="L180" s="796">
        <v>6927193</v>
      </c>
      <c r="M180" s="796">
        <v>0</v>
      </c>
      <c r="N180" s="796">
        <v>0</v>
      </c>
      <c r="O180" s="796">
        <v>0</v>
      </c>
    </row>
    <row r="181" spans="1:15" x14ac:dyDescent="0.2">
      <c r="A181" s="532" t="s">
        <v>280</v>
      </c>
      <c r="B181" s="532" t="s">
        <v>1769</v>
      </c>
      <c r="C181" s="530" t="s">
        <v>279</v>
      </c>
      <c r="D181" s="530" t="s">
        <v>747</v>
      </c>
      <c r="E181" s="796">
        <v>2232320</v>
      </c>
      <c r="F181" s="796">
        <v>-22323</v>
      </c>
      <c r="G181" s="796">
        <v>-66969</v>
      </c>
      <c r="H181" s="796">
        <v>2143028</v>
      </c>
      <c r="I181" s="796">
        <v>49562</v>
      </c>
      <c r="J181" s="796">
        <v>0</v>
      </c>
      <c r="K181" s="796">
        <v>0</v>
      </c>
      <c r="L181" s="796">
        <v>1970354</v>
      </c>
      <c r="M181" s="796">
        <v>123112</v>
      </c>
      <c r="N181" s="796">
        <v>0</v>
      </c>
      <c r="O181" s="796">
        <v>0</v>
      </c>
    </row>
    <row r="182" spans="1:15" x14ac:dyDescent="0.2">
      <c r="A182" s="532" t="s">
        <v>294</v>
      </c>
      <c r="B182" s="532" t="s">
        <v>1770</v>
      </c>
      <c r="C182" s="530" t="s">
        <v>293</v>
      </c>
      <c r="D182" s="530" t="s">
        <v>742</v>
      </c>
      <c r="E182" s="796">
        <v>960775</v>
      </c>
      <c r="F182" s="796">
        <v>0</v>
      </c>
      <c r="G182" s="796">
        <v>0</v>
      </c>
      <c r="H182" s="796">
        <v>960775</v>
      </c>
      <c r="I182" s="796">
        <v>0</v>
      </c>
      <c r="J182" s="796">
        <v>0</v>
      </c>
      <c r="K182" s="796">
        <v>0</v>
      </c>
      <c r="L182" s="796">
        <v>344390</v>
      </c>
      <c r="M182" s="796">
        <v>616385</v>
      </c>
      <c r="N182" s="796">
        <v>104809</v>
      </c>
      <c r="O182" s="796">
        <v>104809</v>
      </c>
    </row>
    <row r="183" spans="1:15" x14ac:dyDescent="0.2">
      <c r="A183" s="532" t="s">
        <v>298</v>
      </c>
      <c r="B183" s="532" t="s">
        <v>1771</v>
      </c>
      <c r="C183" s="530" t="s">
        <v>297</v>
      </c>
      <c r="D183" s="530" t="s">
        <v>953</v>
      </c>
      <c r="E183" s="796">
        <v>751993</v>
      </c>
      <c r="F183" s="796">
        <v>0</v>
      </c>
      <c r="G183" s="796">
        <v>0</v>
      </c>
      <c r="H183" s="796">
        <v>751993</v>
      </c>
      <c r="I183" s="796">
        <v>0</v>
      </c>
      <c r="J183" s="796">
        <v>0</v>
      </c>
      <c r="K183" s="796">
        <v>0</v>
      </c>
      <c r="L183" s="796">
        <v>645360</v>
      </c>
      <c r="M183" s="796">
        <v>106633</v>
      </c>
      <c r="N183" s="796">
        <v>0</v>
      </c>
      <c r="O183" s="796">
        <v>0</v>
      </c>
    </row>
    <row r="184" spans="1:15" x14ac:dyDescent="0.2">
      <c r="A184" s="532" t="s">
        <v>313</v>
      </c>
      <c r="B184" s="532" t="s">
        <v>1772</v>
      </c>
      <c r="C184" s="530" t="s">
        <v>312</v>
      </c>
      <c r="D184" s="530" t="s">
        <v>954</v>
      </c>
      <c r="E184" s="796">
        <v>18944</v>
      </c>
      <c r="F184" s="796">
        <v>0</v>
      </c>
      <c r="G184" s="796">
        <v>0</v>
      </c>
      <c r="H184" s="796">
        <v>18944</v>
      </c>
      <c r="I184" s="796">
        <v>0</v>
      </c>
      <c r="J184" s="796">
        <v>0</v>
      </c>
      <c r="K184" s="796">
        <v>0</v>
      </c>
      <c r="L184" s="796">
        <v>22210</v>
      </c>
      <c r="M184" s="796">
        <v>0</v>
      </c>
      <c r="N184" s="796">
        <v>0</v>
      </c>
      <c r="O184" s="796">
        <v>0</v>
      </c>
    </row>
    <row r="185" spans="1:15" x14ac:dyDescent="0.2">
      <c r="A185" s="532" t="s">
        <v>321</v>
      </c>
      <c r="B185" s="532" t="s">
        <v>1773</v>
      </c>
      <c r="C185" s="530" t="s">
        <v>320</v>
      </c>
      <c r="D185" s="530" t="s">
        <v>742</v>
      </c>
      <c r="E185" s="796">
        <v>2517535</v>
      </c>
      <c r="F185" s="796">
        <v>-10000</v>
      </c>
      <c r="G185" s="796">
        <v>0</v>
      </c>
      <c r="H185" s="796">
        <v>2507535</v>
      </c>
      <c r="I185" s="796">
        <v>0</v>
      </c>
      <c r="J185" s="796">
        <v>0</v>
      </c>
      <c r="K185" s="796">
        <v>0</v>
      </c>
      <c r="L185" s="796">
        <v>1829529</v>
      </c>
      <c r="M185" s="796">
        <v>678006</v>
      </c>
      <c r="N185" s="796">
        <v>0</v>
      </c>
      <c r="O185" s="796">
        <v>0</v>
      </c>
    </row>
    <row r="186" spans="1:15" x14ac:dyDescent="0.2">
      <c r="A186" s="532" t="s">
        <v>321</v>
      </c>
      <c r="B186" s="532" t="s">
        <v>1774</v>
      </c>
      <c r="C186" s="530" t="s">
        <v>320</v>
      </c>
      <c r="D186" s="530" t="s">
        <v>748</v>
      </c>
      <c r="E186" s="796">
        <v>1737981</v>
      </c>
      <c r="F186" s="796">
        <v>0</v>
      </c>
      <c r="G186" s="796">
        <v>0</v>
      </c>
      <c r="H186" s="796">
        <v>1737981</v>
      </c>
      <c r="I186" s="796">
        <v>0</v>
      </c>
      <c r="J186" s="796">
        <v>0</v>
      </c>
      <c r="K186" s="796">
        <v>0</v>
      </c>
      <c r="L186" s="796">
        <v>1718365</v>
      </c>
      <c r="M186" s="796">
        <v>19616</v>
      </c>
      <c r="N186" s="796">
        <v>0</v>
      </c>
      <c r="O186" s="796">
        <v>0</v>
      </c>
    </row>
    <row r="187" spans="1:15" x14ac:dyDescent="0.2">
      <c r="A187" s="532" t="s">
        <v>329</v>
      </c>
      <c r="B187" s="532" t="s">
        <v>1775</v>
      </c>
      <c r="C187" s="530" t="s">
        <v>328</v>
      </c>
      <c r="D187" s="530" t="s">
        <v>955</v>
      </c>
      <c r="E187" s="796">
        <v>0</v>
      </c>
      <c r="F187" s="796">
        <v>0</v>
      </c>
      <c r="G187" s="796">
        <v>0</v>
      </c>
      <c r="H187" s="796">
        <v>0</v>
      </c>
      <c r="I187" s="796">
        <v>0</v>
      </c>
      <c r="J187" s="796">
        <v>0</v>
      </c>
      <c r="K187" s="796">
        <v>0</v>
      </c>
      <c r="L187" s="796">
        <v>0</v>
      </c>
      <c r="M187" s="796">
        <v>0</v>
      </c>
      <c r="N187" s="796">
        <v>0</v>
      </c>
      <c r="O187" s="796">
        <v>0</v>
      </c>
    </row>
    <row r="188" spans="1:15" x14ac:dyDescent="0.2">
      <c r="A188" s="532" t="s">
        <v>329</v>
      </c>
      <c r="B188" s="532" t="s">
        <v>1776</v>
      </c>
      <c r="C188" s="530" t="s">
        <v>328</v>
      </c>
      <c r="D188" s="530" t="s">
        <v>956</v>
      </c>
      <c r="E188" s="796">
        <v>902941</v>
      </c>
      <c r="F188" s="796">
        <v>0</v>
      </c>
      <c r="G188" s="796">
        <v>0</v>
      </c>
      <c r="H188" s="796">
        <v>902941</v>
      </c>
      <c r="I188" s="796">
        <v>0</v>
      </c>
      <c r="J188" s="796">
        <v>0</v>
      </c>
      <c r="K188" s="796">
        <v>0</v>
      </c>
      <c r="L188" s="796">
        <v>0</v>
      </c>
      <c r="M188" s="796">
        <v>902941</v>
      </c>
      <c r="N188" s="796">
        <v>223869</v>
      </c>
      <c r="O188" s="796">
        <v>223869</v>
      </c>
    </row>
    <row r="189" spans="1:15" x14ac:dyDescent="0.2">
      <c r="A189" s="532" t="s">
        <v>329</v>
      </c>
      <c r="B189" s="532" t="s">
        <v>1777</v>
      </c>
      <c r="C189" s="530" t="s">
        <v>328</v>
      </c>
      <c r="D189" s="530" t="s">
        <v>957</v>
      </c>
      <c r="E189" s="796">
        <v>0</v>
      </c>
      <c r="F189" s="796">
        <v>0</v>
      </c>
      <c r="G189" s="796">
        <v>0</v>
      </c>
      <c r="H189" s="796">
        <v>0</v>
      </c>
      <c r="I189" s="796">
        <v>0</v>
      </c>
      <c r="J189" s="796">
        <v>0</v>
      </c>
      <c r="K189" s="796">
        <v>0</v>
      </c>
      <c r="L189" s="796">
        <v>0</v>
      </c>
      <c r="M189" s="796">
        <v>0</v>
      </c>
      <c r="N189" s="796">
        <v>0</v>
      </c>
      <c r="O189" s="796">
        <v>0</v>
      </c>
    </row>
    <row r="190" spans="1:15" x14ac:dyDescent="0.2">
      <c r="A190" s="532" t="s">
        <v>333</v>
      </c>
      <c r="B190" s="532" t="s">
        <v>1778</v>
      </c>
      <c r="C190" s="530" t="s">
        <v>332</v>
      </c>
      <c r="D190" s="530" t="s">
        <v>739</v>
      </c>
      <c r="E190" s="796">
        <v>20623954</v>
      </c>
      <c r="F190" s="796">
        <v>-194919</v>
      </c>
      <c r="G190" s="796">
        <v>-777010</v>
      </c>
      <c r="H190" s="796">
        <v>19652025</v>
      </c>
      <c r="I190" s="796">
        <v>277810</v>
      </c>
      <c r="J190" s="796">
        <v>0</v>
      </c>
      <c r="K190" s="796">
        <v>0</v>
      </c>
      <c r="L190" s="796">
        <v>742522</v>
      </c>
      <c r="M190" s="796">
        <v>18631693</v>
      </c>
      <c r="N190" s="796">
        <v>0</v>
      </c>
      <c r="O190" s="796">
        <v>0</v>
      </c>
    </row>
    <row r="191" spans="1:15" x14ac:dyDescent="0.2">
      <c r="A191" s="532" t="s">
        <v>343</v>
      </c>
      <c r="B191" s="532" t="s">
        <v>1779</v>
      </c>
      <c r="C191" s="530" t="s">
        <v>342</v>
      </c>
      <c r="D191" s="530" t="s">
        <v>958</v>
      </c>
      <c r="E191" s="796">
        <v>453092</v>
      </c>
      <c r="F191" s="796">
        <v>0</v>
      </c>
      <c r="G191" s="796">
        <v>-16497</v>
      </c>
      <c r="H191" s="796">
        <v>436595</v>
      </c>
      <c r="I191" s="796">
        <v>102</v>
      </c>
      <c r="J191" s="796">
        <v>0</v>
      </c>
      <c r="K191" s="796">
        <v>0</v>
      </c>
      <c r="L191" s="796">
        <v>211640</v>
      </c>
      <c r="M191" s="796">
        <v>224853</v>
      </c>
      <c r="N191" s="796">
        <v>361954</v>
      </c>
      <c r="O191" s="796">
        <v>361954</v>
      </c>
    </row>
    <row r="192" spans="1:15" x14ac:dyDescent="0.2">
      <c r="A192" s="532" t="s">
        <v>345</v>
      </c>
      <c r="B192" s="532" t="s">
        <v>1780</v>
      </c>
      <c r="C192" s="530" t="s">
        <v>344</v>
      </c>
      <c r="D192" s="530" t="s">
        <v>959</v>
      </c>
      <c r="E192" s="796">
        <v>0</v>
      </c>
      <c r="F192" s="796">
        <v>0</v>
      </c>
      <c r="G192" s="796">
        <v>0</v>
      </c>
      <c r="H192" s="796">
        <v>0</v>
      </c>
      <c r="I192" s="796">
        <v>0</v>
      </c>
      <c r="J192" s="796">
        <v>0</v>
      </c>
      <c r="K192" s="796">
        <v>0</v>
      </c>
      <c r="L192" s="796">
        <v>0</v>
      </c>
      <c r="M192" s="796">
        <v>0</v>
      </c>
      <c r="N192" s="796">
        <v>0</v>
      </c>
      <c r="O192" s="796">
        <v>0</v>
      </c>
    </row>
    <row r="193" spans="1:15" x14ac:dyDescent="0.2">
      <c r="A193" s="532" t="s">
        <v>345</v>
      </c>
      <c r="B193" s="532" t="s">
        <v>1781</v>
      </c>
      <c r="C193" s="530" t="s">
        <v>344</v>
      </c>
      <c r="D193" s="530" t="s">
        <v>960</v>
      </c>
      <c r="E193" s="796">
        <v>46592</v>
      </c>
      <c r="F193" s="796">
        <v>-932</v>
      </c>
      <c r="G193" s="796">
        <v>-2329</v>
      </c>
      <c r="H193" s="796">
        <v>43331</v>
      </c>
      <c r="I193" s="796">
        <v>0</v>
      </c>
      <c r="J193" s="796">
        <v>0</v>
      </c>
      <c r="K193" s="796">
        <v>0</v>
      </c>
      <c r="L193" s="796">
        <v>46638</v>
      </c>
      <c r="M193" s="796">
        <v>0</v>
      </c>
      <c r="N193" s="796">
        <v>0</v>
      </c>
      <c r="O193" s="796">
        <v>0</v>
      </c>
    </row>
    <row r="194" spans="1:15" x14ac:dyDescent="0.2">
      <c r="A194" s="532" t="s">
        <v>345</v>
      </c>
      <c r="B194" s="532" t="s">
        <v>1782</v>
      </c>
      <c r="C194" s="530" t="s">
        <v>344</v>
      </c>
      <c r="D194" s="530" t="s">
        <v>961</v>
      </c>
      <c r="E194" s="796">
        <v>0</v>
      </c>
      <c r="F194" s="796">
        <v>0</v>
      </c>
      <c r="G194" s="796">
        <v>0</v>
      </c>
      <c r="H194" s="796">
        <v>0</v>
      </c>
      <c r="I194" s="796">
        <v>0</v>
      </c>
      <c r="J194" s="796">
        <v>0</v>
      </c>
      <c r="K194" s="796">
        <v>0</v>
      </c>
      <c r="L194" s="796">
        <v>0</v>
      </c>
      <c r="M194" s="796">
        <v>0</v>
      </c>
      <c r="N194" s="796">
        <v>0</v>
      </c>
      <c r="O194" s="796">
        <v>0</v>
      </c>
    </row>
    <row r="195" spans="1:15" x14ac:dyDescent="0.2">
      <c r="A195" s="532" t="s">
        <v>345</v>
      </c>
      <c r="B195" s="532" t="s">
        <v>1783</v>
      </c>
      <c r="C195" s="530" t="s">
        <v>344</v>
      </c>
      <c r="D195" s="530" t="s">
        <v>962</v>
      </c>
      <c r="E195" s="796">
        <v>196608</v>
      </c>
      <c r="F195" s="796">
        <v>-3932</v>
      </c>
      <c r="G195" s="796">
        <v>-9830</v>
      </c>
      <c r="H195" s="796">
        <v>182846</v>
      </c>
      <c r="I195" s="796">
        <v>0</v>
      </c>
      <c r="J195" s="796">
        <v>0</v>
      </c>
      <c r="K195" s="796">
        <v>0</v>
      </c>
      <c r="L195" s="796">
        <v>149230</v>
      </c>
      <c r="M195" s="796">
        <v>33616</v>
      </c>
      <c r="N195" s="796">
        <v>0</v>
      </c>
      <c r="O195" s="796">
        <v>0</v>
      </c>
    </row>
    <row r="196" spans="1:15" x14ac:dyDescent="0.2">
      <c r="A196" s="532" t="s">
        <v>347</v>
      </c>
      <c r="B196" s="532" t="s">
        <v>1784</v>
      </c>
      <c r="C196" s="530" t="s">
        <v>346</v>
      </c>
      <c r="D196" s="530" t="s">
        <v>747</v>
      </c>
      <c r="E196" s="796">
        <v>170241</v>
      </c>
      <c r="F196" s="796">
        <v>0</v>
      </c>
      <c r="G196" s="796">
        <v>0</v>
      </c>
      <c r="H196" s="796">
        <v>170241</v>
      </c>
      <c r="I196" s="796">
        <v>0</v>
      </c>
      <c r="J196" s="796">
        <v>0</v>
      </c>
      <c r="K196" s="796">
        <v>0</v>
      </c>
      <c r="L196" s="796">
        <v>0</v>
      </c>
      <c r="M196" s="796">
        <v>170241</v>
      </c>
      <c r="N196" s="796">
        <v>0</v>
      </c>
      <c r="O196" s="796">
        <v>0</v>
      </c>
    </row>
    <row r="197" spans="1:15" x14ac:dyDescent="0.2">
      <c r="A197" s="532" t="s">
        <v>351</v>
      </c>
      <c r="B197" s="532" t="s">
        <v>1785</v>
      </c>
      <c r="C197" s="530" t="s">
        <v>350</v>
      </c>
      <c r="D197" s="530" t="s">
        <v>765</v>
      </c>
      <c r="E197" s="796">
        <v>4813137</v>
      </c>
      <c r="F197" s="796">
        <v>0</v>
      </c>
      <c r="G197" s="796">
        <v>0</v>
      </c>
      <c r="H197" s="796">
        <v>4813137</v>
      </c>
      <c r="I197" s="796">
        <v>0</v>
      </c>
      <c r="J197" s="796">
        <v>0</v>
      </c>
      <c r="K197" s="796">
        <v>0</v>
      </c>
      <c r="L197" s="796">
        <v>0</v>
      </c>
      <c r="M197" s="796">
        <v>4813137</v>
      </c>
      <c r="N197" s="796">
        <v>110000</v>
      </c>
      <c r="O197" s="796">
        <v>110000</v>
      </c>
    </row>
    <row r="198" spans="1:15" x14ac:dyDescent="0.2">
      <c r="A198" s="532" t="s">
        <v>353</v>
      </c>
      <c r="B198" s="532" t="s">
        <v>1786</v>
      </c>
      <c r="C198" s="530" t="s">
        <v>352</v>
      </c>
      <c r="D198" s="530" t="s">
        <v>963</v>
      </c>
      <c r="E198" s="796">
        <v>0</v>
      </c>
      <c r="F198" s="796">
        <v>0</v>
      </c>
      <c r="G198" s="796">
        <v>0</v>
      </c>
      <c r="H198" s="796">
        <v>0</v>
      </c>
      <c r="I198" s="796">
        <v>0</v>
      </c>
      <c r="J198" s="796">
        <v>0</v>
      </c>
      <c r="K198" s="796">
        <v>0</v>
      </c>
      <c r="L198" s="796">
        <v>0</v>
      </c>
      <c r="M198" s="796">
        <v>0</v>
      </c>
      <c r="N198" s="796">
        <v>0</v>
      </c>
      <c r="O198" s="796">
        <v>0</v>
      </c>
    </row>
    <row r="199" spans="1:15" x14ac:dyDescent="0.2">
      <c r="A199" s="532" t="s">
        <v>353</v>
      </c>
      <c r="B199" s="532" t="s">
        <v>1787</v>
      </c>
      <c r="C199" s="530" t="s">
        <v>352</v>
      </c>
      <c r="D199" s="530" t="s">
        <v>964</v>
      </c>
      <c r="E199" s="796">
        <v>0</v>
      </c>
      <c r="F199" s="796">
        <v>0</v>
      </c>
      <c r="G199" s="796">
        <v>0</v>
      </c>
      <c r="H199" s="796">
        <v>0</v>
      </c>
      <c r="I199" s="796">
        <v>0</v>
      </c>
      <c r="J199" s="796">
        <v>0</v>
      </c>
      <c r="K199" s="796">
        <v>0</v>
      </c>
      <c r="L199" s="796">
        <v>0</v>
      </c>
      <c r="M199" s="796">
        <v>0</v>
      </c>
      <c r="N199" s="796">
        <v>0</v>
      </c>
      <c r="O199" s="796">
        <v>0</v>
      </c>
    </row>
    <row r="200" spans="1:15" x14ac:dyDescent="0.2">
      <c r="A200" s="532" t="s">
        <v>361</v>
      </c>
      <c r="B200" s="532" t="s">
        <v>1788</v>
      </c>
      <c r="C200" s="530" t="s">
        <v>360</v>
      </c>
      <c r="D200" s="530" t="s">
        <v>965</v>
      </c>
      <c r="E200" s="796">
        <v>35923</v>
      </c>
      <c r="F200" s="796">
        <v>0</v>
      </c>
      <c r="G200" s="796">
        <v>0</v>
      </c>
      <c r="H200" s="796">
        <v>35923</v>
      </c>
      <c r="I200" s="796">
        <v>0</v>
      </c>
      <c r="J200" s="796">
        <v>0</v>
      </c>
      <c r="K200" s="796">
        <v>0</v>
      </c>
      <c r="L200" s="796">
        <v>43535</v>
      </c>
      <c r="M200" s="796">
        <v>0</v>
      </c>
      <c r="N200" s="796">
        <v>0</v>
      </c>
      <c r="O200" s="796">
        <v>0</v>
      </c>
    </row>
    <row r="201" spans="1:15" x14ac:dyDescent="0.2">
      <c r="A201" s="532" t="s">
        <v>361</v>
      </c>
      <c r="B201" s="532" t="s">
        <v>1789</v>
      </c>
      <c r="C201" s="530" t="s">
        <v>360</v>
      </c>
      <c r="D201" s="530" t="s">
        <v>966</v>
      </c>
      <c r="E201" s="796">
        <v>362639</v>
      </c>
      <c r="F201" s="796">
        <v>0</v>
      </c>
      <c r="G201" s="796">
        <v>0</v>
      </c>
      <c r="H201" s="796">
        <v>362639</v>
      </c>
      <c r="I201" s="796">
        <v>0</v>
      </c>
      <c r="J201" s="796">
        <v>0</v>
      </c>
      <c r="K201" s="796">
        <v>0</v>
      </c>
      <c r="L201" s="796">
        <v>927044</v>
      </c>
      <c r="M201" s="796">
        <v>0</v>
      </c>
      <c r="N201" s="796">
        <v>0</v>
      </c>
      <c r="O201" s="796">
        <v>0</v>
      </c>
    </row>
    <row r="202" spans="1:15" x14ac:dyDescent="0.2">
      <c r="A202" s="532" t="s">
        <v>361</v>
      </c>
      <c r="B202" s="532" t="s">
        <v>1790</v>
      </c>
      <c r="C202" s="530" t="s">
        <v>360</v>
      </c>
      <c r="D202" s="530" t="s">
        <v>967</v>
      </c>
      <c r="E202" s="796">
        <v>228275</v>
      </c>
      <c r="F202" s="796">
        <v>0</v>
      </c>
      <c r="G202" s="796">
        <v>0</v>
      </c>
      <c r="H202" s="796">
        <v>228275</v>
      </c>
      <c r="I202" s="796">
        <v>0</v>
      </c>
      <c r="J202" s="796">
        <v>0</v>
      </c>
      <c r="K202" s="796">
        <v>0</v>
      </c>
      <c r="L202" s="796">
        <v>97142</v>
      </c>
      <c r="M202" s="796">
        <v>131133</v>
      </c>
      <c r="N202" s="796">
        <v>0</v>
      </c>
      <c r="O202" s="796">
        <v>0</v>
      </c>
    </row>
    <row r="203" spans="1:15" x14ac:dyDescent="0.2">
      <c r="A203" s="532" t="s">
        <v>370</v>
      </c>
      <c r="B203" s="532" t="s">
        <v>1793</v>
      </c>
      <c r="C203" s="530" t="s">
        <v>369</v>
      </c>
      <c r="D203" s="530" t="s">
        <v>779</v>
      </c>
      <c r="E203" s="796">
        <v>0</v>
      </c>
      <c r="F203" s="796">
        <v>0</v>
      </c>
      <c r="G203" s="796">
        <v>0</v>
      </c>
      <c r="H203" s="796">
        <v>0</v>
      </c>
      <c r="I203" s="796">
        <v>0</v>
      </c>
      <c r="J203" s="796">
        <v>0</v>
      </c>
      <c r="K203" s="796">
        <v>0</v>
      </c>
      <c r="L203" s="796">
        <v>0</v>
      </c>
      <c r="M203" s="796">
        <v>0</v>
      </c>
      <c r="N203" s="796">
        <v>0</v>
      </c>
      <c r="O203" s="796">
        <v>0</v>
      </c>
    </row>
    <row r="204" spans="1:15" x14ac:dyDescent="0.2">
      <c r="A204" s="532" t="s">
        <v>372</v>
      </c>
      <c r="B204" s="532" t="s">
        <v>1794</v>
      </c>
      <c r="C204" s="530" t="s">
        <v>371</v>
      </c>
      <c r="D204" s="530" t="s">
        <v>751</v>
      </c>
      <c r="E204" s="796">
        <v>271541</v>
      </c>
      <c r="F204" s="796">
        <v>-2987</v>
      </c>
      <c r="G204" s="796">
        <v>-10862</v>
      </c>
      <c r="H204" s="796">
        <v>257692</v>
      </c>
      <c r="I204" s="796">
        <v>0</v>
      </c>
      <c r="J204" s="796">
        <v>0</v>
      </c>
      <c r="K204" s="796">
        <v>-28342</v>
      </c>
      <c r="L204" s="796">
        <v>0</v>
      </c>
      <c r="M204" s="796">
        <v>229350</v>
      </c>
      <c r="N204" s="796">
        <v>0</v>
      </c>
      <c r="O204" s="796">
        <v>0</v>
      </c>
    </row>
    <row r="205" spans="1:15" x14ac:dyDescent="0.2">
      <c r="A205" s="532" t="s">
        <v>372</v>
      </c>
      <c r="B205" s="532" t="s">
        <v>1795</v>
      </c>
      <c r="C205" s="530" t="s">
        <v>371</v>
      </c>
      <c r="D205" s="530" t="s">
        <v>970</v>
      </c>
      <c r="E205" s="796">
        <v>30254</v>
      </c>
      <c r="F205" s="796">
        <v>-333</v>
      </c>
      <c r="G205" s="796">
        <v>-1210</v>
      </c>
      <c r="H205" s="796">
        <v>28711</v>
      </c>
      <c r="I205" s="796">
        <v>0</v>
      </c>
      <c r="J205" s="796">
        <v>0</v>
      </c>
      <c r="K205" s="796">
        <v>0</v>
      </c>
      <c r="L205" s="796">
        <v>77591</v>
      </c>
      <c r="M205" s="796">
        <v>0</v>
      </c>
      <c r="N205" s="796">
        <v>0</v>
      </c>
      <c r="O205" s="796">
        <v>0</v>
      </c>
    </row>
    <row r="206" spans="1:15" x14ac:dyDescent="0.2">
      <c r="A206" s="532" t="s">
        <v>374</v>
      </c>
      <c r="B206" s="532" t="s">
        <v>1796</v>
      </c>
      <c r="C206" s="530" t="s">
        <v>373</v>
      </c>
      <c r="D206" s="530" t="s">
        <v>971</v>
      </c>
      <c r="E206" s="796">
        <v>222577</v>
      </c>
      <c r="F206" s="796">
        <v>0</v>
      </c>
      <c r="G206" s="796">
        <v>0</v>
      </c>
      <c r="H206" s="796">
        <v>222577</v>
      </c>
      <c r="I206" s="796">
        <v>0</v>
      </c>
      <c r="J206" s="796">
        <v>0</v>
      </c>
      <c r="K206" s="796">
        <v>0</v>
      </c>
      <c r="L206" s="796">
        <v>290406</v>
      </c>
      <c r="M206" s="796">
        <v>0</v>
      </c>
      <c r="N206" s="796">
        <v>0</v>
      </c>
      <c r="O206" s="796">
        <v>0</v>
      </c>
    </row>
    <row r="207" spans="1:15" x14ac:dyDescent="0.2">
      <c r="A207" s="532" t="s">
        <v>374</v>
      </c>
      <c r="B207" s="532" t="s">
        <v>1797</v>
      </c>
      <c r="C207" s="530" t="s">
        <v>373</v>
      </c>
      <c r="D207" s="530" t="s">
        <v>972</v>
      </c>
      <c r="E207" s="796">
        <v>122464</v>
      </c>
      <c r="F207" s="796">
        <v>0</v>
      </c>
      <c r="G207" s="796">
        <v>0</v>
      </c>
      <c r="H207" s="796">
        <v>122464</v>
      </c>
      <c r="I207" s="796">
        <v>0</v>
      </c>
      <c r="J207" s="796">
        <v>0</v>
      </c>
      <c r="K207" s="796">
        <v>0</v>
      </c>
      <c r="L207" s="796">
        <v>0</v>
      </c>
      <c r="M207" s="796">
        <v>122464</v>
      </c>
      <c r="N207" s="796">
        <v>253749</v>
      </c>
      <c r="O207" s="796">
        <v>253749</v>
      </c>
    </row>
    <row r="208" spans="1:15" x14ac:dyDescent="0.2">
      <c r="A208" s="532" t="s">
        <v>374</v>
      </c>
      <c r="B208" s="532" t="s">
        <v>1798</v>
      </c>
      <c r="C208" s="530" t="s">
        <v>373</v>
      </c>
      <c r="D208" s="530" t="s">
        <v>973</v>
      </c>
      <c r="E208" s="796">
        <v>483446</v>
      </c>
      <c r="F208" s="796">
        <v>0</v>
      </c>
      <c r="G208" s="796">
        <v>0</v>
      </c>
      <c r="H208" s="796">
        <v>483446</v>
      </c>
      <c r="I208" s="796">
        <v>0</v>
      </c>
      <c r="J208" s="796">
        <v>0</v>
      </c>
      <c r="K208" s="796">
        <v>0</v>
      </c>
      <c r="L208" s="796">
        <v>51210</v>
      </c>
      <c r="M208" s="796">
        <v>432236</v>
      </c>
      <c r="N208" s="796">
        <v>184803</v>
      </c>
      <c r="O208" s="796">
        <v>184803</v>
      </c>
    </row>
    <row r="209" spans="1:15" x14ac:dyDescent="0.2">
      <c r="A209" s="532" t="s">
        <v>374</v>
      </c>
      <c r="B209" s="532" t="s">
        <v>1799</v>
      </c>
      <c r="C209" s="530" t="s">
        <v>373</v>
      </c>
      <c r="D209" s="530" t="s">
        <v>974</v>
      </c>
      <c r="E209" s="796">
        <v>584248</v>
      </c>
      <c r="F209" s="796">
        <v>0</v>
      </c>
      <c r="G209" s="796">
        <v>0</v>
      </c>
      <c r="H209" s="796">
        <v>584248</v>
      </c>
      <c r="I209" s="796">
        <v>0</v>
      </c>
      <c r="J209" s="796">
        <v>0</v>
      </c>
      <c r="K209" s="796">
        <v>0</v>
      </c>
      <c r="L209" s="796">
        <v>18551</v>
      </c>
      <c r="M209" s="796">
        <v>565697</v>
      </c>
      <c r="N209" s="796">
        <v>0</v>
      </c>
      <c r="O209" s="796">
        <v>0</v>
      </c>
    </row>
    <row r="210" spans="1:15" x14ac:dyDescent="0.2">
      <c r="A210" s="532" t="s">
        <v>374</v>
      </c>
      <c r="B210" s="532" t="s">
        <v>1800</v>
      </c>
      <c r="C210" s="530" t="s">
        <v>373</v>
      </c>
      <c r="D210" s="530" t="s">
        <v>975</v>
      </c>
      <c r="E210" s="796">
        <v>47700</v>
      </c>
      <c r="F210" s="796">
        <v>0</v>
      </c>
      <c r="G210" s="796">
        <v>0</v>
      </c>
      <c r="H210" s="796">
        <v>47700</v>
      </c>
      <c r="I210" s="796">
        <v>0</v>
      </c>
      <c r="J210" s="796">
        <v>0</v>
      </c>
      <c r="K210" s="796">
        <v>1591</v>
      </c>
      <c r="L210" s="796">
        <v>35755</v>
      </c>
      <c r="M210" s="796">
        <v>13536</v>
      </c>
      <c r="N210" s="796">
        <v>0</v>
      </c>
      <c r="O210" s="796">
        <v>0</v>
      </c>
    </row>
    <row r="211" spans="1:15" x14ac:dyDescent="0.2">
      <c r="A211" s="532" t="s">
        <v>380</v>
      </c>
      <c r="B211" s="532" t="s">
        <v>1801</v>
      </c>
      <c r="C211" s="530" t="s">
        <v>379</v>
      </c>
      <c r="D211" s="530" t="s">
        <v>762</v>
      </c>
      <c r="E211" s="796">
        <v>950165</v>
      </c>
      <c r="F211" s="796">
        <v>0</v>
      </c>
      <c r="G211" s="796">
        <v>0</v>
      </c>
      <c r="H211" s="796">
        <v>950165</v>
      </c>
      <c r="I211" s="796">
        <v>0</v>
      </c>
      <c r="J211" s="796">
        <v>0</v>
      </c>
      <c r="K211" s="796">
        <v>0</v>
      </c>
      <c r="L211" s="796">
        <v>144320</v>
      </c>
      <c r="M211" s="796">
        <v>805845</v>
      </c>
      <c r="N211" s="796">
        <v>0</v>
      </c>
      <c r="O211" s="796">
        <v>0</v>
      </c>
    </row>
    <row r="212" spans="1:15" x14ac:dyDescent="0.2">
      <c r="A212" s="532" t="s">
        <v>380</v>
      </c>
      <c r="B212" s="532" t="s">
        <v>1802</v>
      </c>
      <c r="C212" s="530" t="s">
        <v>379</v>
      </c>
      <c r="D212" s="530" t="s">
        <v>976</v>
      </c>
      <c r="E212" s="796">
        <v>0</v>
      </c>
      <c r="F212" s="796">
        <v>0</v>
      </c>
      <c r="G212" s="796">
        <v>0</v>
      </c>
      <c r="H212" s="796">
        <v>0</v>
      </c>
      <c r="I212" s="796">
        <v>0</v>
      </c>
      <c r="J212" s="796">
        <v>0</v>
      </c>
      <c r="K212" s="796">
        <v>0</v>
      </c>
      <c r="L212" s="796">
        <v>0</v>
      </c>
      <c r="M212" s="796">
        <v>0</v>
      </c>
      <c r="N212" s="796">
        <v>0</v>
      </c>
      <c r="O212" s="796">
        <v>0</v>
      </c>
    </row>
    <row r="213" spans="1:15" x14ac:dyDescent="0.2">
      <c r="A213" s="532" t="s">
        <v>380</v>
      </c>
      <c r="B213" s="532" t="s">
        <v>1803</v>
      </c>
      <c r="C213" s="530" t="s">
        <v>379</v>
      </c>
      <c r="D213" s="531" t="s">
        <v>1010</v>
      </c>
      <c r="E213" s="796">
        <v>701760</v>
      </c>
      <c r="F213" s="796">
        <v>0</v>
      </c>
      <c r="G213" s="796">
        <v>0</v>
      </c>
      <c r="H213" s="796">
        <v>701760</v>
      </c>
      <c r="I213" s="796">
        <v>0</v>
      </c>
      <c r="J213" s="796">
        <v>0</v>
      </c>
      <c r="K213" s="796">
        <v>0</v>
      </c>
      <c r="L213" s="796">
        <v>0</v>
      </c>
      <c r="M213" s="796">
        <v>701760</v>
      </c>
      <c r="N213" s="796">
        <v>0</v>
      </c>
      <c r="O213" s="796">
        <v>0</v>
      </c>
    </row>
    <row r="214" spans="1:15" x14ac:dyDescent="0.2">
      <c r="A214" s="532" t="s">
        <v>409</v>
      </c>
      <c r="B214" s="532" t="s">
        <v>1804</v>
      </c>
      <c r="C214" s="530" t="s">
        <v>408</v>
      </c>
      <c r="D214" s="530" t="s">
        <v>932</v>
      </c>
      <c r="E214" s="796">
        <v>0</v>
      </c>
      <c r="F214" s="796">
        <v>0</v>
      </c>
      <c r="G214" s="796">
        <v>0</v>
      </c>
      <c r="H214" s="796">
        <v>0</v>
      </c>
      <c r="I214" s="796">
        <v>0</v>
      </c>
      <c r="J214" s="796">
        <v>0</v>
      </c>
      <c r="K214" s="796">
        <v>0</v>
      </c>
      <c r="L214" s="796">
        <v>0</v>
      </c>
      <c r="M214" s="796">
        <v>0</v>
      </c>
      <c r="N214" s="796">
        <v>0</v>
      </c>
      <c r="O214" s="796">
        <v>0</v>
      </c>
    </row>
    <row r="215" spans="1:15" x14ac:dyDescent="0.2">
      <c r="A215" s="532" t="s">
        <v>422</v>
      </c>
      <c r="B215" s="532" t="s">
        <v>1805</v>
      </c>
      <c r="C215" s="530" t="s">
        <v>421</v>
      </c>
      <c r="D215" s="530" t="s">
        <v>766</v>
      </c>
      <c r="E215" s="796">
        <v>3615443</v>
      </c>
      <c r="F215" s="796">
        <v>-72309</v>
      </c>
      <c r="G215" s="796">
        <v>-18077</v>
      </c>
      <c r="H215" s="796">
        <v>3525057</v>
      </c>
      <c r="I215" s="796">
        <v>0</v>
      </c>
      <c r="J215" s="796">
        <v>0</v>
      </c>
      <c r="K215" s="796">
        <v>43</v>
      </c>
      <c r="L215" s="796">
        <v>1358969</v>
      </c>
      <c r="M215" s="796">
        <v>2166131</v>
      </c>
      <c r="N215" s="796">
        <v>481100</v>
      </c>
      <c r="O215" s="796">
        <v>481100</v>
      </c>
    </row>
    <row r="216" spans="1:15" x14ac:dyDescent="0.2">
      <c r="A216" s="532" t="s">
        <v>422</v>
      </c>
      <c r="B216" s="532" t="s">
        <v>1806</v>
      </c>
      <c r="C216" s="530" t="s">
        <v>421</v>
      </c>
      <c r="D216" s="530" t="s">
        <v>977</v>
      </c>
      <c r="E216" s="796">
        <v>0</v>
      </c>
      <c r="F216" s="796">
        <v>0</v>
      </c>
      <c r="G216" s="796">
        <v>0</v>
      </c>
      <c r="H216" s="796">
        <v>0</v>
      </c>
      <c r="I216" s="796">
        <v>0</v>
      </c>
      <c r="J216" s="796">
        <v>0</v>
      </c>
      <c r="K216" s="796">
        <v>0</v>
      </c>
      <c r="L216" s="796">
        <v>612991</v>
      </c>
      <c r="M216" s="796">
        <v>0</v>
      </c>
      <c r="N216" s="796">
        <v>0</v>
      </c>
      <c r="O216" s="796">
        <v>0</v>
      </c>
    </row>
    <row r="217" spans="1:15" x14ac:dyDescent="0.2">
      <c r="A217" s="532" t="s">
        <v>422</v>
      </c>
      <c r="B217" s="532" t="s">
        <v>1807</v>
      </c>
      <c r="C217" s="530" t="s">
        <v>421</v>
      </c>
      <c r="D217" s="530" t="s">
        <v>978</v>
      </c>
      <c r="E217" s="796">
        <v>718120</v>
      </c>
      <c r="F217" s="796">
        <v>-14362</v>
      </c>
      <c r="G217" s="796">
        <v>-3591</v>
      </c>
      <c r="H217" s="796">
        <v>700167</v>
      </c>
      <c r="I217" s="796">
        <v>0</v>
      </c>
      <c r="J217" s="796">
        <v>0</v>
      </c>
      <c r="K217" s="796">
        <v>0</v>
      </c>
      <c r="L217" s="796">
        <v>0</v>
      </c>
      <c r="M217" s="796">
        <v>700167</v>
      </c>
      <c r="N217" s="796">
        <v>55000</v>
      </c>
      <c r="O217" s="796">
        <v>55000</v>
      </c>
    </row>
    <row r="218" spans="1:15" x14ac:dyDescent="0.2">
      <c r="A218" s="532" t="s">
        <v>422</v>
      </c>
      <c r="B218" s="532" t="s">
        <v>1808</v>
      </c>
      <c r="C218" s="530" t="s">
        <v>421</v>
      </c>
      <c r="D218" s="530" t="s">
        <v>979</v>
      </c>
      <c r="E218" s="796">
        <v>0</v>
      </c>
      <c r="F218" s="796">
        <v>0</v>
      </c>
      <c r="G218" s="796">
        <v>0</v>
      </c>
      <c r="H218" s="796">
        <v>0</v>
      </c>
      <c r="I218" s="796">
        <v>0</v>
      </c>
      <c r="J218" s="796">
        <v>0</v>
      </c>
      <c r="K218" s="796">
        <v>0</v>
      </c>
      <c r="L218" s="796">
        <v>0</v>
      </c>
      <c r="M218" s="796">
        <v>0</v>
      </c>
      <c r="N218" s="796">
        <v>0</v>
      </c>
      <c r="O218" s="796">
        <v>0</v>
      </c>
    </row>
    <row r="219" spans="1:15" x14ac:dyDescent="0.2">
      <c r="A219" s="532" t="s">
        <v>422</v>
      </c>
      <c r="B219" s="532" t="s">
        <v>1809</v>
      </c>
      <c r="C219" s="530" t="s">
        <v>421</v>
      </c>
      <c r="D219" s="530" t="s">
        <v>980</v>
      </c>
      <c r="E219" s="796">
        <v>0</v>
      </c>
      <c r="F219" s="796">
        <v>0</v>
      </c>
      <c r="G219" s="796">
        <v>0</v>
      </c>
      <c r="H219" s="796">
        <v>0</v>
      </c>
      <c r="I219" s="796">
        <v>0</v>
      </c>
      <c r="J219" s="796">
        <v>0</v>
      </c>
      <c r="K219" s="796">
        <v>0</v>
      </c>
      <c r="L219" s="796">
        <v>0</v>
      </c>
      <c r="M219" s="796">
        <v>0</v>
      </c>
      <c r="N219" s="796">
        <v>0</v>
      </c>
      <c r="O219" s="796">
        <v>0</v>
      </c>
    </row>
    <row r="220" spans="1:15" x14ac:dyDescent="0.2">
      <c r="A220" s="532" t="s">
        <v>422</v>
      </c>
      <c r="B220" s="532" t="s">
        <v>1810</v>
      </c>
      <c r="C220" s="530" t="s">
        <v>421</v>
      </c>
      <c r="D220" s="530" t="s">
        <v>981</v>
      </c>
      <c r="E220" s="796">
        <v>1272</v>
      </c>
      <c r="F220" s="796">
        <v>-25</v>
      </c>
      <c r="G220" s="796">
        <v>-6</v>
      </c>
      <c r="H220" s="796">
        <v>1241</v>
      </c>
      <c r="I220" s="796">
        <v>0</v>
      </c>
      <c r="J220" s="796">
        <v>0</v>
      </c>
      <c r="K220" s="796">
        <v>0</v>
      </c>
      <c r="L220" s="796">
        <v>1272</v>
      </c>
      <c r="M220" s="796">
        <v>0</v>
      </c>
      <c r="N220" s="796">
        <v>0</v>
      </c>
      <c r="O220" s="796">
        <v>0</v>
      </c>
    </row>
    <row r="221" spans="1:15" x14ac:dyDescent="0.2">
      <c r="A221" s="532" t="s">
        <v>422</v>
      </c>
      <c r="B221" s="532" t="s">
        <v>1811</v>
      </c>
      <c r="C221" s="530" t="s">
        <v>421</v>
      </c>
      <c r="D221" s="530" t="s">
        <v>982</v>
      </c>
      <c r="E221" s="796">
        <v>0</v>
      </c>
      <c r="F221" s="796">
        <v>0</v>
      </c>
      <c r="G221" s="796">
        <v>0</v>
      </c>
      <c r="H221" s="796">
        <v>0</v>
      </c>
      <c r="I221" s="796">
        <v>0</v>
      </c>
      <c r="J221" s="796">
        <v>0</v>
      </c>
      <c r="K221" s="796">
        <v>0</v>
      </c>
      <c r="L221" s="796">
        <v>48594</v>
      </c>
      <c r="M221" s="796">
        <v>0</v>
      </c>
      <c r="N221" s="796">
        <v>39936</v>
      </c>
      <c r="O221" s="796">
        <v>39936</v>
      </c>
    </row>
    <row r="222" spans="1:15" x14ac:dyDescent="0.2">
      <c r="A222" s="532" t="s">
        <v>422</v>
      </c>
      <c r="B222" s="532" t="s">
        <v>1812</v>
      </c>
      <c r="C222" s="530" t="s">
        <v>421</v>
      </c>
      <c r="D222" s="530" t="s">
        <v>983</v>
      </c>
      <c r="E222" s="796">
        <v>118272</v>
      </c>
      <c r="F222" s="796">
        <v>-2365</v>
      </c>
      <c r="G222" s="796">
        <v>-591</v>
      </c>
      <c r="H222" s="796">
        <v>115316</v>
      </c>
      <c r="I222" s="796">
        <v>0</v>
      </c>
      <c r="J222" s="796">
        <v>0</v>
      </c>
      <c r="K222" s="796">
        <v>0</v>
      </c>
      <c r="L222" s="796">
        <v>445280</v>
      </c>
      <c r="M222" s="796">
        <v>0</v>
      </c>
      <c r="N222" s="796">
        <v>77568</v>
      </c>
      <c r="O222" s="796">
        <v>77568</v>
      </c>
    </row>
    <row r="223" spans="1:15" x14ac:dyDescent="0.2">
      <c r="A223" s="532" t="s">
        <v>422</v>
      </c>
      <c r="B223" s="532" t="s">
        <v>1813</v>
      </c>
      <c r="C223" s="530" t="s">
        <v>421</v>
      </c>
      <c r="D223" s="530" t="s">
        <v>984</v>
      </c>
      <c r="E223" s="796">
        <v>0</v>
      </c>
      <c r="F223" s="796">
        <v>0</v>
      </c>
      <c r="G223" s="796">
        <v>0</v>
      </c>
      <c r="H223" s="796">
        <v>0</v>
      </c>
      <c r="I223" s="796">
        <v>0</v>
      </c>
      <c r="J223" s="796">
        <v>0</v>
      </c>
      <c r="K223" s="796">
        <v>0</v>
      </c>
      <c r="L223" s="796">
        <v>67139</v>
      </c>
      <c r="M223" s="796">
        <v>0</v>
      </c>
      <c r="N223" s="796">
        <v>0</v>
      </c>
      <c r="O223" s="796">
        <v>0</v>
      </c>
    </row>
    <row r="224" spans="1:15" x14ac:dyDescent="0.2">
      <c r="A224" s="532" t="s">
        <v>422</v>
      </c>
      <c r="B224" s="532" t="s">
        <v>1814</v>
      </c>
      <c r="C224" s="530" t="s">
        <v>421</v>
      </c>
      <c r="D224" s="530" t="s">
        <v>985</v>
      </c>
      <c r="E224" s="796">
        <v>9232</v>
      </c>
      <c r="F224" s="796">
        <v>-185</v>
      </c>
      <c r="G224" s="796">
        <v>-46</v>
      </c>
      <c r="H224" s="796">
        <v>9001</v>
      </c>
      <c r="I224" s="796">
        <v>0</v>
      </c>
      <c r="J224" s="796">
        <v>0</v>
      </c>
      <c r="K224" s="796">
        <v>0</v>
      </c>
      <c r="L224" s="796">
        <v>153754</v>
      </c>
      <c r="M224" s="796">
        <v>0</v>
      </c>
      <c r="N224" s="796">
        <v>0</v>
      </c>
      <c r="O224" s="796">
        <v>0</v>
      </c>
    </row>
    <row r="225" spans="1:15" x14ac:dyDescent="0.2">
      <c r="A225" s="532" t="s">
        <v>422</v>
      </c>
      <c r="B225" s="532" t="s">
        <v>1815</v>
      </c>
      <c r="C225" s="530" t="s">
        <v>421</v>
      </c>
      <c r="D225" s="530" t="s">
        <v>986</v>
      </c>
      <c r="E225" s="796">
        <v>58752</v>
      </c>
      <c r="F225" s="796">
        <v>-1175</v>
      </c>
      <c r="G225" s="796">
        <v>-294</v>
      </c>
      <c r="H225" s="796">
        <v>57283</v>
      </c>
      <c r="I225" s="796">
        <v>0</v>
      </c>
      <c r="J225" s="796">
        <v>0</v>
      </c>
      <c r="K225" s="796">
        <v>0</v>
      </c>
      <c r="L225" s="796">
        <v>58811</v>
      </c>
      <c r="M225" s="796">
        <v>0</v>
      </c>
      <c r="N225" s="796">
        <v>0</v>
      </c>
      <c r="O225" s="796">
        <v>0</v>
      </c>
    </row>
    <row r="226" spans="1:15" x14ac:dyDescent="0.2">
      <c r="A226" s="532" t="s">
        <v>424</v>
      </c>
      <c r="B226" s="532" t="s">
        <v>1816</v>
      </c>
      <c r="C226" s="530" t="s">
        <v>423</v>
      </c>
      <c r="D226" s="530" t="s">
        <v>987</v>
      </c>
      <c r="E226" s="796">
        <v>0</v>
      </c>
      <c r="F226" s="796">
        <v>0</v>
      </c>
      <c r="G226" s="796">
        <v>0</v>
      </c>
      <c r="H226" s="796">
        <v>0</v>
      </c>
      <c r="I226" s="796">
        <v>0</v>
      </c>
      <c r="J226" s="796">
        <v>0</v>
      </c>
      <c r="K226" s="796">
        <v>0</v>
      </c>
      <c r="L226" s="796">
        <v>0</v>
      </c>
      <c r="M226" s="796">
        <v>0</v>
      </c>
      <c r="N226" s="796">
        <v>0</v>
      </c>
      <c r="O226" s="796">
        <v>0</v>
      </c>
    </row>
    <row r="227" spans="1:15" x14ac:dyDescent="0.2">
      <c r="A227" s="532" t="s">
        <v>424</v>
      </c>
      <c r="B227" s="532" t="s">
        <v>1817</v>
      </c>
      <c r="C227" s="530" t="s">
        <v>423</v>
      </c>
      <c r="D227" s="530" t="s">
        <v>988</v>
      </c>
      <c r="E227" s="796">
        <v>20776</v>
      </c>
      <c r="F227" s="796">
        <v>0</v>
      </c>
      <c r="G227" s="796">
        <v>0</v>
      </c>
      <c r="H227" s="796">
        <v>20776</v>
      </c>
      <c r="I227" s="796">
        <v>0</v>
      </c>
      <c r="J227" s="796">
        <v>0</v>
      </c>
      <c r="K227" s="796">
        <v>0</v>
      </c>
      <c r="L227" s="796">
        <v>0</v>
      </c>
      <c r="M227" s="796">
        <v>20776</v>
      </c>
      <c r="N227" s="796">
        <v>112040</v>
      </c>
      <c r="O227" s="796">
        <v>112040</v>
      </c>
    </row>
    <row r="228" spans="1:15" x14ac:dyDescent="0.2">
      <c r="A228" s="532" t="s">
        <v>426</v>
      </c>
      <c r="B228" s="532" t="s">
        <v>1818</v>
      </c>
      <c r="C228" s="530" t="s">
        <v>425</v>
      </c>
      <c r="D228" s="530" t="s">
        <v>765</v>
      </c>
      <c r="E228" s="796">
        <v>197392</v>
      </c>
      <c r="F228" s="796">
        <v>0</v>
      </c>
      <c r="G228" s="796">
        <v>0</v>
      </c>
      <c r="H228" s="796">
        <v>197392</v>
      </c>
      <c r="I228" s="796">
        <v>0</v>
      </c>
      <c r="J228" s="796">
        <v>0</v>
      </c>
      <c r="K228" s="796">
        <v>1466</v>
      </c>
      <c r="L228" s="796">
        <v>182097</v>
      </c>
      <c r="M228" s="796">
        <v>16761</v>
      </c>
      <c r="N228" s="796">
        <v>46032</v>
      </c>
      <c r="O228" s="796">
        <v>46032</v>
      </c>
    </row>
    <row r="229" spans="1:15" x14ac:dyDescent="0.2">
      <c r="A229" s="532" t="s">
        <v>430</v>
      </c>
      <c r="B229" s="532" t="s">
        <v>1819</v>
      </c>
      <c r="C229" s="530" t="s">
        <v>429</v>
      </c>
      <c r="D229" s="530" t="s">
        <v>796</v>
      </c>
      <c r="E229" s="796">
        <v>12726748</v>
      </c>
      <c r="F229" s="796">
        <v>-1080000</v>
      </c>
      <c r="G229" s="796">
        <v>0</v>
      </c>
      <c r="H229" s="796">
        <v>11646748</v>
      </c>
      <c r="I229" s="796">
        <v>0</v>
      </c>
      <c r="J229" s="796">
        <v>0</v>
      </c>
      <c r="K229" s="796">
        <v>9461</v>
      </c>
      <c r="L229" s="796">
        <v>4504332</v>
      </c>
      <c r="M229" s="796">
        <v>7151877</v>
      </c>
      <c r="N229" s="796">
        <v>0</v>
      </c>
      <c r="O229" s="796">
        <v>0</v>
      </c>
    </row>
    <row r="230" spans="1:15" x14ac:dyDescent="0.2">
      <c r="A230" s="532" t="s">
        <v>432</v>
      </c>
      <c r="B230" s="532" t="s">
        <v>1820</v>
      </c>
      <c r="C230" s="530" t="s">
        <v>431</v>
      </c>
      <c r="D230" s="530" t="s">
        <v>989</v>
      </c>
      <c r="E230" s="796">
        <v>1147314</v>
      </c>
      <c r="F230" s="796">
        <v>-2914</v>
      </c>
      <c r="G230" s="796">
        <v>-12628</v>
      </c>
      <c r="H230" s="796">
        <v>1131772</v>
      </c>
      <c r="I230" s="796">
        <v>0</v>
      </c>
      <c r="J230" s="796">
        <v>0</v>
      </c>
      <c r="K230" s="796">
        <v>0</v>
      </c>
      <c r="L230" s="796">
        <v>992156</v>
      </c>
      <c r="M230" s="796">
        <v>139616</v>
      </c>
      <c r="N230" s="796">
        <v>299638</v>
      </c>
      <c r="O230" s="796">
        <v>299638</v>
      </c>
    </row>
    <row r="231" spans="1:15" x14ac:dyDescent="0.2">
      <c r="A231" s="532" t="s">
        <v>1126</v>
      </c>
      <c r="B231" s="532" t="s">
        <v>1830</v>
      </c>
      <c r="C231" s="531" t="s">
        <v>1093</v>
      </c>
      <c r="D231" s="530" t="s">
        <v>761</v>
      </c>
      <c r="E231" s="796">
        <v>5257872</v>
      </c>
      <c r="F231" s="796">
        <v>-78596</v>
      </c>
      <c r="G231" s="796">
        <v>-203408</v>
      </c>
      <c r="H231" s="796">
        <v>4975868</v>
      </c>
      <c r="I231" s="796">
        <v>0</v>
      </c>
      <c r="J231" s="796">
        <v>0</v>
      </c>
      <c r="K231" s="796">
        <v>-3975</v>
      </c>
      <c r="L231" s="796">
        <v>3390005</v>
      </c>
      <c r="M231" s="796">
        <v>1581888</v>
      </c>
      <c r="N231" s="796">
        <v>256861</v>
      </c>
      <c r="O231" s="796">
        <v>256861</v>
      </c>
    </row>
    <row r="232" spans="1:15" x14ac:dyDescent="0.2">
      <c r="A232" s="532" t="s">
        <v>1025</v>
      </c>
      <c r="B232" s="532" t="s">
        <v>1791</v>
      </c>
      <c r="C232" s="531" t="s">
        <v>1024</v>
      </c>
      <c r="D232" s="530" t="s">
        <v>968</v>
      </c>
      <c r="E232" s="796">
        <v>0</v>
      </c>
      <c r="F232" s="796">
        <v>0</v>
      </c>
      <c r="G232" s="796">
        <v>0</v>
      </c>
      <c r="H232" s="796">
        <v>0</v>
      </c>
      <c r="I232" s="796">
        <v>0</v>
      </c>
      <c r="J232" s="796">
        <v>0</v>
      </c>
      <c r="K232" s="796">
        <v>0</v>
      </c>
      <c r="L232" s="796">
        <v>0</v>
      </c>
      <c r="M232" s="796">
        <v>0</v>
      </c>
      <c r="N232" s="796">
        <v>0</v>
      </c>
      <c r="O232" s="796">
        <v>0</v>
      </c>
    </row>
    <row r="233" spans="1:15" x14ac:dyDescent="0.2">
      <c r="A233" s="532" t="s">
        <v>1025</v>
      </c>
      <c r="B233" s="532" t="s">
        <v>1792</v>
      </c>
      <c r="C233" s="531" t="s">
        <v>1024</v>
      </c>
      <c r="D233" s="530" t="s">
        <v>969</v>
      </c>
      <c r="E233" s="796">
        <v>1201480</v>
      </c>
      <c r="F233" s="796">
        <v>0</v>
      </c>
      <c r="G233" s="796">
        <v>0</v>
      </c>
      <c r="H233" s="796">
        <v>1201480</v>
      </c>
      <c r="I233" s="796">
        <v>0</v>
      </c>
      <c r="J233" s="796">
        <v>0</v>
      </c>
      <c r="K233" s="796">
        <v>0</v>
      </c>
      <c r="L233" s="796">
        <v>0</v>
      </c>
      <c r="M233" s="796">
        <v>1201480</v>
      </c>
      <c r="N233" s="796">
        <v>0</v>
      </c>
      <c r="O233" s="796">
        <v>0</v>
      </c>
    </row>
    <row r="234" spans="1:15" x14ac:dyDescent="0.2">
      <c r="A234" s="532" t="s">
        <v>462</v>
      </c>
      <c r="B234" s="532" t="s">
        <v>1824</v>
      </c>
      <c r="C234" s="530" t="s">
        <v>461</v>
      </c>
      <c r="D234" s="530" t="s">
        <v>756</v>
      </c>
      <c r="E234" s="796">
        <v>3095</v>
      </c>
      <c r="F234" s="796">
        <v>0</v>
      </c>
      <c r="G234" s="796">
        <v>0</v>
      </c>
      <c r="H234" s="796">
        <v>3095</v>
      </c>
      <c r="I234" s="796">
        <v>0</v>
      </c>
      <c r="J234" s="796">
        <v>0</v>
      </c>
      <c r="K234" s="796">
        <v>0</v>
      </c>
      <c r="L234" s="796">
        <v>0</v>
      </c>
      <c r="M234" s="796">
        <v>3095</v>
      </c>
      <c r="N234" s="796">
        <v>0</v>
      </c>
      <c r="O234" s="796">
        <v>0</v>
      </c>
    </row>
    <row r="235" spans="1:15" x14ac:dyDescent="0.2">
      <c r="A235" s="532" t="s">
        <v>462</v>
      </c>
      <c r="B235" s="532" t="s">
        <v>1825</v>
      </c>
      <c r="C235" s="530" t="s">
        <v>461</v>
      </c>
      <c r="D235" s="530" t="s">
        <v>992</v>
      </c>
      <c r="E235" s="796">
        <v>898076</v>
      </c>
      <c r="F235" s="796">
        <v>0</v>
      </c>
      <c r="G235" s="796">
        <v>0</v>
      </c>
      <c r="H235" s="796">
        <v>898076</v>
      </c>
      <c r="I235" s="796">
        <v>0</v>
      </c>
      <c r="J235" s="796">
        <v>0</v>
      </c>
      <c r="K235" s="796">
        <v>0</v>
      </c>
      <c r="L235" s="796">
        <v>939847</v>
      </c>
      <c r="M235" s="796">
        <v>0</v>
      </c>
      <c r="N235" s="796">
        <v>0</v>
      </c>
      <c r="O235" s="796">
        <v>0</v>
      </c>
    </row>
    <row r="236" spans="1:15" x14ac:dyDescent="0.2">
      <c r="A236" s="532" t="s">
        <v>467</v>
      </c>
      <c r="B236" s="532" t="s">
        <v>1826</v>
      </c>
      <c r="C236" s="530" t="s">
        <v>466</v>
      </c>
      <c r="D236" s="530" t="s">
        <v>765</v>
      </c>
      <c r="E236" s="796">
        <v>796404</v>
      </c>
      <c r="F236" s="796">
        <v>0</v>
      </c>
      <c r="G236" s="796">
        <v>0</v>
      </c>
      <c r="H236" s="796">
        <v>796404</v>
      </c>
      <c r="I236" s="796">
        <v>0</v>
      </c>
      <c r="J236" s="796">
        <v>0</v>
      </c>
      <c r="K236" s="796">
        <v>0</v>
      </c>
      <c r="L236" s="796">
        <v>104664</v>
      </c>
      <c r="M236" s="796">
        <v>691740</v>
      </c>
      <c r="N236" s="796">
        <v>0</v>
      </c>
      <c r="O236" s="796">
        <v>0</v>
      </c>
    </row>
    <row r="237" spans="1:15" x14ac:dyDescent="0.2">
      <c r="A237" s="532" t="s">
        <v>475</v>
      </c>
      <c r="B237" s="532" t="s">
        <v>1827</v>
      </c>
      <c r="C237" s="530" t="s">
        <v>474</v>
      </c>
      <c r="D237" s="530" t="s">
        <v>993</v>
      </c>
      <c r="E237" s="796">
        <v>2802684</v>
      </c>
      <c r="F237" s="796">
        <v>-7000</v>
      </c>
      <c r="G237" s="796">
        <v>-131726</v>
      </c>
      <c r="H237" s="796">
        <v>2663958</v>
      </c>
      <c r="I237" s="796">
        <v>0</v>
      </c>
      <c r="J237" s="796">
        <v>0</v>
      </c>
      <c r="K237" s="796">
        <v>186</v>
      </c>
      <c r="L237" s="796">
        <v>2583352</v>
      </c>
      <c r="M237" s="796">
        <v>80792</v>
      </c>
      <c r="N237" s="796">
        <v>0</v>
      </c>
      <c r="O237" s="796">
        <v>0</v>
      </c>
    </row>
    <row r="238" spans="1:15" x14ac:dyDescent="0.2">
      <c r="A238" s="532" t="s">
        <v>479</v>
      </c>
      <c r="B238" s="532" t="s">
        <v>1828</v>
      </c>
      <c r="C238" s="530" t="s">
        <v>478</v>
      </c>
      <c r="D238" s="530" t="s">
        <v>994</v>
      </c>
      <c r="E238" s="796">
        <v>984778</v>
      </c>
      <c r="F238" s="796">
        <v>-5000</v>
      </c>
      <c r="G238" s="796">
        <v>0</v>
      </c>
      <c r="H238" s="796">
        <v>979778</v>
      </c>
      <c r="I238" s="796">
        <v>0</v>
      </c>
      <c r="J238" s="796">
        <v>0</v>
      </c>
      <c r="K238" s="796">
        <v>40147</v>
      </c>
      <c r="L238" s="796">
        <v>798671</v>
      </c>
      <c r="M238" s="796">
        <v>221254</v>
      </c>
      <c r="N238" s="796">
        <v>0</v>
      </c>
      <c r="O238" s="796">
        <v>0</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5E7D5-7B11-490A-87AA-ADF284CA4E3A}">
  <sheetPr codeName="Sheet11"/>
  <dimension ref="A1:AD319"/>
  <sheetViews>
    <sheetView workbookViewId="0">
      <pane xSplit="5" ySplit="7" topLeftCell="F8" activePane="bottomRight" state="frozen"/>
      <selection pane="topRight" activeCell="F1" sqref="F1"/>
      <selection pane="bottomLeft" activeCell="A8" sqref="A8"/>
      <selection pane="bottomRight"/>
    </sheetView>
  </sheetViews>
  <sheetFormatPr defaultRowHeight="15" x14ac:dyDescent="0.2"/>
  <cols>
    <col min="1" max="1" width="7.85546875" style="647" customWidth="1"/>
    <col min="2" max="2" width="8.42578125" style="9" customWidth="1"/>
    <col min="3" max="3" width="6.7109375" style="9" customWidth="1"/>
    <col min="4" max="4" width="8.140625" style="9" customWidth="1"/>
    <col min="5" max="5" width="30.7109375" style="9" customWidth="1"/>
    <col min="6" max="6" width="11.140625" bestFit="1" customWidth="1"/>
    <col min="7" max="7" width="13.85546875" bestFit="1" customWidth="1"/>
    <col min="8" max="8" width="10.85546875" bestFit="1" customWidth="1"/>
    <col min="9" max="9" width="11.7109375" bestFit="1" customWidth="1"/>
    <col min="10" max="10" width="11.140625" bestFit="1" customWidth="1"/>
    <col min="11" max="11" width="13.42578125" bestFit="1" customWidth="1"/>
    <col min="12" max="12" width="13.85546875" bestFit="1" customWidth="1"/>
    <col min="13" max="13" width="10.140625" bestFit="1" customWidth="1"/>
    <col min="14" max="14" width="9.7109375" bestFit="1" customWidth="1"/>
    <col min="15" max="16" width="11.140625" bestFit="1" customWidth="1"/>
    <col min="17" max="17" width="11.7109375" bestFit="1" customWidth="1"/>
    <col min="18" max="19" width="13.42578125" bestFit="1" customWidth="1"/>
    <col min="20" max="20" width="14.42578125" bestFit="1" customWidth="1"/>
    <col min="21" max="21" width="11.7109375" bestFit="1" customWidth="1"/>
    <col min="22" max="22" width="10.7109375" bestFit="1" customWidth="1"/>
    <col min="23" max="23" width="11.7109375" bestFit="1" customWidth="1"/>
    <col min="24" max="24" width="14.42578125" bestFit="1" customWidth="1"/>
    <col min="25" max="25" width="12.7109375" bestFit="1" customWidth="1"/>
    <col min="26" max="26" width="14.42578125" bestFit="1" customWidth="1"/>
    <col min="27" max="27" width="31.42578125" style="529" bestFit="1" customWidth="1"/>
    <col min="28" max="28" width="23.28515625" style="529" bestFit="1" customWidth="1"/>
    <col min="29" max="29" width="33" style="529" bestFit="1" customWidth="1"/>
    <col min="30" max="30" width="10.28515625" style="529" bestFit="1" customWidth="1"/>
  </cols>
  <sheetData>
    <row r="1" spans="1:30" s="688" customFormat="1" ht="13.5" thickBot="1" x14ac:dyDescent="0.25">
      <c r="A1" s="721"/>
      <c r="B1" s="722"/>
      <c r="C1" s="723"/>
      <c r="D1" s="724"/>
      <c r="E1" s="737"/>
    </row>
    <row r="2" spans="1:30" s="688" customFormat="1" ht="141" thickBot="1" x14ac:dyDescent="0.25">
      <c r="A2" s="691"/>
      <c r="B2" s="692"/>
      <c r="C2" s="693"/>
      <c r="D2" s="694"/>
      <c r="E2" s="694"/>
      <c r="F2" s="695" t="s">
        <v>1831</v>
      </c>
      <c r="G2" s="689" t="s">
        <v>1039</v>
      </c>
      <c r="H2" s="689" t="s">
        <v>782</v>
      </c>
      <c r="I2" s="689" t="s">
        <v>783</v>
      </c>
      <c r="J2" s="689" t="s">
        <v>1832</v>
      </c>
      <c r="K2" s="689" t="s">
        <v>1833</v>
      </c>
      <c r="L2" s="689" t="s">
        <v>1834</v>
      </c>
      <c r="M2" s="689" t="s">
        <v>1835</v>
      </c>
      <c r="N2" s="689" t="s">
        <v>1836</v>
      </c>
      <c r="O2" s="689" t="s">
        <v>1040</v>
      </c>
      <c r="P2" s="689" t="s">
        <v>1837</v>
      </c>
      <c r="Q2" s="689" t="s">
        <v>1838</v>
      </c>
      <c r="R2" s="689" t="s">
        <v>1839</v>
      </c>
      <c r="S2" s="689" t="s">
        <v>1840</v>
      </c>
      <c r="T2" s="689" t="s">
        <v>1841</v>
      </c>
      <c r="U2" s="689" t="s">
        <v>1842</v>
      </c>
      <c r="V2" s="689" t="s">
        <v>789</v>
      </c>
      <c r="W2" s="689" t="s">
        <v>1041</v>
      </c>
      <c r="X2" s="689" t="s">
        <v>1843</v>
      </c>
      <c r="Y2" s="689" t="s">
        <v>1844</v>
      </c>
      <c r="Z2" s="728" t="s">
        <v>1845</v>
      </c>
      <c r="AA2" s="689"/>
      <c r="AB2" s="689"/>
      <c r="AC2" s="696" t="s">
        <v>1197</v>
      </c>
      <c r="AD2" s="697" t="s">
        <v>1198</v>
      </c>
    </row>
    <row r="3" spans="1:30" s="688" customFormat="1" ht="12.75" x14ac:dyDescent="0.2">
      <c r="A3" s="698">
        <v>1</v>
      </c>
      <c r="B3" s="699">
        <v>2</v>
      </c>
      <c r="C3" s="699">
        <v>3</v>
      </c>
      <c r="D3" s="700">
        <v>4</v>
      </c>
      <c r="E3" s="698">
        <v>5</v>
      </c>
      <c r="F3" s="699">
        <v>6</v>
      </c>
      <c r="G3" s="699">
        <v>7</v>
      </c>
      <c r="H3" s="699">
        <v>8</v>
      </c>
      <c r="I3" s="699">
        <v>9</v>
      </c>
      <c r="J3" s="699">
        <v>10</v>
      </c>
      <c r="K3" s="699">
        <v>11</v>
      </c>
      <c r="L3" s="699">
        <v>12</v>
      </c>
      <c r="M3" s="699">
        <v>13</v>
      </c>
      <c r="N3" s="699">
        <v>14</v>
      </c>
      <c r="O3" s="699">
        <v>15</v>
      </c>
      <c r="P3" s="699">
        <v>16</v>
      </c>
      <c r="Q3" s="699">
        <v>17</v>
      </c>
      <c r="R3" s="699">
        <v>18</v>
      </c>
      <c r="S3" s="699">
        <v>19</v>
      </c>
      <c r="T3" s="699">
        <v>20</v>
      </c>
      <c r="U3" s="699">
        <v>21</v>
      </c>
      <c r="V3" s="699">
        <v>22</v>
      </c>
      <c r="W3" s="699">
        <v>23</v>
      </c>
      <c r="X3" s="699">
        <v>24</v>
      </c>
      <c r="Y3" s="699">
        <v>25</v>
      </c>
      <c r="Z3" s="699">
        <v>26</v>
      </c>
      <c r="AA3" s="699">
        <v>27</v>
      </c>
      <c r="AB3" s="699">
        <v>28</v>
      </c>
      <c r="AC3" s="699">
        <v>29</v>
      </c>
    </row>
    <row r="4" spans="1:30" s="688" customFormat="1" ht="12.75" x14ac:dyDescent="0.2">
      <c r="A4" s="698"/>
      <c r="B4" s="704"/>
      <c r="C4" s="705"/>
      <c r="D4" s="706"/>
      <c r="E4" s="745"/>
      <c r="F4" s="705"/>
      <c r="G4" s="705"/>
      <c r="H4" s="705"/>
      <c r="I4" s="705"/>
      <c r="J4" s="705"/>
      <c r="K4" s="705"/>
      <c r="L4" s="705"/>
      <c r="M4" s="705"/>
      <c r="N4" s="705"/>
      <c r="O4" s="705"/>
      <c r="P4" s="705"/>
      <c r="Q4" s="705"/>
      <c r="R4" s="705"/>
      <c r="S4" s="705"/>
      <c r="T4" s="705"/>
      <c r="U4" s="705"/>
      <c r="V4" s="705"/>
      <c r="W4" s="705"/>
      <c r="X4" s="705"/>
      <c r="Y4" s="705"/>
      <c r="Z4" s="705"/>
      <c r="AA4" s="705"/>
      <c r="AB4" s="705"/>
      <c r="AC4" s="705"/>
    </row>
    <row r="5" spans="1:30" s="688" customFormat="1" ht="12.75" x14ac:dyDescent="0.2">
      <c r="A5" s="698"/>
      <c r="B5" s="711" t="s">
        <v>626</v>
      </c>
      <c r="C5" s="711" t="s">
        <v>1199</v>
      </c>
      <c r="D5" s="712" t="s">
        <v>1200</v>
      </c>
      <c r="E5" s="746" t="s">
        <v>625</v>
      </c>
      <c r="F5" s="705"/>
      <c r="G5" s="705"/>
      <c r="H5" s="705"/>
      <c r="I5" s="705"/>
      <c r="J5" s="705"/>
      <c r="K5" s="705"/>
      <c r="L5" s="705"/>
      <c r="M5" s="705"/>
      <c r="N5" s="705"/>
      <c r="O5" s="705"/>
      <c r="P5" s="705"/>
      <c r="Q5" s="705"/>
      <c r="R5" s="705"/>
      <c r="S5" s="705"/>
      <c r="T5" s="705"/>
      <c r="U5" s="705"/>
      <c r="V5" s="705"/>
      <c r="W5" s="705"/>
      <c r="X5" s="705"/>
      <c r="Y5" s="705"/>
      <c r="Z5" s="705"/>
      <c r="AA5" s="705"/>
      <c r="AB5" s="705"/>
      <c r="AC5" s="705"/>
    </row>
    <row r="6" spans="1:30" s="688" customFormat="1" ht="13.5" thickBot="1" x14ac:dyDescent="0.25">
      <c r="A6" s="715"/>
      <c r="B6" s="716"/>
      <c r="C6" s="717"/>
      <c r="D6" s="718"/>
      <c r="E6" s="747"/>
      <c r="F6" s="705"/>
      <c r="G6" s="705"/>
      <c r="H6" s="705"/>
      <c r="I6" s="705"/>
      <c r="J6" s="705"/>
      <c r="K6" s="705"/>
      <c r="L6" s="705"/>
      <c r="M6" s="705"/>
      <c r="N6" s="705"/>
      <c r="O6" s="705"/>
      <c r="P6" s="705"/>
      <c r="Q6" s="705"/>
      <c r="R6" s="705"/>
      <c r="S6" s="705"/>
      <c r="T6" s="705"/>
      <c r="U6" s="705"/>
      <c r="V6" s="705"/>
      <c r="W6" s="705"/>
      <c r="X6" s="705"/>
      <c r="Y6" s="705"/>
      <c r="Z6" s="705"/>
      <c r="AA6" s="705"/>
      <c r="AB6" s="705"/>
      <c r="AC6" s="705"/>
    </row>
    <row r="7" spans="1:30" s="688" customFormat="1" ht="13.5" thickBot="1" x14ac:dyDescent="0.25">
      <c r="A7" s="730"/>
      <c r="B7" s="731"/>
      <c r="C7" s="732"/>
      <c r="D7" s="733"/>
      <c r="E7" s="748"/>
      <c r="F7" s="732"/>
      <c r="G7" s="732"/>
      <c r="H7" s="732"/>
      <c r="I7" s="732"/>
      <c r="J7" s="732"/>
      <c r="K7" s="732"/>
      <c r="L7" s="732"/>
      <c r="M7" s="732"/>
      <c r="N7" s="732"/>
      <c r="O7" s="732"/>
      <c r="P7" s="732"/>
      <c r="Q7" s="732"/>
      <c r="R7" s="732"/>
      <c r="S7" s="732"/>
      <c r="T7" s="732"/>
      <c r="U7" s="732"/>
      <c r="V7" s="732"/>
      <c r="W7" s="732"/>
      <c r="X7" s="732"/>
      <c r="Y7" s="732"/>
      <c r="Z7" s="736"/>
      <c r="AA7" s="654"/>
      <c r="AB7" s="654"/>
      <c r="AC7" s="654"/>
      <c r="AD7" s="654"/>
    </row>
    <row r="8" spans="1:30" ht="12.75" x14ac:dyDescent="0.2">
      <c r="A8" s="657">
        <v>1</v>
      </c>
      <c r="B8" s="658" t="s">
        <v>628</v>
      </c>
      <c r="C8" s="659" t="s">
        <v>1201</v>
      </c>
      <c r="D8" s="660" t="s">
        <v>1202</v>
      </c>
      <c r="E8" s="661" t="s">
        <v>627</v>
      </c>
      <c r="F8" s="129">
        <v>-1514602</v>
      </c>
      <c r="G8" s="129">
        <v>9819761</v>
      </c>
      <c r="H8" s="129">
        <v>0</v>
      </c>
      <c r="I8" s="129">
        <v>-160300</v>
      </c>
      <c r="J8" s="129">
        <v>0</v>
      </c>
      <c r="K8" s="129">
        <v>-437400</v>
      </c>
      <c r="L8" s="129">
        <v>9222061</v>
      </c>
      <c r="M8" s="129">
        <v>0</v>
      </c>
      <c r="N8" s="129">
        <v>0</v>
      </c>
      <c r="O8" s="129">
        <v>1178729</v>
      </c>
      <c r="P8" s="129">
        <v>1178729</v>
      </c>
      <c r="Q8" s="129">
        <v>-803723</v>
      </c>
      <c r="R8" s="129">
        <v>-4597534</v>
      </c>
      <c r="S8" s="129">
        <v>-10114574</v>
      </c>
      <c r="T8" s="129">
        <v>-3678027</v>
      </c>
      <c r="U8" s="129">
        <v>-84740</v>
      </c>
      <c r="V8" s="129">
        <v>0</v>
      </c>
      <c r="W8" s="129">
        <v>0</v>
      </c>
      <c r="X8" s="129">
        <v>-19278598</v>
      </c>
      <c r="Y8" s="129">
        <v>652876</v>
      </c>
      <c r="Z8" s="129">
        <v>-9739534</v>
      </c>
      <c r="AA8" s="662" t="s">
        <v>627</v>
      </c>
      <c r="AB8" s="324" t="s">
        <v>568</v>
      </c>
      <c r="AC8" s="663" t="s">
        <v>512</v>
      </c>
      <c r="AD8" s="529" t="s">
        <v>1203</v>
      </c>
    </row>
    <row r="9" spans="1:30" ht="12.75" x14ac:dyDescent="0.2">
      <c r="A9" s="664">
        <v>2</v>
      </c>
      <c r="B9" s="665" t="s">
        <v>630</v>
      </c>
      <c r="C9" s="666" t="s">
        <v>1201</v>
      </c>
      <c r="D9" s="667" t="s">
        <v>1204</v>
      </c>
      <c r="E9" s="668" t="s">
        <v>629</v>
      </c>
      <c r="F9" s="129">
        <v>265453</v>
      </c>
      <c r="G9" s="129">
        <v>12935964</v>
      </c>
      <c r="H9" s="129">
        <v>0</v>
      </c>
      <c r="I9" s="129">
        <v>-177652</v>
      </c>
      <c r="J9" s="129">
        <v>1141499</v>
      </c>
      <c r="K9" s="129">
        <v>-634792</v>
      </c>
      <c r="L9" s="129">
        <v>13265019</v>
      </c>
      <c r="M9" s="129">
        <v>65853</v>
      </c>
      <c r="N9" s="129">
        <v>35795</v>
      </c>
      <c r="O9" s="129">
        <v>0</v>
      </c>
      <c r="P9" s="129">
        <v>101648</v>
      </c>
      <c r="Q9" s="129">
        <v>0</v>
      </c>
      <c r="R9" s="129">
        <v>-13959834</v>
      </c>
      <c r="S9" s="129">
        <v>-2791967</v>
      </c>
      <c r="T9" s="129">
        <v>-11167867</v>
      </c>
      <c r="U9" s="129">
        <v>-716779</v>
      </c>
      <c r="V9" s="129">
        <v>0</v>
      </c>
      <c r="W9" s="129">
        <v>-344471</v>
      </c>
      <c r="X9" s="129">
        <v>-28980918</v>
      </c>
      <c r="Y9" s="129">
        <v>0</v>
      </c>
      <c r="Z9" s="129">
        <v>-15348798</v>
      </c>
      <c r="AA9" s="662" t="s">
        <v>629</v>
      </c>
      <c r="AB9" s="324" t="s">
        <v>513</v>
      </c>
      <c r="AC9" s="663" t="s">
        <v>512</v>
      </c>
      <c r="AD9" s="529" t="s">
        <v>1205</v>
      </c>
    </row>
    <row r="10" spans="1:30" ht="12.75" x14ac:dyDescent="0.2">
      <c r="A10" s="664">
        <v>3</v>
      </c>
      <c r="B10" s="665" t="s">
        <v>632</v>
      </c>
      <c r="C10" s="666" t="s">
        <v>1201</v>
      </c>
      <c r="D10" s="667" t="s">
        <v>1206</v>
      </c>
      <c r="E10" s="668" t="s">
        <v>631</v>
      </c>
      <c r="F10" s="129">
        <v>905954</v>
      </c>
      <c r="G10" s="129">
        <v>20893083</v>
      </c>
      <c r="H10" s="129">
        <v>0</v>
      </c>
      <c r="I10" s="129">
        <v>-16880</v>
      </c>
      <c r="J10" s="129">
        <v>1072953</v>
      </c>
      <c r="K10" s="129">
        <v>-1787453</v>
      </c>
      <c r="L10" s="129">
        <v>20161703</v>
      </c>
      <c r="M10" s="129">
        <v>0</v>
      </c>
      <c r="N10" s="129">
        <v>0</v>
      </c>
      <c r="O10" s="129">
        <v>0</v>
      </c>
      <c r="P10" s="129">
        <v>0</v>
      </c>
      <c r="Q10" s="129">
        <v>-131726</v>
      </c>
      <c r="R10" s="129">
        <v>-15144806</v>
      </c>
      <c r="S10" s="129">
        <v>-3028961</v>
      </c>
      <c r="T10" s="129">
        <v>-12115845</v>
      </c>
      <c r="U10" s="129">
        <v>-157279</v>
      </c>
      <c r="V10" s="129">
        <v>0</v>
      </c>
      <c r="W10" s="129">
        <v>-549894</v>
      </c>
      <c r="X10" s="129">
        <v>-31128511</v>
      </c>
      <c r="Y10" s="129">
        <v>0</v>
      </c>
      <c r="Z10" s="129">
        <v>-10060854</v>
      </c>
      <c r="AA10" s="662" t="s">
        <v>631</v>
      </c>
      <c r="AB10" s="324" t="s">
        <v>516</v>
      </c>
      <c r="AC10" s="663" t="s">
        <v>515</v>
      </c>
      <c r="AD10" s="529" t="s">
        <v>1207</v>
      </c>
    </row>
    <row r="11" spans="1:30" ht="12.75" x14ac:dyDescent="0.2">
      <c r="A11" s="664">
        <v>4</v>
      </c>
      <c r="B11" s="665" t="s">
        <v>634</v>
      </c>
      <c r="C11" s="666" t="s">
        <v>1201</v>
      </c>
      <c r="D11" s="667" t="s">
        <v>1202</v>
      </c>
      <c r="E11" s="668" t="s">
        <v>633</v>
      </c>
      <c r="F11" s="129">
        <v>-642094</v>
      </c>
      <c r="G11" s="129">
        <v>12793384</v>
      </c>
      <c r="H11" s="129">
        <v>-92141</v>
      </c>
      <c r="I11" s="129">
        <v>-37000</v>
      </c>
      <c r="J11" s="129">
        <v>2250800</v>
      </c>
      <c r="K11" s="129">
        <v>-2371800</v>
      </c>
      <c r="L11" s="129">
        <v>12543243</v>
      </c>
      <c r="M11" s="129">
        <v>11452</v>
      </c>
      <c r="N11" s="129">
        <v>0</v>
      </c>
      <c r="O11" s="129">
        <v>0</v>
      </c>
      <c r="P11" s="129">
        <v>11452</v>
      </c>
      <c r="Q11" s="129">
        <v>0</v>
      </c>
      <c r="R11" s="129">
        <v>-17543661</v>
      </c>
      <c r="S11" s="129">
        <v>-3508732</v>
      </c>
      <c r="T11" s="129">
        <v>-14034928</v>
      </c>
      <c r="U11" s="129">
        <v>-182456</v>
      </c>
      <c r="V11" s="129">
        <v>0</v>
      </c>
      <c r="W11" s="129">
        <v>-231819</v>
      </c>
      <c r="X11" s="129">
        <v>-35501596</v>
      </c>
      <c r="Y11" s="129">
        <v>2034609</v>
      </c>
      <c r="Z11" s="129">
        <v>-21554386</v>
      </c>
      <c r="AA11" s="662" t="s">
        <v>633</v>
      </c>
      <c r="AB11" s="324" t="s">
        <v>568</v>
      </c>
      <c r="AC11" s="663" t="s">
        <v>512</v>
      </c>
      <c r="AD11" s="529" t="s">
        <v>1208</v>
      </c>
    </row>
    <row r="12" spans="1:30" ht="14.25" x14ac:dyDescent="0.2">
      <c r="A12" s="664">
        <v>5</v>
      </c>
      <c r="B12" s="665" t="s">
        <v>636</v>
      </c>
      <c r="C12" s="666" t="s">
        <v>1201</v>
      </c>
      <c r="D12" s="667" t="s">
        <v>1206</v>
      </c>
      <c r="E12" s="668" t="s">
        <v>1871</v>
      </c>
      <c r="F12" s="129">
        <v>-1753217</v>
      </c>
      <c r="G12" s="129">
        <v>27581124</v>
      </c>
      <c r="H12" s="129">
        <v>0</v>
      </c>
      <c r="I12" s="129">
        <v>-500000</v>
      </c>
      <c r="J12" s="129">
        <v>0</v>
      </c>
      <c r="K12" s="129">
        <v>-1300000</v>
      </c>
      <c r="L12" s="129">
        <v>25781124</v>
      </c>
      <c r="M12" s="129">
        <v>44655</v>
      </c>
      <c r="N12" s="129">
        <v>0</v>
      </c>
      <c r="O12" s="129">
        <v>1080566</v>
      </c>
      <c r="P12" s="129">
        <v>1125221</v>
      </c>
      <c r="Q12" s="129">
        <v>-1371</v>
      </c>
      <c r="R12" s="129">
        <v>-19190720</v>
      </c>
      <c r="S12" s="129">
        <v>-3838143</v>
      </c>
      <c r="T12" s="129">
        <v>-15352575</v>
      </c>
      <c r="U12" s="129">
        <v>-171125</v>
      </c>
      <c r="V12" s="129">
        <v>0</v>
      </c>
      <c r="W12" s="129">
        <v>0</v>
      </c>
      <c r="X12" s="129">
        <v>-38553934</v>
      </c>
      <c r="Y12" s="129">
        <v>2157836</v>
      </c>
      <c r="Z12" s="129">
        <v>-11242970</v>
      </c>
      <c r="AA12" s="662" t="s">
        <v>635</v>
      </c>
      <c r="AB12" s="324" t="s">
        <v>559</v>
      </c>
      <c r="AC12" s="663" t="s">
        <v>558</v>
      </c>
      <c r="AD12" s="529" t="s">
        <v>1209</v>
      </c>
    </row>
    <row r="13" spans="1:30" ht="12.75" x14ac:dyDescent="0.2">
      <c r="A13" s="664">
        <v>6</v>
      </c>
      <c r="B13" s="665" t="s">
        <v>638</v>
      </c>
      <c r="C13" s="666" t="s">
        <v>1201</v>
      </c>
      <c r="D13" s="667" t="s">
        <v>1202</v>
      </c>
      <c r="E13" s="668" t="s">
        <v>637</v>
      </c>
      <c r="F13" s="129">
        <v>-168600</v>
      </c>
      <c r="G13" s="129">
        <v>26822308</v>
      </c>
      <c r="H13" s="129">
        <v>0</v>
      </c>
      <c r="I13" s="129">
        <v>-1165573</v>
      </c>
      <c r="J13" s="129">
        <v>1111604</v>
      </c>
      <c r="K13" s="129">
        <v>-2922054</v>
      </c>
      <c r="L13" s="129">
        <v>23846285</v>
      </c>
      <c r="M13" s="129">
        <v>0</v>
      </c>
      <c r="N13" s="129">
        <v>0</v>
      </c>
      <c r="O13" s="129">
        <v>0</v>
      </c>
      <c r="P13" s="129">
        <v>0</v>
      </c>
      <c r="Q13" s="129">
        <v>-103182</v>
      </c>
      <c r="R13" s="129">
        <v>-26480403</v>
      </c>
      <c r="S13" s="129">
        <v>-5296081</v>
      </c>
      <c r="T13" s="129">
        <v>-21184323</v>
      </c>
      <c r="U13" s="129">
        <v>-291103</v>
      </c>
      <c r="V13" s="129">
        <v>0</v>
      </c>
      <c r="W13" s="129">
        <v>-1635529</v>
      </c>
      <c r="X13" s="129">
        <v>-54990621</v>
      </c>
      <c r="Y13" s="129">
        <v>2002654</v>
      </c>
      <c r="Z13" s="129">
        <v>-29310282</v>
      </c>
      <c r="AA13" s="662" t="s">
        <v>637</v>
      </c>
      <c r="AB13" s="324" t="s">
        <v>543</v>
      </c>
      <c r="AC13" s="663" t="s">
        <v>542</v>
      </c>
      <c r="AD13" s="529" t="s">
        <v>1210</v>
      </c>
    </row>
    <row r="14" spans="1:30" ht="12.75" x14ac:dyDescent="0.2">
      <c r="A14" s="664">
        <v>7</v>
      </c>
      <c r="B14" s="665" t="s">
        <v>640</v>
      </c>
      <c r="C14" s="666" t="s">
        <v>1201</v>
      </c>
      <c r="D14" s="667" t="s">
        <v>1211</v>
      </c>
      <c r="E14" s="668" t="s">
        <v>639</v>
      </c>
      <c r="F14" s="129">
        <v>13352</v>
      </c>
      <c r="G14" s="129">
        <v>12430482</v>
      </c>
      <c r="H14" s="129">
        <v>0</v>
      </c>
      <c r="I14" s="129">
        <v>-54480</v>
      </c>
      <c r="J14" s="129">
        <v>387048</v>
      </c>
      <c r="K14" s="129">
        <v>-1705651</v>
      </c>
      <c r="L14" s="129">
        <v>11057399</v>
      </c>
      <c r="M14" s="129">
        <v>0</v>
      </c>
      <c r="N14" s="129">
        <v>0</v>
      </c>
      <c r="O14" s="129">
        <v>0</v>
      </c>
      <c r="P14" s="129">
        <v>0</v>
      </c>
      <c r="Q14" s="129">
        <v>-294982</v>
      </c>
      <c r="R14" s="129">
        <v>-11404181</v>
      </c>
      <c r="S14" s="129">
        <v>-2280836</v>
      </c>
      <c r="T14" s="129">
        <v>-9123344</v>
      </c>
      <c r="U14" s="129">
        <v>-940680</v>
      </c>
      <c r="V14" s="129">
        <v>0</v>
      </c>
      <c r="W14" s="129">
        <v>-24513</v>
      </c>
      <c r="X14" s="129">
        <v>-24068536</v>
      </c>
      <c r="Y14" s="129">
        <v>1090075</v>
      </c>
      <c r="Z14" s="129">
        <v>-11907710</v>
      </c>
      <c r="AA14" s="662" t="s">
        <v>639</v>
      </c>
      <c r="AB14" s="324" t="s">
        <v>565</v>
      </c>
      <c r="AC14" s="663" t="s">
        <v>512</v>
      </c>
      <c r="AD14" s="529" t="s">
        <v>1212</v>
      </c>
    </row>
    <row r="15" spans="1:30" ht="12.75" x14ac:dyDescent="0.2">
      <c r="A15" s="664">
        <v>8</v>
      </c>
      <c r="B15" s="665" t="s">
        <v>642</v>
      </c>
      <c r="C15" s="666" t="s">
        <v>1213</v>
      </c>
      <c r="D15" s="667" t="s">
        <v>1214</v>
      </c>
      <c r="E15" s="668" t="s">
        <v>641</v>
      </c>
      <c r="F15" s="129">
        <v>4862000</v>
      </c>
      <c r="G15" s="129">
        <v>41500000</v>
      </c>
      <c r="H15" s="129">
        <v>-37000</v>
      </c>
      <c r="I15" s="129">
        <v>-5215000</v>
      </c>
      <c r="J15" s="129">
        <v>0</v>
      </c>
      <c r="K15" s="129">
        <v>-6400000</v>
      </c>
      <c r="L15" s="129">
        <v>29848000</v>
      </c>
      <c r="M15" s="129">
        <v>0</v>
      </c>
      <c r="N15" s="129">
        <v>0</v>
      </c>
      <c r="O15" s="129">
        <v>0</v>
      </c>
      <c r="P15" s="129">
        <v>0</v>
      </c>
      <c r="Q15" s="129">
        <v>0</v>
      </c>
      <c r="R15" s="129">
        <v>-21331919</v>
      </c>
      <c r="S15" s="129">
        <v>-23917606</v>
      </c>
      <c r="T15" s="129">
        <v>-19392654</v>
      </c>
      <c r="U15" s="129">
        <v>-199469</v>
      </c>
      <c r="V15" s="129">
        <v>0</v>
      </c>
      <c r="W15" s="129">
        <v>-2933416</v>
      </c>
      <c r="X15" s="129">
        <v>-67775064</v>
      </c>
      <c r="Y15" s="129">
        <v>10544132</v>
      </c>
      <c r="Z15" s="129">
        <v>-22520932</v>
      </c>
      <c r="AA15" s="662" t="s">
        <v>641</v>
      </c>
      <c r="AB15" s="324" t="s">
        <v>576</v>
      </c>
      <c r="AC15" s="669" t="s">
        <v>485</v>
      </c>
      <c r="AD15" s="529" t="s">
        <v>1215</v>
      </c>
    </row>
    <row r="16" spans="1:30" ht="12.75" x14ac:dyDescent="0.2">
      <c r="A16" s="664">
        <v>9</v>
      </c>
      <c r="B16" s="665" t="s">
        <v>644</v>
      </c>
      <c r="C16" s="666" t="s">
        <v>1213</v>
      </c>
      <c r="D16" s="667" t="s">
        <v>1214</v>
      </c>
      <c r="E16" s="668" t="s">
        <v>643</v>
      </c>
      <c r="F16" s="129">
        <v>2855317</v>
      </c>
      <c r="G16" s="129">
        <v>42681180</v>
      </c>
      <c r="H16" s="129">
        <v>0</v>
      </c>
      <c r="I16" s="129">
        <v>-6750072</v>
      </c>
      <c r="J16" s="129">
        <v>1993251</v>
      </c>
      <c r="K16" s="129">
        <v>-2700588</v>
      </c>
      <c r="L16" s="129">
        <v>35223771</v>
      </c>
      <c r="M16" s="129">
        <v>0</v>
      </c>
      <c r="N16" s="129">
        <v>0</v>
      </c>
      <c r="O16" s="129">
        <v>0</v>
      </c>
      <c r="P16" s="129">
        <v>0</v>
      </c>
      <c r="Q16" s="129">
        <v>-1571594</v>
      </c>
      <c r="R16" s="129">
        <v>-36251098</v>
      </c>
      <c r="S16" s="129">
        <v>-40645171</v>
      </c>
      <c r="T16" s="129">
        <v>-32955544</v>
      </c>
      <c r="U16" s="129">
        <v>-395432</v>
      </c>
      <c r="V16" s="129">
        <v>0</v>
      </c>
      <c r="W16" s="129">
        <v>-765290</v>
      </c>
      <c r="X16" s="129">
        <v>-112584129</v>
      </c>
      <c r="Y16" s="129">
        <v>1135303</v>
      </c>
      <c r="Z16" s="129">
        <v>-73369738</v>
      </c>
      <c r="AA16" s="662" t="s">
        <v>643</v>
      </c>
      <c r="AB16" s="324" t="s">
        <v>576</v>
      </c>
      <c r="AC16" s="669" t="s">
        <v>485</v>
      </c>
      <c r="AD16" s="529" t="s">
        <v>1216</v>
      </c>
    </row>
    <row r="17" spans="1:30" ht="12.75" x14ac:dyDescent="0.2">
      <c r="A17" s="664">
        <v>10</v>
      </c>
      <c r="B17" s="665" t="s">
        <v>646</v>
      </c>
      <c r="C17" s="666" t="s">
        <v>1217</v>
      </c>
      <c r="D17" s="667" t="s">
        <v>1218</v>
      </c>
      <c r="E17" s="668" t="s">
        <v>645</v>
      </c>
      <c r="F17" s="129">
        <v>5518720</v>
      </c>
      <c r="G17" s="129">
        <v>34246759</v>
      </c>
      <c r="H17" s="129">
        <v>0</v>
      </c>
      <c r="I17" s="129">
        <v>-2193290</v>
      </c>
      <c r="J17" s="129">
        <v>2262234</v>
      </c>
      <c r="K17" s="129">
        <v>-3176185</v>
      </c>
      <c r="L17" s="129">
        <v>31139518</v>
      </c>
      <c r="M17" s="129">
        <v>0</v>
      </c>
      <c r="N17" s="129">
        <v>0</v>
      </c>
      <c r="O17" s="129">
        <v>0</v>
      </c>
      <c r="P17" s="129">
        <v>0</v>
      </c>
      <c r="Q17" s="129">
        <v>-1303995</v>
      </c>
      <c r="R17" s="129">
        <v>-23915299</v>
      </c>
      <c r="S17" s="129">
        <v>-480892</v>
      </c>
      <c r="T17" s="129">
        <v>-23563712</v>
      </c>
      <c r="U17" s="129">
        <v>-1175611</v>
      </c>
      <c r="V17" s="129">
        <v>0</v>
      </c>
      <c r="W17" s="129">
        <v>-1557452</v>
      </c>
      <c r="X17" s="129">
        <v>-51996961</v>
      </c>
      <c r="Y17" s="129">
        <v>472859</v>
      </c>
      <c r="Z17" s="129">
        <v>-14865864</v>
      </c>
      <c r="AA17" s="662" t="s">
        <v>645</v>
      </c>
      <c r="AB17" s="324" t="s">
        <v>570</v>
      </c>
      <c r="AC17" s="663" t="s">
        <v>572</v>
      </c>
      <c r="AD17" s="529" t="s">
        <v>1219</v>
      </c>
    </row>
    <row r="18" spans="1:30" ht="12.75" x14ac:dyDescent="0.2">
      <c r="A18" s="664">
        <v>11</v>
      </c>
      <c r="B18" s="665" t="s">
        <v>648</v>
      </c>
      <c r="C18" s="666" t="s">
        <v>1201</v>
      </c>
      <c r="D18" s="667" t="s">
        <v>1204</v>
      </c>
      <c r="E18" s="668" t="s">
        <v>647</v>
      </c>
      <c r="F18" s="129">
        <v>70521</v>
      </c>
      <c r="G18" s="129">
        <v>12538400</v>
      </c>
      <c r="H18" s="129">
        <v>0</v>
      </c>
      <c r="I18" s="129">
        <v>-1078348</v>
      </c>
      <c r="J18" s="129">
        <v>0</v>
      </c>
      <c r="K18" s="129">
        <v>-601843</v>
      </c>
      <c r="L18" s="129">
        <v>10858209</v>
      </c>
      <c r="M18" s="129">
        <v>54686</v>
      </c>
      <c r="N18" s="129">
        <v>0</v>
      </c>
      <c r="O18" s="129">
        <v>471193</v>
      </c>
      <c r="P18" s="129">
        <v>525879</v>
      </c>
      <c r="Q18" s="129">
        <v>-753003</v>
      </c>
      <c r="R18" s="129">
        <v>-10838399</v>
      </c>
      <c r="S18" s="129">
        <v>-2167680</v>
      </c>
      <c r="T18" s="129">
        <v>-8670719</v>
      </c>
      <c r="U18" s="129">
        <v>-252837</v>
      </c>
      <c r="V18" s="129">
        <v>0</v>
      </c>
      <c r="W18" s="129">
        <v>0</v>
      </c>
      <c r="X18" s="129">
        <v>-22682638</v>
      </c>
      <c r="Y18" s="129">
        <v>1819962</v>
      </c>
      <c r="Z18" s="129">
        <v>-9408067</v>
      </c>
      <c r="AA18" s="662" t="s">
        <v>647</v>
      </c>
      <c r="AB18" s="324" t="s">
        <v>513</v>
      </c>
      <c r="AC18" s="663" t="s">
        <v>512</v>
      </c>
      <c r="AD18" s="529" t="s">
        <v>1220</v>
      </c>
    </row>
    <row r="19" spans="1:30" ht="12.75" x14ac:dyDescent="0.2">
      <c r="A19" s="664">
        <v>12</v>
      </c>
      <c r="B19" s="665" t="s">
        <v>650</v>
      </c>
      <c r="C19" s="666" t="s">
        <v>1201</v>
      </c>
      <c r="D19" s="667" t="s">
        <v>1211</v>
      </c>
      <c r="E19" s="668" t="s">
        <v>649</v>
      </c>
      <c r="F19" s="129">
        <v>-3280445</v>
      </c>
      <c r="G19" s="129">
        <v>45426844</v>
      </c>
      <c r="H19" s="129">
        <v>0</v>
      </c>
      <c r="I19" s="129">
        <v>-1957167</v>
      </c>
      <c r="J19" s="129">
        <v>2370040</v>
      </c>
      <c r="K19" s="129">
        <v>-2695040</v>
      </c>
      <c r="L19" s="129">
        <v>43144677</v>
      </c>
      <c r="M19" s="129">
        <v>0</v>
      </c>
      <c r="N19" s="129">
        <v>0</v>
      </c>
      <c r="O19" s="129">
        <v>2936710</v>
      </c>
      <c r="P19" s="129">
        <v>2936710</v>
      </c>
      <c r="Q19" s="129">
        <v>-702982</v>
      </c>
      <c r="R19" s="129">
        <v>-39459275</v>
      </c>
      <c r="S19" s="129">
        <v>-7891856</v>
      </c>
      <c r="T19" s="129">
        <v>-31567421</v>
      </c>
      <c r="U19" s="129">
        <v>-246117</v>
      </c>
      <c r="V19" s="129">
        <v>0</v>
      </c>
      <c r="W19" s="129">
        <v>0</v>
      </c>
      <c r="X19" s="129">
        <v>-79867651</v>
      </c>
      <c r="Y19" s="129">
        <v>1369074</v>
      </c>
      <c r="Z19" s="129">
        <v>-35697635</v>
      </c>
      <c r="AA19" s="662" t="s">
        <v>649</v>
      </c>
      <c r="AB19" s="324" t="s">
        <v>528</v>
      </c>
      <c r="AC19" s="663" t="s">
        <v>1913</v>
      </c>
      <c r="AD19" s="529" t="s">
        <v>1221</v>
      </c>
    </row>
    <row r="20" spans="1:30" ht="12.75" x14ac:dyDescent="0.2">
      <c r="A20" s="664">
        <v>13</v>
      </c>
      <c r="B20" s="665" t="s">
        <v>652</v>
      </c>
      <c r="C20" s="666" t="s">
        <v>1201</v>
      </c>
      <c r="D20" s="667" t="s">
        <v>1202</v>
      </c>
      <c r="E20" s="668" t="s">
        <v>825</v>
      </c>
      <c r="F20" s="129">
        <v>4601953</v>
      </c>
      <c r="G20" s="129">
        <v>44434000</v>
      </c>
      <c r="H20" s="129">
        <v>0</v>
      </c>
      <c r="I20" s="129">
        <v>-550000</v>
      </c>
      <c r="J20" s="129">
        <v>2550000</v>
      </c>
      <c r="K20" s="129">
        <v>-2115000</v>
      </c>
      <c r="L20" s="129">
        <v>44319000</v>
      </c>
      <c r="M20" s="129">
        <v>0</v>
      </c>
      <c r="N20" s="129">
        <v>0</v>
      </c>
      <c r="O20" s="129">
        <v>1080272</v>
      </c>
      <c r="P20" s="129">
        <v>1080272</v>
      </c>
      <c r="Q20" s="129">
        <v>-2370200</v>
      </c>
      <c r="R20" s="129">
        <v>-36052602</v>
      </c>
      <c r="S20" s="129">
        <v>-7330520</v>
      </c>
      <c r="T20" s="129">
        <v>-29322081</v>
      </c>
      <c r="U20" s="129">
        <v>-1301296</v>
      </c>
      <c r="V20" s="129">
        <v>0</v>
      </c>
      <c r="W20" s="129">
        <v>0</v>
      </c>
      <c r="X20" s="129">
        <v>-76376699</v>
      </c>
      <c r="Y20" s="129">
        <v>0</v>
      </c>
      <c r="Z20" s="129">
        <v>-26375474</v>
      </c>
      <c r="AA20" s="662" t="s">
        <v>825</v>
      </c>
      <c r="AB20" s="324" t="s">
        <v>532</v>
      </c>
      <c r="AC20" s="663" t="s">
        <v>1914</v>
      </c>
      <c r="AD20" s="529" t="s">
        <v>1222</v>
      </c>
    </row>
    <row r="21" spans="1:30" ht="12.75" x14ac:dyDescent="0.2">
      <c r="A21" s="664">
        <v>14</v>
      </c>
      <c r="B21" s="665" t="s">
        <v>654</v>
      </c>
      <c r="C21" s="666" t="s">
        <v>1201</v>
      </c>
      <c r="D21" s="667" t="s">
        <v>1206</v>
      </c>
      <c r="E21" s="668" t="s">
        <v>653</v>
      </c>
      <c r="F21" s="129">
        <v>-3188249</v>
      </c>
      <c r="G21" s="129">
        <v>34330341</v>
      </c>
      <c r="H21" s="129">
        <v>0</v>
      </c>
      <c r="I21" s="129">
        <v>-390000</v>
      </c>
      <c r="J21" s="129">
        <v>614596</v>
      </c>
      <c r="K21" s="129">
        <v>-2060763</v>
      </c>
      <c r="L21" s="129">
        <v>32494174</v>
      </c>
      <c r="M21" s="129">
        <v>0</v>
      </c>
      <c r="N21" s="129">
        <v>0</v>
      </c>
      <c r="O21" s="129">
        <v>0</v>
      </c>
      <c r="P21" s="129">
        <v>0</v>
      </c>
      <c r="Q21" s="129">
        <v>-3317193</v>
      </c>
      <c r="R21" s="129">
        <v>-21327481</v>
      </c>
      <c r="S21" s="129">
        <v>-4265497</v>
      </c>
      <c r="T21" s="129">
        <v>-17061986</v>
      </c>
      <c r="U21" s="129">
        <v>-832772</v>
      </c>
      <c r="V21" s="129">
        <v>-192483</v>
      </c>
      <c r="W21" s="129">
        <v>-1580795</v>
      </c>
      <c r="X21" s="129">
        <v>-48578207</v>
      </c>
      <c r="Y21" s="129">
        <v>1370339</v>
      </c>
      <c r="Z21" s="129">
        <v>-17901943</v>
      </c>
      <c r="AA21" s="662" t="s">
        <v>653</v>
      </c>
      <c r="AB21" s="324" t="s">
        <v>559</v>
      </c>
      <c r="AC21" s="663" t="s">
        <v>558</v>
      </c>
      <c r="AD21" s="529" t="s">
        <v>1223</v>
      </c>
    </row>
    <row r="22" spans="1:30" ht="12.75" x14ac:dyDescent="0.2">
      <c r="A22" s="664">
        <v>15</v>
      </c>
      <c r="B22" s="665" t="s">
        <v>656</v>
      </c>
      <c r="C22" s="666" t="s">
        <v>486</v>
      </c>
      <c r="D22" s="667" t="s">
        <v>1224</v>
      </c>
      <c r="E22" s="668" t="s">
        <v>826</v>
      </c>
      <c r="F22" s="129">
        <v>1275721</v>
      </c>
      <c r="G22" s="129">
        <v>26888045</v>
      </c>
      <c r="H22" s="129">
        <v>-686185</v>
      </c>
      <c r="I22" s="129">
        <v>-740739</v>
      </c>
      <c r="J22" s="129">
        <v>1770071</v>
      </c>
      <c r="K22" s="129">
        <v>-4239109</v>
      </c>
      <c r="L22" s="129">
        <v>22992083</v>
      </c>
      <c r="M22" s="129">
        <v>0</v>
      </c>
      <c r="N22" s="129">
        <v>94219</v>
      </c>
      <c r="O22" s="129">
        <v>0</v>
      </c>
      <c r="P22" s="129">
        <v>94219</v>
      </c>
      <c r="Q22" s="129">
        <v>-468249</v>
      </c>
      <c r="R22" s="129">
        <v>0</v>
      </c>
      <c r="S22" s="129">
        <v>-4010046</v>
      </c>
      <c r="T22" s="129">
        <v>-62824054</v>
      </c>
      <c r="U22" s="129">
        <v>-392917</v>
      </c>
      <c r="V22" s="129">
        <v>0</v>
      </c>
      <c r="W22" s="129">
        <v>-1614719</v>
      </c>
      <c r="X22" s="129">
        <v>-69309985</v>
      </c>
      <c r="Y22" s="129">
        <v>1975307</v>
      </c>
      <c r="Z22" s="129">
        <v>-42972655</v>
      </c>
      <c r="AA22" s="662" t="s">
        <v>826</v>
      </c>
      <c r="AB22" s="324" t="s">
        <v>486</v>
      </c>
      <c r="AC22" s="663" t="s">
        <v>487</v>
      </c>
      <c r="AD22" s="529" t="s">
        <v>1225</v>
      </c>
    </row>
    <row r="23" spans="1:30" ht="12.75" x14ac:dyDescent="0.2">
      <c r="A23" s="664">
        <v>16</v>
      </c>
      <c r="B23" s="665" t="s">
        <v>658</v>
      </c>
      <c r="C23" s="666" t="s">
        <v>486</v>
      </c>
      <c r="D23" s="667" t="s">
        <v>1211</v>
      </c>
      <c r="E23" s="668" t="s">
        <v>657</v>
      </c>
      <c r="F23" s="129">
        <v>-4508544</v>
      </c>
      <c r="G23" s="129">
        <v>44843462</v>
      </c>
      <c r="H23" s="129">
        <v>0</v>
      </c>
      <c r="I23" s="129">
        <v>-358734</v>
      </c>
      <c r="J23" s="129">
        <v>1745131</v>
      </c>
      <c r="K23" s="129">
        <v>-3298046</v>
      </c>
      <c r="L23" s="129">
        <v>42931813</v>
      </c>
      <c r="M23" s="129">
        <v>0</v>
      </c>
      <c r="N23" s="129">
        <v>0</v>
      </c>
      <c r="O23" s="129">
        <v>3745129</v>
      </c>
      <c r="P23" s="129">
        <v>3745129</v>
      </c>
      <c r="Q23" s="129">
        <v>-1356313</v>
      </c>
      <c r="R23" s="129">
        <v>-32845364</v>
      </c>
      <c r="S23" s="129">
        <v>-656907</v>
      </c>
      <c r="T23" s="129">
        <v>-32188456</v>
      </c>
      <c r="U23" s="129">
        <v>-880177</v>
      </c>
      <c r="V23" s="129">
        <v>0</v>
      </c>
      <c r="W23" s="129">
        <v>0</v>
      </c>
      <c r="X23" s="129">
        <v>-67927217</v>
      </c>
      <c r="Y23" s="129">
        <v>0</v>
      </c>
      <c r="Z23" s="129">
        <v>-25758819</v>
      </c>
      <c r="AA23" s="662" t="s">
        <v>657</v>
      </c>
      <c r="AB23" s="324" t="s">
        <v>486</v>
      </c>
      <c r="AC23" s="663" t="s">
        <v>492</v>
      </c>
      <c r="AD23" s="529" t="s">
        <v>1226</v>
      </c>
    </row>
    <row r="24" spans="1:30" ht="12.75" x14ac:dyDescent="0.2">
      <c r="A24" s="664">
        <v>17</v>
      </c>
      <c r="B24" s="665" t="s">
        <v>660</v>
      </c>
      <c r="C24" s="666" t="s">
        <v>1213</v>
      </c>
      <c r="D24" s="667" t="s">
        <v>1214</v>
      </c>
      <c r="E24" s="668" t="s">
        <v>659</v>
      </c>
      <c r="F24" s="129">
        <v>7408171</v>
      </c>
      <c r="G24" s="129">
        <v>46012026</v>
      </c>
      <c r="H24" s="129">
        <v>0</v>
      </c>
      <c r="I24" s="129">
        <v>-2074501</v>
      </c>
      <c r="J24" s="129">
        <v>0</v>
      </c>
      <c r="K24" s="129">
        <v>0</v>
      </c>
      <c r="L24" s="129">
        <v>43937525</v>
      </c>
      <c r="M24" s="129">
        <v>0</v>
      </c>
      <c r="N24" s="129">
        <v>0</v>
      </c>
      <c r="O24" s="129">
        <v>0</v>
      </c>
      <c r="P24" s="129">
        <v>0</v>
      </c>
      <c r="Q24" s="129">
        <v>-686400</v>
      </c>
      <c r="R24" s="129">
        <v>-25360508</v>
      </c>
      <c r="S24" s="129">
        <v>-28434510</v>
      </c>
      <c r="T24" s="129">
        <v>-23055008</v>
      </c>
      <c r="U24" s="129">
        <v>-245296</v>
      </c>
      <c r="V24" s="129">
        <v>0</v>
      </c>
      <c r="W24" s="129">
        <v>-5896697</v>
      </c>
      <c r="X24" s="129">
        <v>-83678419</v>
      </c>
      <c r="Y24" s="129">
        <v>2657317</v>
      </c>
      <c r="Z24" s="129">
        <v>-29675406</v>
      </c>
      <c r="AA24" s="662" t="s">
        <v>659</v>
      </c>
      <c r="AB24" s="324" t="s">
        <v>576</v>
      </c>
      <c r="AC24" s="669" t="s">
        <v>485</v>
      </c>
      <c r="AD24" s="529" t="s">
        <v>1227</v>
      </c>
    </row>
    <row r="25" spans="1:30" ht="12.75" x14ac:dyDescent="0.2">
      <c r="A25" s="664">
        <v>18</v>
      </c>
      <c r="B25" s="665" t="s">
        <v>662</v>
      </c>
      <c r="C25" s="666" t="s">
        <v>1217</v>
      </c>
      <c r="D25" s="667" t="s">
        <v>1228</v>
      </c>
      <c r="E25" s="668" t="s">
        <v>661</v>
      </c>
      <c r="F25" s="129">
        <v>-16932405</v>
      </c>
      <c r="G25" s="129">
        <v>265861334</v>
      </c>
      <c r="H25" s="129">
        <v>-14277826</v>
      </c>
      <c r="I25" s="129">
        <v>-5711130</v>
      </c>
      <c r="J25" s="129">
        <v>22765126</v>
      </c>
      <c r="K25" s="129">
        <v>-39024463</v>
      </c>
      <c r="L25" s="129">
        <v>229613041</v>
      </c>
      <c r="M25" s="129">
        <v>0</v>
      </c>
      <c r="N25" s="129">
        <v>878486</v>
      </c>
      <c r="O25" s="129">
        <v>15515265</v>
      </c>
      <c r="P25" s="129">
        <v>16393751</v>
      </c>
      <c r="Q25" s="129">
        <v>-1068250</v>
      </c>
      <c r="R25" s="129">
        <v>0</v>
      </c>
      <c r="S25" s="129">
        <v>-4456610</v>
      </c>
      <c r="T25" s="129">
        <v>-441204400</v>
      </c>
      <c r="U25" s="129">
        <v>-12005943</v>
      </c>
      <c r="V25" s="129">
        <v>0</v>
      </c>
      <c r="W25" s="129">
        <v>0</v>
      </c>
      <c r="X25" s="129">
        <v>-458735203</v>
      </c>
      <c r="Y25" s="129">
        <v>33266669</v>
      </c>
      <c r="Z25" s="129">
        <v>-196394147</v>
      </c>
      <c r="AA25" s="662" t="s">
        <v>661</v>
      </c>
      <c r="AB25" s="324" t="s">
        <v>570</v>
      </c>
      <c r="AC25" s="663" t="s">
        <v>574</v>
      </c>
      <c r="AD25" s="529" t="s">
        <v>1229</v>
      </c>
    </row>
    <row r="26" spans="1:30" ht="12.75" x14ac:dyDescent="0.2">
      <c r="A26" s="664">
        <v>19</v>
      </c>
      <c r="B26" s="665" t="s">
        <v>664</v>
      </c>
      <c r="C26" s="666" t="s">
        <v>1201</v>
      </c>
      <c r="D26" s="667" t="s">
        <v>1206</v>
      </c>
      <c r="E26" s="668" t="s">
        <v>663</v>
      </c>
      <c r="F26" s="129">
        <v>620162</v>
      </c>
      <c r="G26" s="129">
        <v>26017460</v>
      </c>
      <c r="H26" s="129">
        <v>0</v>
      </c>
      <c r="I26" s="129">
        <v>-309705</v>
      </c>
      <c r="J26" s="129">
        <v>570000</v>
      </c>
      <c r="K26" s="129">
        <v>-3438000</v>
      </c>
      <c r="L26" s="129">
        <v>22839755</v>
      </c>
      <c r="M26" s="129">
        <v>0</v>
      </c>
      <c r="N26" s="129">
        <v>0</v>
      </c>
      <c r="O26" s="129">
        <v>853703</v>
      </c>
      <c r="P26" s="129">
        <v>853703</v>
      </c>
      <c r="Q26" s="129">
        <v>-408763</v>
      </c>
      <c r="R26" s="129">
        <v>-24914753</v>
      </c>
      <c r="S26" s="129">
        <v>-4982950</v>
      </c>
      <c r="T26" s="129">
        <v>-19931802</v>
      </c>
      <c r="U26" s="129">
        <v>-103266</v>
      </c>
      <c r="V26" s="129">
        <v>0</v>
      </c>
      <c r="W26" s="129">
        <v>0</v>
      </c>
      <c r="X26" s="129">
        <v>-50341534</v>
      </c>
      <c r="Y26" s="129">
        <v>4166649</v>
      </c>
      <c r="Z26" s="129">
        <v>-21861265</v>
      </c>
      <c r="AA26" s="662" t="s">
        <v>663</v>
      </c>
      <c r="AB26" s="324" t="s">
        <v>551</v>
      </c>
      <c r="AC26" s="663" t="s">
        <v>549</v>
      </c>
      <c r="AD26" s="529" t="s">
        <v>1230</v>
      </c>
    </row>
    <row r="27" spans="1:30" ht="12.75" x14ac:dyDescent="0.2">
      <c r="A27" s="664">
        <v>20</v>
      </c>
      <c r="B27" s="665" t="s">
        <v>665</v>
      </c>
      <c r="C27" s="666" t="s">
        <v>486</v>
      </c>
      <c r="D27" s="667" t="s">
        <v>1204</v>
      </c>
      <c r="E27" s="668" t="s">
        <v>544</v>
      </c>
      <c r="F27" s="129">
        <v>2412235</v>
      </c>
      <c r="G27" s="129">
        <v>26483000</v>
      </c>
      <c r="H27" s="129">
        <v>0</v>
      </c>
      <c r="I27" s="129">
        <v>-1000000</v>
      </c>
      <c r="J27" s="129">
        <v>1900000</v>
      </c>
      <c r="K27" s="129">
        <v>-2900000</v>
      </c>
      <c r="L27" s="129">
        <v>24483000</v>
      </c>
      <c r="M27" s="129">
        <v>0</v>
      </c>
      <c r="N27" s="129">
        <v>0</v>
      </c>
      <c r="O27" s="129">
        <v>0</v>
      </c>
      <c r="P27" s="129">
        <v>0</v>
      </c>
      <c r="Q27" s="129">
        <v>-1500000</v>
      </c>
      <c r="R27" s="129">
        <v>-21007393</v>
      </c>
      <c r="S27" s="129">
        <v>-420148</v>
      </c>
      <c r="T27" s="129">
        <v>-20587245</v>
      </c>
      <c r="U27" s="129">
        <v>-246883</v>
      </c>
      <c r="V27" s="129">
        <v>0</v>
      </c>
      <c r="W27" s="129">
        <v>-490481</v>
      </c>
      <c r="X27" s="129">
        <v>-44252150</v>
      </c>
      <c r="Y27" s="129">
        <v>1405779</v>
      </c>
      <c r="Z27" s="129">
        <v>-15951136</v>
      </c>
      <c r="AA27" s="662" t="s">
        <v>544</v>
      </c>
      <c r="AB27" s="324" t="s">
        <v>486</v>
      </c>
      <c r="AC27" s="663" t="s">
        <v>545</v>
      </c>
      <c r="AD27" s="529" t="s">
        <v>1231</v>
      </c>
    </row>
    <row r="28" spans="1:30" ht="12.75" x14ac:dyDescent="0.2">
      <c r="A28" s="664">
        <v>21</v>
      </c>
      <c r="B28" s="665" t="s">
        <v>667</v>
      </c>
      <c r="C28" s="666" t="s">
        <v>486</v>
      </c>
      <c r="D28" s="667" t="s">
        <v>1204</v>
      </c>
      <c r="E28" s="668" t="s">
        <v>546</v>
      </c>
      <c r="F28" s="129">
        <v>3619174</v>
      </c>
      <c r="G28" s="129">
        <v>14100000</v>
      </c>
      <c r="H28" s="129">
        <v>0</v>
      </c>
      <c r="I28" s="129">
        <v>-1530000</v>
      </c>
      <c r="J28" s="129">
        <v>1200000</v>
      </c>
      <c r="K28" s="129">
        <v>-3000000</v>
      </c>
      <c r="L28" s="129">
        <v>10770000</v>
      </c>
      <c r="M28" s="129">
        <v>0</v>
      </c>
      <c r="N28" s="129">
        <v>0</v>
      </c>
      <c r="O28" s="129">
        <v>0</v>
      </c>
      <c r="P28" s="129">
        <v>0</v>
      </c>
      <c r="Q28" s="129">
        <v>-1000000</v>
      </c>
      <c r="R28" s="129">
        <v>-19581174</v>
      </c>
      <c r="S28" s="129">
        <v>-398103</v>
      </c>
      <c r="T28" s="129">
        <v>-19507069</v>
      </c>
      <c r="U28" s="129">
        <v>-555227</v>
      </c>
      <c r="V28" s="129">
        <v>0</v>
      </c>
      <c r="W28" s="129">
        <v>-2326200</v>
      </c>
      <c r="X28" s="129">
        <v>-43367773</v>
      </c>
      <c r="Y28" s="129">
        <v>816841</v>
      </c>
      <c r="Z28" s="129">
        <v>-28161758</v>
      </c>
      <c r="AA28" s="662" t="s">
        <v>546</v>
      </c>
      <c r="AB28" s="324" t="s">
        <v>486</v>
      </c>
      <c r="AC28" s="663" t="s">
        <v>545</v>
      </c>
      <c r="AD28" s="529" t="s">
        <v>1232</v>
      </c>
    </row>
    <row r="29" spans="1:30" ht="12.75" x14ac:dyDescent="0.2">
      <c r="A29" s="664">
        <v>22</v>
      </c>
      <c r="B29" s="665" t="s">
        <v>669</v>
      </c>
      <c r="C29" s="666" t="s">
        <v>1201</v>
      </c>
      <c r="D29" s="667" t="s">
        <v>1206</v>
      </c>
      <c r="E29" s="668" t="s">
        <v>668</v>
      </c>
      <c r="F29" s="129">
        <v>2365430</v>
      </c>
      <c r="G29" s="129">
        <v>20924092</v>
      </c>
      <c r="H29" s="129">
        <v>-3579</v>
      </c>
      <c r="I29" s="129">
        <v>-459518</v>
      </c>
      <c r="J29" s="129">
        <v>697993</v>
      </c>
      <c r="K29" s="129">
        <v>-1299675</v>
      </c>
      <c r="L29" s="129">
        <v>19859313</v>
      </c>
      <c r="M29" s="129">
        <v>0</v>
      </c>
      <c r="N29" s="129">
        <v>0</v>
      </c>
      <c r="O29" s="129">
        <v>0</v>
      </c>
      <c r="P29" s="129">
        <v>0</v>
      </c>
      <c r="Q29" s="129">
        <v>-176703</v>
      </c>
      <c r="R29" s="129">
        <v>-13800390</v>
      </c>
      <c r="S29" s="129">
        <v>-2760078</v>
      </c>
      <c r="T29" s="129">
        <v>-11040312</v>
      </c>
      <c r="U29" s="129">
        <v>-151599</v>
      </c>
      <c r="V29" s="129">
        <v>0</v>
      </c>
      <c r="W29" s="129">
        <v>-2474512</v>
      </c>
      <c r="X29" s="129">
        <v>-30403594</v>
      </c>
      <c r="Y29" s="129">
        <v>186510</v>
      </c>
      <c r="Z29" s="129">
        <v>-7992341</v>
      </c>
      <c r="AA29" s="662" t="s">
        <v>668</v>
      </c>
      <c r="AB29" s="324" t="s">
        <v>516</v>
      </c>
      <c r="AC29" s="663" t="s">
        <v>515</v>
      </c>
      <c r="AD29" s="529" t="s">
        <v>1233</v>
      </c>
    </row>
    <row r="30" spans="1:30" ht="12.75" x14ac:dyDescent="0.2">
      <c r="A30" s="664">
        <v>23</v>
      </c>
      <c r="B30" s="665" t="s">
        <v>671</v>
      </c>
      <c r="C30" s="666" t="s">
        <v>1217</v>
      </c>
      <c r="D30" s="667" t="s">
        <v>1204</v>
      </c>
      <c r="E30" s="668" t="s">
        <v>670</v>
      </c>
      <c r="F30" s="129">
        <v>1407714</v>
      </c>
      <c r="G30" s="129">
        <v>49427749</v>
      </c>
      <c r="H30" s="129">
        <v>-4830000</v>
      </c>
      <c r="I30" s="129">
        <v>0</v>
      </c>
      <c r="J30" s="129">
        <v>2210000</v>
      </c>
      <c r="K30" s="129">
        <v>-5515739</v>
      </c>
      <c r="L30" s="129">
        <v>41292010</v>
      </c>
      <c r="M30" s="129">
        <v>235000</v>
      </c>
      <c r="N30" s="129">
        <v>0</v>
      </c>
      <c r="O30" s="129">
        <v>0</v>
      </c>
      <c r="P30" s="129">
        <v>235000</v>
      </c>
      <c r="Q30" s="129">
        <v>-2290000</v>
      </c>
      <c r="R30" s="129">
        <v>0</v>
      </c>
      <c r="S30" s="129">
        <v>-832729</v>
      </c>
      <c r="T30" s="129">
        <v>-82440217</v>
      </c>
      <c r="U30" s="129">
        <v>0</v>
      </c>
      <c r="V30" s="129">
        <v>0</v>
      </c>
      <c r="W30" s="129">
        <v>-1329835</v>
      </c>
      <c r="X30" s="129">
        <v>-86892781</v>
      </c>
      <c r="Y30" s="129">
        <v>2151573</v>
      </c>
      <c r="Z30" s="129">
        <v>-41806484</v>
      </c>
      <c r="AA30" s="662" t="s">
        <v>670</v>
      </c>
      <c r="AB30" s="324" t="s">
        <v>570</v>
      </c>
      <c r="AC30" s="663" t="s">
        <v>1915</v>
      </c>
      <c r="AD30" s="529" t="s">
        <v>1234</v>
      </c>
    </row>
    <row r="31" spans="1:30" ht="12.75" x14ac:dyDescent="0.2">
      <c r="A31" s="664">
        <v>24</v>
      </c>
      <c r="B31" s="665" t="s">
        <v>673</v>
      </c>
      <c r="C31" s="666" t="s">
        <v>1201</v>
      </c>
      <c r="D31" s="667" t="s">
        <v>1206</v>
      </c>
      <c r="E31" s="668" t="s">
        <v>672</v>
      </c>
      <c r="F31" s="129">
        <v>-689884</v>
      </c>
      <c r="G31" s="129">
        <v>10531083</v>
      </c>
      <c r="H31" s="129">
        <v>0</v>
      </c>
      <c r="I31" s="129">
        <v>200000</v>
      </c>
      <c r="J31" s="129">
        <v>0</v>
      </c>
      <c r="K31" s="129">
        <v>500000</v>
      </c>
      <c r="L31" s="129">
        <v>11231083</v>
      </c>
      <c r="M31" s="129">
        <v>55113</v>
      </c>
      <c r="N31" s="129">
        <v>0</v>
      </c>
      <c r="O31" s="129">
        <v>543242</v>
      </c>
      <c r="P31" s="129">
        <v>598355</v>
      </c>
      <c r="Q31" s="129">
        <v>-99662</v>
      </c>
      <c r="R31" s="129">
        <v>-10021906</v>
      </c>
      <c r="S31" s="129">
        <v>-2004381</v>
      </c>
      <c r="T31" s="129">
        <v>-8017524</v>
      </c>
      <c r="U31" s="129">
        <v>-205753</v>
      </c>
      <c r="V31" s="129">
        <v>0</v>
      </c>
      <c r="W31" s="129">
        <v>0</v>
      </c>
      <c r="X31" s="129">
        <v>-20349226</v>
      </c>
      <c r="Y31" s="129">
        <v>0</v>
      </c>
      <c r="Z31" s="129">
        <v>-9209672</v>
      </c>
      <c r="AA31" s="662" t="s">
        <v>672</v>
      </c>
      <c r="AB31" s="324" t="s">
        <v>552</v>
      </c>
      <c r="AC31" s="663" t="s">
        <v>512</v>
      </c>
      <c r="AD31" s="529" t="s">
        <v>1235</v>
      </c>
    </row>
    <row r="32" spans="1:30" ht="12.75" x14ac:dyDescent="0.2">
      <c r="A32" s="664">
        <v>25</v>
      </c>
      <c r="B32" s="665" t="s">
        <v>1017</v>
      </c>
      <c r="C32" s="666" t="s">
        <v>486</v>
      </c>
      <c r="D32" s="667" t="s">
        <v>1224</v>
      </c>
      <c r="E32" s="668" t="s">
        <v>1027</v>
      </c>
      <c r="F32" s="129">
        <v>86598</v>
      </c>
      <c r="G32" s="129">
        <v>61966234</v>
      </c>
      <c r="H32" s="129">
        <v>0</v>
      </c>
      <c r="I32" s="129">
        <v>-3404000</v>
      </c>
      <c r="J32" s="129">
        <v>3472820</v>
      </c>
      <c r="K32" s="129">
        <v>-12494684</v>
      </c>
      <c r="L32" s="129">
        <v>49540370</v>
      </c>
      <c r="M32" s="129">
        <v>0</v>
      </c>
      <c r="N32" s="129">
        <v>0</v>
      </c>
      <c r="O32" s="129">
        <v>0</v>
      </c>
      <c r="P32" s="129">
        <v>0</v>
      </c>
      <c r="Q32" s="129">
        <v>-851829</v>
      </c>
      <c r="R32" s="129">
        <v>-66813601</v>
      </c>
      <c r="S32" s="129">
        <v>-1336272</v>
      </c>
      <c r="T32" s="129">
        <v>-65477328</v>
      </c>
      <c r="U32" s="129">
        <v>-915162</v>
      </c>
      <c r="V32" s="129">
        <v>0</v>
      </c>
      <c r="W32" s="129">
        <v>0</v>
      </c>
      <c r="X32" s="129">
        <v>-135394192</v>
      </c>
      <c r="Y32" s="129">
        <v>3477715</v>
      </c>
      <c r="Z32" s="129">
        <v>-82289508</v>
      </c>
      <c r="AA32" s="662" t="s">
        <v>1027</v>
      </c>
      <c r="AB32" s="324" t="s">
        <v>486</v>
      </c>
      <c r="AC32" s="663" t="s">
        <v>1916</v>
      </c>
      <c r="AD32" s="529" t="s">
        <v>1236</v>
      </c>
    </row>
    <row r="33" spans="1:30" ht="12.75" x14ac:dyDescent="0.2">
      <c r="A33" s="664">
        <v>26</v>
      </c>
      <c r="B33" s="665" t="s">
        <v>674</v>
      </c>
      <c r="C33" s="666" t="s">
        <v>486</v>
      </c>
      <c r="D33" s="667" t="s">
        <v>1202</v>
      </c>
      <c r="E33" s="668" t="s">
        <v>493</v>
      </c>
      <c r="F33" s="129">
        <v>7282178</v>
      </c>
      <c r="G33" s="129">
        <v>50445534</v>
      </c>
      <c r="H33" s="129">
        <v>0</v>
      </c>
      <c r="I33" s="129">
        <v>-214988</v>
      </c>
      <c r="J33" s="129">
        <v>100000</v>
      </c>
      <c r="K33" s="129">
        <v>-3828820</v>
      </c>
      <c r="L33" s="129">
        <v>46501726</v>
      </c>
      <c r="M33" s="129">
        <v>636215</v>
      </c>
      <c r="N33" s="129">
        <v>0</v>
      </c>
      <c r="O33" s="129">
        <v>0</v>
      </c>
      <c r="P33" s="129">
        <v>636215</v>
      </c>
      <c r="Q33" s="129">
        <v>0</v>
      </c>
      <c r="R33" s="129">
        <v>-34928903</v>
      </c>
      <c r="S33" s="129">
        <v>-698578</v>
      </c>
      <c r="T33" s="129">
        <v>-34229797</v>
      </c>
      <c r="U33" s="129">
        <v>-152014</v>
      </c>
      <c r="V33" s="129">
        <v>0</v>
      </c>
      <c r="W33" s="129">
        <v>-7869264</v>
      </c>
      <c r="X33" s="129">
        <v>-77878556</v>
      </c>
      <c r="Y33" s="129">
        <v>0</v>
      </c>
      <c r="Z33" s="129">
        <v>-23458437</v>
      </c>
      <c r="AA33" s="662" t="s">
        <v>493</v>
      </c>
      <c r="AB33" s="324" t="s">
        <v>486</v>
      </c>
      <c r="AC33" s="663" t="s">
        <v>494</v>
      </c>
      <c r="AD33" s="529" t="s">
        <v>1237</v>
      </c>
    </row>
    <row r="34" spans="1:30" ht="12.75" x14ac:dyDescent="0.2">
      <c r="A34" s="664">
        <v>27</v>
      </c>
      <c r="B34" s="665" t="s">
        <v>676</v>
      </c>
      <c r="C34" s="666" t="s">
        <v>1217</v>
      </c>
      <c r="D34" s="667" t="s">
        <v>1218</v>
      </c>
      <c r="E34" s="668" t="s">
        <v>675</v>
      </c>
      <c r="F34" s="129">
        <v>1644026</v>
      </c>
      <c r="G34" s="129">
        <v>84116183</v>
      </c>
      <c r="H34" s="129">
        <v>0</v>
      </c>
      <c r="I34" s="129">
        <v>-2439145</v>
      </c>
      <c r="J34" s="129">
        <v>2685410</v>
      </c>
      <c r="K34" s="129">
        <v>0</v>
      </c>
      <c r="L34" s="129">
        <v>84362448</v>
      </c>
      <c r="M34" s="129">
        <v>0</v>
      </c>
      <c r="N34" s="129">
        <v>0</v>
      </c>
      <c r="O34" s="129">
        <v>0</v>
      </c>
      <c r="P34" s="129">
        <v>0</v>
      </c>
      <c r="Q34" s="129">
        <v>0</v>
      </c>
      <c r="R34" s="129">
        <v>-66922064</v>
      </c>
      <c r="S34" s="129">
        <v>-1338441</v>
      </c>
      <c r="T34" s="129">
        <v>-65583623</v>
      </c>
      <c r="U34" s="129">
        <v>0</v>
      </c>
      <c r="V34" s="129">
        <v>0</v>
      </c>
      <c r="W34" s="129">
        <v>-856184</v>
      </c>
      <c r="X34" s="129">
        <v>-134700312</v>
      </c>
      <c r="Y34" s="129">
        <v>0</v>
      </c>
      <c r="Z34" s="129">
        <v>-48693838</v>
      </c>
      <c r="AA34" s="662" t="s">
        <v>675</v>
      </c>
      <c r="AB34" s="324" t="s">
        <v>570</v>
      </c>
      <c r="AC34" s="663" t="s">
        <v>575</v>
      </c>
      <c r="AD34" s="529" t="s">
        <v>1238</v>
      </c>
    </row>
    <row r="35" spans="1:30" ht="12.75" x14ac:dyDescent="0.2">
      <c r="A35" s="664">
        <v>28</v>
      </c>
      <c r="B35" s="665" t="s">
        <v>678</v>
      </c>
      <c r="C35" s="666" t="s">
        <v>1201</v>
      </c>
      <c r="D35" s="667" t="s">
        <v>1211</v>
      </c>
      <c r="E35" s="668" t="s">
        <v>677</v>
      </c>
      <c r="F35" s="129">
        <v>764400</v>
      </c>
      <c r="G35" s="129">
        <v>25280126</v>
      </c>
      <c r="H35" s="129">
        <v>-33705</v>
      </c>
      <c r="I35" s="129">
        <v>-884804</v>
      </c>
      <c r="J35" s="129">
        <v>449467</v>
      </c>
      <c r="K35" s="129">
        <v>-1207525</v>
      </c>
      <c r="L35" s="129">
        <v>23603559</v>
      </c>
      <c r="M35" s="129">
        <v>0</v>
      </c>
      <c r="N35" s="129">
        <v>0</v>
      </c>
      <c r="O35" s="129">
        <v>0</v>
      </c>
      <c r="P35" s="129">
        <v>0</v>
      </c>
      <c r="Q35" s="129">
        <v>-90602</v>
      </c>
      <c r="R35" s="129">
        <v>-21352894</v>
      </c>
      <c r="S35" s="129">
        <v>-4270579</v>
      </c>
      <c r="T35" s="129">
        <v>-17082315</v>
      </c>
      <c r="U35" s="129">
        <v>-381014</v>
      </c>
      <c r="V35" s="129">
        <v>0</v>
      </c>
      <c r="W35" s="129">
        <v>-472387</v>
      </c>
      <c r="X35" s="129">
        <v>-43649791</v>
      </c>
      <c r="Y35" s="129">
        <v>860168</v>
      </c>
      <c r="Z35" s="129">
        <v>-18421664</v>
      </c>
      <c r="AA35" s="662" t="s">
        <v>677</v>
      </c>
      <c r="AB35" s="324" t="s">
        <v>528</v>
      </c>
      <c r="AC35" s="663" t="s">
        <v>1913</v>
      </c>
      <c r="AD35" s="529" t="s">
        <v>1239</v>
      </c>
    </row>
    <row r="36" spans="1:30" ht="12.75" x14ac:dyDescent="0.2">
      <c r="A36" s="664">
        <v>29</v>
      </c>
      <c r="B36" s="665" t="s">
        <v>680</v>
      </c>
      <c r="C36" s="666" t="s">
        <v>1201</v>
      </c>
      <c r="D36" s="667" t="s">
        <v>1211</v>
      </c>
      <c r="E36" s="668" t="s">
        <v>679</v>
      </c>
      <c r="F36" s="129">
        <v>401122</v>
      </c>
      <c r="G36" s="129">
        <v>20953853</v>
      </c>
      <c r="H36" s="129">
        <v>0</v>
      </c>
      <c r="I36" s="129">
        <v>-179646</v>
      </c>
      <c r="J36" s="129">
        <v>584940</v>
      </c>
      <c r="K36" s="129">
        <v>-3089680</v>
      </c>
      <c r="L36" s="129">
        <v>18269467</v>
      </c>
      <c r="M36" s="129">
        <v>0</v>
      </c>
      <c r="N36" s="129">
        <v>0</v>
      </c>
      <c r="O36" s="129">
        <v>0</v>
      </c>
      <c r="P36" s="129">
        <v>0</v>
      </c>
      <c r="Q36" s="129">
        <v>-242617</v>
      </c>
      <c r="R36" s="129">
        <v>-16070482</v>
      </c>
      <c r="S36" s="129">
        <v>-3214096</v>
      </c>
      <c r="T36" s="129">
        <v>-12856385</v>
      </c>
      <c r="U36" s="129">
        <v>-2678389</v>
      </c>
      <c r="V36" s="129">
        <v>0</v>
      </c>
      <c r="W36" s="129">
        <v>-461264</v>
      </c>
      <c r="X36" s="129">
        <v>-35523233</v>
      </c>
      <c r="Y36" s="129">
        <v>1933604</v>
      </c>
      <c r="Z36" s="129">
        <v>-14919040</v>
      </c>
      <c r="AA36" s="662" t="s">
        <v>679</v>
      </c>
      <c r="AB36" s="324" t="s">
        <v>553</v>
      </c>
      <c r="AC36" s="663" t="s">
        <v>512</v>
      </c>
      <c r="AD36" s="529" t="s">
        <v>1240</v>
      </c>
    </row>
    <row r="37" spans="1:30" ht="12.75" x14ac:dyDescent="0.2">
      <c r="A37" s="664">
        <v>30</v>
      </c>
      <c r="B37" s="665" t="s">
        <v>682</v>
      </c>
      <c r="C37" s="666" t="s">
        <v>1213</v>
      </c>
      <c r="D37" s="667" t="s">
        <v>1214</v>
      </c>
      <c r="E37" s="668" t="s">
        <v>681</v>
      </c>
      <c r="F37" s="129">
        <v>-7131383</v>
      </c>
      <c r="G37" s="129">
        <v>67542265</v>
      </c>
      <c r="H37" s="129">
        <v>0</v>
      </c>
      <c r="I37" s="129">
        <v>-1000000</v>
      </c>
      <c r="J37" s="129">
        <v>2400000</v>
      </c>
      <c r="K37" s="129">
        <v>-5400000</v>
      </c>
      <c r="L37" s="129">
        <v>63542265</v>
      </c>
      <c r="M37" s="129">
        <v>0</v>
      </c>
      <c r="N37" s="129">
        <v>0</v>
      </c>
      <c r="O37" s="129">
        <v>5747923</v>
      </c>
      <c r="P37" s="129">
        <v>5747923</v>
      </c>
      <c r="Q37" s="129">
        <v>-1459220</v>
      </c>
      <c r="R37" s="129">
        <v>-42116825</v>
      </c>
      <c r="S37" s="129">
        <v>-47221895</v>
      </c>
      <c r="T37" s="129">
        <v>-38288023</v>
      </c>
      <c r="U37" s="129">
        <v>-423967</v>
      </c>
      <c r="V37" s="129">
        <v>0</v>
      </c>
      <c r="W37" s="129">
        <v>0</v>
      </c>
      <c r="X37" s="129">
        <v>-129509930</v>
      </c>
      <c r="Y37" s="129">
        <v>7427410</v>
      </c>
      <c r="Z37" s="129">
        <v>-59923715</v>
      </c>
      <c r="AA37" s="662" t="s">
        <v>681</v>
      </c>
      <c r="AB37" s="324" t="s">
        <v>576</v>
      </c>
      <c r="AC37" s="669" t="s">
        <v>485</v>
      </c>
      <c r="AD37" s="529" t="s">
        <v>1241</v>
      </c>
    </row>
    <row r="38" spans="1:30" ht="12.75" x14ac:dyDescent="0.2">
      <c r="A38" s="664">
        <v>31</v>
      </c>
      <c r="B38" s="665" t="s">
        <v>684</v>
      </c>
      <c r="C38" s="666" t="s">
        <v>1201</v>
      </c>
      <c r="D38" s="667" t="s">
        <v>1211</v>
      </c>
      <c r="E38" s="668" t="s">
        <v>683</v>
      </c>
      <c r="F38" s="129">
        <v>-1174880</v>
      </c>
      <c r="G38" s="129">
        <v>13638142</v>
      </c>
      <c r="H38" s="129">
        <v>0</v>
      </c>
      <c r="I38" s="129">
        <v>81089</v>
      </c>
      <c r="J38" s="129">
        <v>271865</v>
      </c>
      <c r="K38" s="129">
        <v>-310000</v>
      </c>
      <c r="L38" s="129">
        <v>13681096</v>
      </c>
      <c r="M38" s="129">
        <v>0</v>
      </c>
      <c r="N38" s="129">
        <v>0</v>
      </c>
      <c r="O38" s="129">
        <v>274017</v>
      </c>
      <c r="P38" s="129">
        <v>274017</v>
      </c>
      <c r="Q38" s="129">
        <v>-15121</v>
      </c>
      <c r="R38" s="129">
        <v>-13237761</v>
      </c>
      <c r="S38" s="129">
        <v>-2647552</v>
      </c>
      <c r="T38" s="129">
        <v>-10693979</v>
      </c>
      <c r="U38" s="129">
        <v>0</v>
      </c>
      <c r="V38" s="129">
        <v>0</v>
      </c>
      <c r="W38" s="129">
        <v>0</v>
      </c>
      <c r="X38" s="129">
        <v>-26594413</v>
      </c>
      <c r="Y38" s="129">
        <v>957833</v>
      </c>
      <c r="Z38" s="129">
        <v>-12856347</v>
      </c>
      <c r="AA38" s="662" t="s">
        <v>683</v>
      </c>
      <c r="AB38" s="324" t="s">
        <v>528</v>
      </c>
      <c r="AC38" s="663" t="s">
        <v>1913</v>
      </c>
      <c r="AD38" s="529" t="s">
        <v>1242</v>
      </c>
    </row>
    <row r="39" spans="1:30" ht="12.75" x14ac:dyDescent="0.2">
      <c r="A39" s="664">
        <v>32</v>
      </c>
      <c r="B39" s="665" t="s">
        <v>685</v>
      </c>
      <c r="C39" s="666" t="s">
        <v>486</v>
      </c>
      <c r="D39" s="667" t="s">
        <v>1202</v>
      </c>
      <c r="E39" s="668" t="s">
        <v>824</v>
      </c>
      <c r="F39" s="129">
        <v>4137158</v>
      </c>
      <c r="G39" s="129">
        <v>46938537</v>
      </c>
      <c r="H39" s="129">
        <v>-27711</v>
      </c>
      <c r="I39" s="129">
        <v>-3989289</v>
      </c>
      <c r="J39" s="129">
        <v>4123000</v>
      </c>
      <c r="K39" s="129">
        <v>-3531000</v>
      </c>
      <c r="L39" s="129">
        <v>43513537</v>
      </c>
      <c r="M39" s="129">
        <v>851463</v>
      </c>
      <c r="N39" s="129">
        <v>0</v>
      </c>
      <c r="O39" s="129">
        <v>0</v>
      </c>
      <c r="P39" s="129">
        <v>851463</v>
      </c>
      <c r="Q39" s="129">
        <v>0</v>
      </c>
      <c r="R39" s="129">
        <v>-60108143</v>
      </c>
      <c r="S39" s="129">
        <v>-1202163</v>
      </c>
      <c r="T39" s="129">
        <v>-58905980</v>
      </c>
      <c r="U39" s="129">
        <v>-444672</v>
      </c>
      <c r="V39" s="129">
        <v>0</v>
      </c>
      <c r="W39" s="129">
        <v>-4361027</v>
      </c>
      <c r="X39" s="129">
        <v>-125021985</v>
      </c>
      <c r="Y39" s="129">
        <v>4927150</v>
      </c>
      <c r="Z39" s="129">
        <v>-71592677</v>
      </c>
      <c r="AA39" s="662" t="s">
        <v>824</v>
      </c>
      <c r="AB39" s="324" t="s">
        <v>486</v>
      </c>
      <c r="AC39" s="663" t="s">
        <v>524</v>
      </c>
      <c r="AD39" s="529" t="s">
        <v>1243</v>
      </c>
    </row>
    <row r="40" spans="1:30" ht="12.75" x14ac:dyDescent="0.2">
      <c r="A40" s="664">
        <v>33</v>
      </c>
      <c r="B40" s="665" t="s">
        <v>687</v>
      </c>
      <c r="C40" s="666" t="s">
        <v>486</v>
      </c>
      <c r="D40" s="667" t="s">
        <v>1224</v>
      </c>
      <c r="E40" s="668" t="s">
        <v>488</v>
      </c>
      <c r="F40" s="129">
        <v>313822</v>
      </c>
      <c r="G40" s="129">
        <v>135267000</v>
      </c>
      <c r="H40" s="129">
        <v>0</v>
      </c>
      <c r="I40" s="129">
        <v>-4131000</v>
      </c>
      <c r="J40" s="129">
        <v>0</v>
      </c>
      <c r="K40" s="129">
        <v>-11096000</v>
      </c>
      <c r="L40" s="129">
        <v>120040000</v>
      </c>
      <c r="M40" s="129">
        <v>0</v>
      </c>
      <c r="N40" s="129">
        <v>0</v>
      </c>
      <c r="O40" s="129">
        <v>1780000</v>
      </c>
      <c r="P40" s="129">
        <v>1780000</v>
      </c>
      <c r="Q40" s="129">
        <v>-2601000</v>
      </c>
      <c r="R40" s="129">
        <v>0</v>
      </c>
      <c r="S40" s="129">
        <v>-12629000</v>
      </c>
      <c r="T40" s="129">
        <v>-197854000</v>
      </c>
      <c r="U40" s="129">
        <v>-4636000</v>
      </c>
      <c r="V40" s="129">
        <v>-704000</v>
      </c>
      <c r="W40" s="129">
        <v>0</v>
      </c>
      <c r="X40" s="129">
        <v>-218424000</v>
      </c>
      <c r="Y40" s="129">
        <v>5922000</v>
      </c>
      <c r="Z40" s="129">
        <v>-90368178</v>
      </c>
      <c r="AA40" s="662" t="s">
        <v>488</v>
      </c>
      <c r="AB40" s="324" t="s">
        <v>486</v>
      </c>
      <c r="AC40" s="663" t="s">
        <v>487</v>
      </c>
      <c r="AD40" s="529" t="s">
        <v>1244</v>
      </c>
    </row>
    <row r="41" spans="1:30" ht="12.75" x14ac:dyDescent="0.2">
      <c r="A41" s="664">
        <v>34</v>
      </c>
      <c r="B41" s="665" t="s">
        <v>689</v>
      </c>
      <c r="C41" s="666" t="s">
        <v>1201</v>
      </c>
      <c r="D41" s="667" t="s">
        <v>1211</v>
      </c>
      <c r="E41" s="668" t="s">
        <v>688</v>
      </c>
      <c r="F41" s="129">
        <v>-877943</v>
      </c>
      <c r="G41" s="129">
        <v>18200000</v>
      </c>
      <c r="H41" s="129">
        <v>0</v>
      </c>
      <c r="I41" s="129">
        <v>-100000</v>
      </c>
      <c r="J41" s="129">
        <v>850000</v>
      </c>
      <c r="K41" s="129">
        <v>-400000</v>
      </c>
      <c r="L41" s="129">
        <v>18550000</v>
      </c>
      <c r="M41" s="129">
        <v>0</v>
      </c>
      <c r="N41" s="129">
        <v>0</v>
      </c>
      <c r="O41" s="129">
        <v>0</v>
      </c>
      <c r="P41" s="129">
        <v>0</v>
      </c>
      <c r="Q41" s="129">
        <v>-500000</v>
      </c>
      <c r="R41" s="129">
        <v>-14761326</v>
      </c>
      <c r="S41" s="129">
        <v>-2952265</v>
      </c>
      <c r="T41" s="129">
        <v>-11809061</v>
      </c>
      <c r="U41" s="129">
        <v>-294111</v>
      </c>
      <c r="V41" s="129">
        <v>0</v>
      </c>
      <c r="W41" s="129">
        <v>-175788</v>
      </c>
      <c r="X41" s="129">
        <v>-30492551</v>
      </c>
      <c r="Y41" s="129">
        <v>0</v>
      </c>
      <c r="Z41" s="129">
        <v>-12820494</v>
      </c>
      <c r="AA41" s="662" t="s">
        <v>688</v>
      </c>
      <c r="AB41" s="324" t="s">
        <v>553</v>
      </c>
      <c r="AC41" s="663" t="s">
        <v>512</v>
      </c>
      <c r="AD41" s="529" t="s">
        <v>1245</v>
      </c>
    </row>
    <row r="42" spans="1:30" ht="14.25" x14ac:dyDescent="0.2">
      <c r="A42" s="664">
        <v>35</v>
      </c>
      <c r="B42" s="665" t="s">
        <v>691</v>
      </c>
      <c r="C42" s="666" t="s">
        <v>1213</v>
      </c>
      <c r="D42" s="667" t="s">
        <v>1214</v>
      </c>
      <c r="E42" s="668" t="s">
        <v>1919</v>
      </c>
      <c r="F42" s="129">
        <v>-1574928</v>
      </c>
      <c r="G42" s="129">
        <v>36884123</v>
      </c>
      <c r="H42" s="129">
        <v>0</v>
      </c>
      <c r="I42" s="129">
        <v>-1883630</v>
      </c>
      <c r="J42" s="129">
        <v>2125076</v>
      </c>
      <c r="K42" s="129">
        <v>-2735124</v>
      </c>
      <c r="L42" s="129">
        <v>34390445</v>
      </c>
      <c r="M42" s="129">
        <v>312845</v>
      </c>
      <c r="N42" s="129">
        <v>0</v>
      </c>
      <c r="O42" s="129">
        <v>745270</v>
      </c>
      <c r="P42" s="129">
        <v>1058115</v>
      </c>
      <c r="Q42" s="129">
        <v>0</v>
      </c>
      <c r="R42" s="129">
        <v>-31026027</v>
      </c>
      <c r="S42" s="129">
        <v>-34786758</v>
      </c>
      <c r="T42" s="129">
        <v>-28205479</v>
      </c>
      <c r="U42" s="129">
        <v>-323059</v>
      </c>
      <c r="V42" s="129">
        <v>0</v>
      </c>
      <c r="W42" s="129">
        <v>0</v>
      </c>
      <c r="X42" s="129">
        <v>-94341323</v>
      </c>
      <c r="Y42" s="129">
        <v>2863124</v>
      </c>
      <c r="Z42" s="129">
        <v>-57604567</v>
      </c>
      <c r="AA42" s="662" t="s">
        <v>690</v>
      </c>
      <c r="AB42" s="324" t="s">
        <v>576</v>
      </c>
      <c r="AC42" s="669" t="s">
        <v>485</v>
      </c>
      <c r="AD42" s="529" t="s">
        <v>1246</v>
      </c>
    </row>
    <row r="43" spans="1:30" ht="12.75" x14ac:dyDescent="0.2">
      <c r="A43" s="664">
        <v>36</v>
      </c>
      <c r="B43" s="665" t="s">
        <v>693</v>
      </c>
      <c r="C43" s="666" t="s">
        <v>1201</v>
      </c>
      <c r="D43" s="667" t="s">
        <v>1228</v>
      </c>
      <c r="E43" s="668" t="s">
        <v>692</v>
      </c>
      <c r="F43" s="129">
        <v>4493072</v>
      </c>
      <c r="G43" s="129">
        <v>15103150</v>
      </c>
      <c r="H43" s="129">
        <v>0</v>
      </c>
      <c r="I43" s="129">
        <v>-338318</v>
      </c>
      <c r="J43" s="129">
        <v>610865</v>
      </c>
      <c r="K43" s="129">
        <v>-1775503</v>
      </c>
      <c r="L43" s="129">
        <v>13600194</v>
      </c>
      <c r="M43" s="129">
        <v>0</v>
      </c>
      <c r="N43" s="129">
        <v>0</v>
      </c>
      <c r="O43" s="129">
        <v>0</v>
      </c>
      <c r="P43" s="129">
        <v>0</v>
      </c>
      <c r="Q43" s="129">
        <v>-196664</v>
      </c>
      <c r="R43" s="129">
        <v>-12524358</v>
      </c>
      <c r="S43" s="129">
        <v>-2504871</v>
      </c>
      <c r="T43" s="129">
        <v>-10019486</v>
      </c>
      <c r="U43" s="129">
        <v>0</v>
      </c>
      <c r="V43" s="129">
        <v>-127163</v>
      </c>
      <c r="W43" s="129">
        <v>-2187142</v>
      </c>
      <c r="X43" s="129">
        <v>-27559684</v>
      </c>
      <c r="Y43" s="129">
        <v>826674</v>
      </c>
      <c r="Z43" s="129">
        <v>-8639744</v>
      </c>
      <c r="AA43" s="662" t="s">
        <v>692</v>
      </c>
      <c r="AB43" s="324" t="s">
        <v>535</v>
      </c>
      <c r="AC43" s="663" t="s">
        <v>534</v>
      </c>
      <c r="AD43" s="529" t="s">
        <v>1247</v>
      </c>
    </row>
    <row r="44" spans="1:30" ht="12.75" x14ac:dyDescent="0.2">
      <c r="A44" s="664">
        <v>37</v>
      </c>
      <c r="B44" s="665" t="s">
        <v>695</v>
      </c>
      <c r="C44" s="666" t="s">
        <v>1201</v>
      </c>
      <c r="D44" s="667" t="s">
        <v>1211</v>
      </c>
      <c r="E44" s="668" t="s">
        <v>694</v>
      </c>
      <c r="F44" s="129">
        <v>-4452754</v>
      </c>
      <c r="G44" s="129">
        <v>23099203</v>
      </c>
      <c r="H44" s="129">
        <v>-448108</v>
      </c>
      <c r="I44" s="129">
        <v>-1104484</v>
      </c>
      <c r="J44" s="129">
        <v>376956</v>
      </c>
      <c r="K44" s="129">
        <v>-1189597</v>
      </c>
      <c r="L44" s="129">
        <v>20733970</v>
      </c>
      <c r="M44" s="129">
        <v>0</v>
      </c>
      <c r="N44" s="129">
        <v>0</v>
      </c>
      <c r="O44" s="129">
        <v>4414848</v>
      </c>
      <c r="P44" s="129">
        <v>4414848</v>
      </c>
      <c r="Q44" s="129">
        <v>-200695</v>
      </c>
      <c r="R44" s="129">
        <v>-20293696</v>
      </c>
      <c r="S44" s="129">
        <v>-4058739</v>
      </c>
      <c r="T44" s="129">
        <v>-16234957</v>
      </c>
      <c r="U44" s="129">
        <v>0</v>
      </c>
      <c r="V44" s="129">
        <v>0</v>
      </c>
      <c r="W44" s="129">
        <v>0</v>
      </c>
      <c r="X44" s="129">
        <v>-40788087</v>
      </c>
      <c r="Y44" s="129">
        <v>3153906</v>
      </c>
      <c r="Z44" s="129">
        <v>-16938117</v>
      </c>
      <c r="AA44" s="662" t="s">
        <v>694</v>
      </c>
      <c r="AB44" s="324" t="s">
        <v>536</v>
      </c>
      <c r="AC44" s="663" t="s">
        <v>512</v>
      </c>
      <c r="AD44" s="529" t="s">
        <v>1248</v>
      </c>
    </row>
    <row r="45" spans="1:30" ht="12.75" x14ac:dyDescent="0.2">
      <c r="A45" s="664">
        <v>38</v>
      </c>
      <c r="B45" s="665" t="s">
        <v>697</v>
      </c>
      <c r="C45" s="666" t="s">
        <v>1201</v>
      </c>
      <c r="D45" s="667" t="s">
        <v>1206</v>
      </c>
      <c r="E45" s="668" t="s">
        <v>696</v>
      </c>
      <c r="F45" s="129">
        <v>-370943</v>
      </c>
      <c r="G45" s="129">
        <v>10516241</v>
      </c>
      <c r="H45" s="129">
        <v>0</v>
      </c>
      <c r="I45" s="129">
        <v>-110000</v>
      </c>
      <c r="J45" s="129">
        <v>519826</v>
      </c>
      <c r="K45" s="129">
        <v>-719154</v>
      </c>
      <c r="L45" s="129">
        <v>10206913</v>
      </c>
      <c r="M45" s="129">
        <v>163030</v>
      </c>
      <c r="N45" s="129">
        <v>0</v>
      </c>
      <c r="O45" s="129">
        <v>538150</v>
      </c>
      <c r="P45" s="129">
        <v>701180</v>
      </c>
      <c r="Q45" s="129">
        <v>0</v>
      </c>
      <c r="R45" s="129">
        <v>-13848834</v>
      </c>
      <c r="S45" s="129">
        <v>-2791767</v>
      </c>
      <c r="T45" s="129">
        <v>-11167068</v>
      </c>
      <c r="U45" s="129">
        <v>-211709</v>
      </c>
      <c r="V45" s="129">
        <v>0</v>
      </c>
      <c r="W45" s="129">
        <v>0</v>
      </c>
      <c r="X45" s="129">
        <v>-28019378</v>
      </c>
      <c r="Y45" s="129">
        <v>462523</v>
      </c>
      <c r="Z45" s="129">
        <v>-17019705</v>
      </c>
      <c r="AA45" s="662" t="s">
        <v>696</v>
      </c>
      <c r="AB45" s="324" t="s">
        <v>559</v>
      </c>
      <c r="AC45" s="663" t="s">
        <v>558</v>
      </c>
      <c r="AD45" s="529" t="s">
        <v>1249</v>
      </c>
    </row>
    <row r="46" spans="1:30" ht="12.75" x14ac:dyDescent="0.2">
      <c r="A46" s="664">
        <v>39</v>
      </c>
      <c r="B46" s="665" t="s">
        <v>1048</v>
      </c>
      <c r="C46" s="666" t="s">
        <v>486</v>
      </c>
      <c r="D46" s="667" t="s">
        <v>1202</v>
      </c>
      <c r="E46" s="668" t="s">
        <v>1250</v>
      </c>
      <c r="F46" s="129">
        <v>3049781</v>
      </c>
      <c r="G46" s="129">
        <v>103289893</v>
      </c>
      <c r="H46" s="129">
        <v>0</v>
      </c>
      <c r="I46" s="129">
        <v>-2619477</v>
      </c>
      <c r="J46" s="129">
        <v>0</v>
      </c>
      <c r="K46" s="129">
        <v>-3883702</v>
      </c>
      <c r="L46" s="129">
        <v>96786714</v>
      </c>
      <c r="M46" s="129">
        <v>0</v>
      </c>
      <c r="N46" s="129">
        <v>0</v>
      </c>
      <c r="O46" s="129">
        <v>0</v>
      </c>
      <c r="P46" s="129">
        <v>0</v>
      </c>
      <c r="Q46" s="129">
        <v>-348105</v>
      </c>
      <c r="R46" s="129">
        <v>-92720857</v>
      </c>
      <c r="S46" s="129">
        <v>-1861561</v>
      </c>
      <c r="T46" s="129">
        <v>-91216480</v>
      </c>
      <c r="U46" s="129">
        <v>-1247600</v>
      </c>
      <c r="V46" s="129">
        <v>0</v>
      </c>
      <c r="W46" s="129">
        <v>-5625878</v>
      </c>
      <c r="X46" s="129">
        <v>-193020481</v>
      </c>
      <c r="Y46" s="129">
        <v>7596688</v>
      </c>
      <c r="Z46" s="129">
        <v>-85587298</v>
      </c>
      <c r="AA46" s="662" t="s">
        <v>1251</v>
      </c>
      <c r="AB46" s="324" t="s">
        <v>486</v>
      </c>
      <c r="AC46" s="663" t="s">
        <v>500</v>
      </c>
      <c r="AD46" s="529" t="s">
        <v>1252</v>
      </c>
    </row>
    <row r="47" spans="1:30" ht="12.75" x14ac:dyDescent="0.2">
      <c r="A47" s="664">
        <v>40</v>
      </c>
      <c r="B47" s="665" t="s">
        <v>699</v>
      </c>
      <c r="C47" s="666" t="s">
        <v>1201</v>
      </c>
      <c r="D47" s="667" t="s">
        <v>1204</v>
      </c>
      <c r="E47" s="668" t="s">
        <v>698</v>
      </c>
      <c r="F47" s="129">
        <v>-831804</v>
      </c>
      <c r="G47" s="129">
        <v>18170127</v>
      </c>
      <c r="H47" s="129">
        <v>-17562</v>
      </c>
      <c r="I47" s="129">
        <v>-200853</v>
      </c>
      <c r="J47" s="129">
        <v>0</v>
      </c>
      <c r="K47" s="129">
        <v>194514</v>
      </c>
      <c r="L47" s="129">
        <v>18146226</v>
      </c>
      <c r="M47" s="129">
        <v>0</v>
      </c>
      <c r="N47" s="129">
        <v>0</v>
      </c>
      <c r="O47" s="129">
        <v>5262</v>
      </c>
      <c r="P47" s="129">
        <v>5262</v>
      </c>
      <c r="Q47" s="129">
        <v>-84337</v>
      </c>
      <c r="R47" s="129">
        <v>-15059658</v>
      </c>
      <c r="S47" s="129">
        <v>-15059657</v>
      </c>
      <c r="T47" s="129">
        <v>-188065</v>
      </c>
      <c r="U47" s="129">
        <v>-248375</v>
      </c>
      <c r="V47" s="129">
        <v>0</v>
      </c>
      <c r="W47" s="129">
        <v>0</v>
      </c>
      <c r="X47" s="129">
        <v>-30640092</v>
      </c>
      <c r="Y47" s="129">
        <v>642698</v>
      </c>
      <c r="Z47" s="129">
        <v>-12677710</v>
      </c>
      <c r="AA47" s="662" t="s">
        <v>698</v>
      </c>
      <c r="AB47" s="324" t="s">
        <v>547</v>
      </c>
      <c r="AC47" s="663" t="s">
        <v>545</v>
      </c>
      <c r="AD47" s="529" t="s">
        <v>1253</v>
      </c>
    </row>
    <row r="48" spans="1:30" ht="12.75" x14ac:dyDescent="0.2">
      <c r="A48" s="664">
        <v>41</v>
      </c>
      <c r="B48" s="665" t="s">
        <v>701</v>
      </c>
      <c r="C48" s="666" t="s">
        <v>1217</v>
      </c>
      <c r="D48" s="667" t="s">
        <v>1204</v>
      </c>
      <c r="E48" s="668" t="s">
        <v>700</v>
      </c>
      <c r="F48" s="129">
        <v>8601726</v>
      </c>
      <c r="G48" s="129">
        <v>26616034</v>
      </c>
      <c r="H48" s="129">
        <v>0</v>
      </c>
      <c r="I48" s="129">
        <v>-2088257</v>
      </c>
      <c r="J48" s="129">
        <v>2055198</v>
      </c>
      <c r="K48" s="129">
        <v>-762897</v>
      </c>
      <c r="L48" s="129">
        <v>25820078</v>
      </c>
      <c r="M48" s="129">
        <v>0</v>
      </c>
      <c r="N48" s="129">
        <v>0</v>
      </c>
      <c r="O48" s="129">
        <v>0</v>
      </c>
      <c r="P48" s="129">
        <v>0</v>
      </c>
      <c r="Q48" s="129">
        <v>-311761</v>
      </c>
      <c r="R48" s="129">
        <v>0</v>
      </c>
      <c r="S48" s="129">
        <v>-517836</v>
      </c>
      <c r="T48" s="129">
        <v>-51265770</v>
      </c>
      <c r="U48" s="129">
        <v>-232486</v>
      </c>
      <c r="V48" s="129">
        <v>0</v>
      </c>
      <c r="W48" s="129">
        <v>-8322285</v>
      </c>
      <c r="X48" s="129">
        <v>-60650138</v>
      </c>
      <c r="Y48" s="129">
        <v>1084463</v>
      </c>
      <c r="Z48" s="129">
        <v>-25143871</v>
      </c>
      <c r="AA48" s="662" t="s">
        <v>700</v>
      </c>
      <c r="AB48" s="324" t="s">
        <v>570</v>
      </c>
      <c r="AC48" s="663" t="s">
        <v>1915</v>
      </c>
      <c r="AD48" s="529" t="s">
        <v>1254</v>
      </c>
    </row>
    <row r="49" spans="1:30" ht="12.75" x14ac:dyDescent="0.2">
      <c r="A49" s="664">
        <v>42</v>
      </c>
      <c r="B49" s="665" t="s">
        <v>703</v>
      </c>
      <c r="C49" s="666" t="s">
        <v>1217</v>
      </c>
      <c r="D49" s="667" t="s">
        <v>1218</v>
      </c>
      <c r="E49" s="668" t="s">
        <v>702</v>
      </c>
      <c r="F49" s="129">
        <v>3477316</v>
      </c>
      <c r="G49" s="129">
        <v>34695210</v>
      </c>
      <c r="H49" s="129">
        <v>0</v>
      </c>
      <c r="I49" s="129">
        <v>-2001395</v>
      </c>
      <c r="J49" s="129">
        <v>0</v>
      </c>
      <c r="K49" s="129">
        <v>-4008733</v>
      </c>
      <c r="L49" s="129">
        <v>28685082</v>
      </c>
      <c r="M49" s="129">
        <v>0</v>
      </c>
      <c r="N49" s="129">
        <v>0</v>
      </c>
      <c r="O49" s="129">
        <v>687388</v>
      </c>
      <c r="P49" s="129">
        <v>687388</v>
      </c>
      <c r="Q49" s="129">
        <v>-491062</v>
      </c>
      <c r="R49" s="129">
        <v>-26985130</v>
      </c>
      <c r="S49" s="129">
        <v>-539703</v>
      </c>
      <c r="T49" s="129">
        <v>-26445428</v>
      </c>
      <c r="U49" s="129">
        <v>-801065</v>
      </c>
      <c r="V49" s="129">
        <v>0</v>
      </c>
      <c r="W49" s="129">
        <v>0</v>
      </c>
      <c r="X49" s="129">
        <v>-55262388</v>
      </c>
      <c r="Y49" s="129">
        <v>3248680</v>
      </c>
      <c r="Z49" s="129">
        <v>-19163922</v>
      </c>
      <c r="AA49" s="662" t="s">
        <v>702</v>
      </c>
      <c r="AB49" s="324" t="s">
        <v>570</v>
      </c>
      <c r="AC49" s="663" t="s">
        <v>575</v>
      </c>
      <c r="AD49" s="529" t="s">
        <v>1255</v>
      </c>
    </row>
    <row r="50" spans="1:30" ht="12.75" x14ac:dyDescent="0.2">
      <c r="A50" s="664">
        <v>43</v>
      </c>
      <c r="B50" s="665" t="s">
        <v>705</v>
      </c>
      <c r="C50" s="666" t="s">
        <v>1201</v>
      </c>
      <c r="D50" s="667" t="s">
        <v>1211</v>
      </c>
      <c r="E50" s="668" t="s">
        <v>704</v>
      </c>
      <c r="F50" s="129">
        <v>8793918</v>
      </c>
      <c r="G50" s="129">
        <v>62797776</v>
      </c>
      <c r="H50" s="129">
        <v>0</v>
      </c>
      <c r="I50" s="129">
        <v>-673747</v>
      </c>
      <c r="J50" s="129">
        <v>5500625</v>
      </c>
      <c r="K50" s="129">
        <v>-25144659</v>
      </c>
      <c r="L50" s="129">
        <v>42479995</v>
      </c>
      <c r="M50" s="129">
        <v>0</v>
      </c>
      <c r="N50" s="129">
        <v>0</v>
      </c>
      <c r="O50" s="129">
        <v>0</v>
      </c>
      <c r="P50" s="129">
        <v>0</v>
      </c>
      <c r="Q50" s="129">
        <v>-580832</v>
      </c>
      <c r="R50" s="129">
        <v>-58889700</v>
      </c>
      <c r="S50" s="129">
        <v>-11777940</v>
      </c>
      <c r="T50" s="129">
        <v>-47111760</v>
      </c>
      <c r="U50" s="129">
        <v>-236967</v>
      </c>
      <c r="V50" s="129">
        <v>0</v>
      </c>
      <c r="W50" s="129">
        <v>-11201343</v>
      </c>
      <c r="X50" s="129">
        <v>-129798542</v>
      </c>
      <c r="Y50" s="129">
        <v>15632124</v>
      </c>
      <c r="Z50" s="129">
        <v>-62892505</v>
      </c>
      <c r="AA50" s="662" t="s">
        <v>704</v>
      </c>
      <c r="AB50" s="324" t="s">
        <v>503</v>
      </c>
      <c r="AC50" s="663" t="s">
        <v>502</v>
      </c>
      <c r="AD50" s="529" t="s">
        <v>1256</v>
      </c>
    </row>
    <row r="51" spans="1:30" ht="12.75" x14ac:dyDescent="0.2">
      <c r="A51" s="664">
        <v>44</v>
      </c>
      <c r="B51" s="665" t="s">
        <v>707</v>
      </c>
      <c r="C51" s="666" t="s">
        <v>1257</v>
      </c>
      <c r="D51" s="667" t="s">
        <v>1214</v>
      </c>
      <c r="E51" s="668" t="s">
        <v>706</v>
      </c>
      <c r="F51" s="129">
        <v>4820281</v>
      </c>
      <c r="G51" s="129">
        <v>495710817</v>
      </c>
      <c r="H51" s="129">
        <v>0</v>
      </c>
      <c r="I51" s="129">
        <v>-68313589</v>
      </c>
      <c r="J51" s="129">
        <v>16065822</v>
      </c>
      <c r="K51" s="129">
        <v>-33985288</v>
      </c>
      <c r="L51" s="129">
        <v>409477762</v>
      </c>
      <c r="M51" s="129">
        <v>1532581</v>
      </c>
      <c r="N51" s="129">
        <v>0</v>
      </c>
      <c r="O51" s="129">
        <v>0</v>
      </c>
      <c r="P51" s="129">
        <v>1532581</v>
      </c>
      <c r="Q51" s="129">
        <v>0</v>
      </c>
      <c r="R51" s="129">
        <v>-219120000</v>
      </c>
      <c r="S51" s="129">
        <v>-245680000</v>
      </c>
      <c r="T51" s="129">
        <v>-199200000</v>
      </c>
      <c r="U51" s="129">
        <v>-1290264</v>
      </c>
      <c r="V51" s="129">
        <v>0</v>
      </c>
      <c r="W51" s="129">
        <v>-3091827</v>
      </c>
      <c r="X51" s="129">
        <v>-668382091</v>
      </c>
      <c r="Y51" s="129">
        <v>38818216</v>
      </c>
      <c r="Z51" s="129">
        <v>-213733251</v>
      </c>
      <c r="AA51" s="662" t="s">
        <v>706</v>
      </c>
      <c r="AB51" s="324" t="s">
        <v>576</v>
      </c>
      <c r="AC51" s="669" t="s">
        <v>485</v>
      </c>
      <c r="AD51" s="529" t="s">
        <v>1258</v>
      </c>
    </row>
    <row r="52" spans="1:30" ht="12.75" x14ac:dyDescent="0.2">
      <c r="A52" s="664">
        <v>45</v>
      </c>
      <c r="B52" s="665" t="s">
        <v>709</v>
      </c>
      <c r="C52" s="666" t="s">
        <v>1201</v>
      </c>
      <c r="D52" s="667" t="s">
        <v>1228</v>
      </c>
      <c r="E52" s="668" t="s">
        <v>708</v>
      </c>
      <c r="F52" s="129">
        <v>-253511</v>
      </c>
      <c r="G52" s="129">
        <v>19045874</v>
      </c>
      <c r="H52" s="129">
        <v>0</v>
      </c>
      <c r="I52" s="129">
        <v>-850000</v>
      </c>
      <c r="J52" s="129">
        <v>151076</v>
      </c>
      <c r="K52" s="129">
        <v>-1167040</v>
      </c>
      <c r="L52" s="129">
        <v>17179910</v>
      </c>
      <c r="M52" s="129">
        <v>38372</v>
      </c>
      <c r="N52" s="129">
        <v>0</v>
      </c>
      <c r="O52" s="129">
        <v>1041679</v>
      </c>
      <c r="P52" s="129">
        <v>1080051</v>
      </c>
      <c r="Q52" s="129">
        <v>0</v>
      </c>
      <c r="R52" s="129">
        <v>-17182514</v>
      </c>
      <c r="S52" s="129">
        <v>-3436502</v>
      </c>
      <c r="T52" s="129">
        <v>-13746011</v>
      </c>
      <c r="U52" s="129">
        <v>0</v>
      </c>
      <c r="V52" s="129">
        <v>-135690</v>
      </c>
      <c r="W52" s="129">
        <v>0</v>
      </c>
      <c r="X52" s="129">
        <v>-34500717</v>
      </c>
      <c r="Y52" s="129">
        <v>1983401</v>
      </c>
      <c r="Z52" s="129">
        <v>-14510866</v>
      </c>
      <c r="AA52" s="662" t="s">
        <v>708</v>
      </c>
      <c r="AB52" s="324" t="s">
        <v>564</v>
      </c>
      <c r="AC52" s="663" t="s">
        <v>1917</v>
      </c>
      <c r="AD52" s="529" t="s">
        <v>1259</v>
      </c>
    </row>
    <row r="53" spans="1:30" ht="12.75" x14ac:dyDescent="0.2">
      <c r="A53" s="664">
        <v>46</v>
      </c>
      <c r="B53" s="665" t="s">
        <v>711</v>
      </c>
      <c r="C53" s="666" t="s">
        <v>1201</v>
      </c>
      <c r="D53" s="667" t="s">
        <v>1202</v>
      </c>
      <c r="E53" s="668" t="s">
        <v>710</v>
      </c>
      <c r="F53" s="129">
        <v>162950</v>
      </c>
      <c r="G53" s="129">
        <v>20118940</v>
      </c>
      <c r="H53" s="129">
        <v>0</v>
      </c>
      <c r="I53" s="129">
        <v>-420119</v>
      </c>
      <c r="J53" s="129">
        <v>888908</v>
      </c>
      <c r="K53" s="129">
        <v>-6518232</v>
      </c>
      <c r="L53" s="129">
        <v>14069497</v>
      </c>
      <c r="M53" s="129">
        <v>0</v>
      </c>
      <c r="N53" s="129">
        <v>27000</v>
      </c>
      <c r="O53" s="129">
        <v>0</v>
      </c>
      <c r="P53" s="129">
        <v>27000</v>
      </c>
      <c r="Q53" s="129">
        <v>-1109128</v>
      </c>
      <c r="R53" s="129">
        <v>-25555393</v>
      </c>
      <c r="S53" s="129">
        <v>-5111079</v>
      </c>
      <c r="T53" s="129">
        <v>-20444315</v>
      </c>
      <c r="U53" s="129">
        <v>-232486</v>
      </c>
      <c r="V53" s="129">
        <v>0</v>
      </c>
      <c r="W53" s="129">
        <v>-357148</v>
      </c>
      <c r="X53" s="129">
        <v>-52809549</v>
      </c>
      <c r="Y53" s="129">
        <v>3526825</v>
      </c>
      <c r="Z53" s="129">
        <v>-35023277</v>
      </c>
      <c r="AA53" s="662" t="s">
        <v>710</v>
      </c>
      <c r="AB53" s="324" t="s">
        <v>543</v>
      </c>
      <c r="AC53" s="663" t="s">
        <v>542</v>
      </c>
      <c r="AD53" s="529" t="s">
        <v>1260</v>
      </c>
    </row>
    <row r="54" spans="1:30" ht="14.25" x14ac:dyDescent="0.2">
      <c r="A54" s="664">
        <v>47</v>
      </c>
      <c r="B54" s="665" t="s">
        <v>713</v>
      </c>
      <c r="C54" s="666" t="s">
        <v>1201</v>
      </c>
      <c r="D54" s="667" t="s">
        <v>1204</v>
      </c>
      <c r="E54" s="668" t="s">
        <v>1863</v>
      </c>
      <c r="F54" s="129">
        <v>-1089131</v>
      </c>
      <c r="G54" s="129">
        <v>19780330</v>
      </c>
      <c r="H54" s="129">
        <v>0</v>
      </c>
      <c r="I54" s="129">
        <v>-370826</v>
      </c>
      <c r="J54" s="129">
        <v>1460361</v>
      </c>
      <c r="K54" s="129">
        <v>-1245352</v>
      </c>
      <c r="L54" s="129">
        <v>19624513</v>
      </c>
      <c r="M54" s="129">
        <v>0</v>
      </c>
      <c r="N54" s="129">
        <v>4122</v>
      </c>
      <c r="O54" s="129">
        <v>540097</v>
      </c>
      <c r="P54" s="129">
        <v>544219</v>
      </c>
      <c r="Q54" s="129">
        <v>-527488</v>
      </c>
      <c r="R54" s="129">
        <v>-20975102</v>
      </c>
      <c r="S54" s="129">
        <v>-4254539</v>
      </c>
      <c r="T54" s="129">
        <v>-17018157</v>
      </c>
      <c r="U54" s="129">
        <v>-851331</v>
      </c>
      <c r="V54" s="129">
        <v>-94707</v>
      </c>
      <c r="W54" s="129">
        <v>0</v>
      </c>
      <c r="X54" s="129">
        <v>-43721324</v>
      </c>
      <c r="Y54" s="129">
        <v>985179</v>
      </c>
      <c r="Z54" s="129">
        <v>-23656544</v>
      </c>
      <c r="AA54" s="662" t="s">
        <v>712</v>
      </c>
      <c r="AB54" s="324" t="s">
        <v>513</v>
      </c>
      <c r="AC54" s="663" t="s">
        <v>512</v>
      </c>
      <c r="AD54" s="529" t="s">
        <v>1261</v>
      </c>
    </row>
    <row r="55" spans="1:30" ht="12.75" x14ac:dyDescent="0.2">
      <c r="A55" s="664">
        <v>48</v>
      </c>
      <c r="B55" s="665" t="s">
        <v>715</v>
      </c>
      <c r="C55" s="666" t="s">
        <v>1201</v>
      </c>
      <c r="D55" s="667" t="s">
        <v>1211</v>
      </c>
      <c r="E55" s="668" t="s">
        <v>714</v>
      </c>
      <c r="F55" s="129">
        <v>-68467</v>
      </c>
      <c r="G55" s="129">
        <v>5689842</v>
      </c>
      <c r="H55" s="129">
        <v>-85300</v>
      </c>
      <c r="I55" s="129">
        <v>0</v>
      </c>
      <c r="J55" s="129">
        <v>0</v>
      </c>
      <c r="K55" s="129">
        <v>415000</v>
      </c>
      <c r="L55" s="129">
        <v>6019542</v>
      </c>
      <c r="M55" s="129">
        <v>0</v>
      </c>
      <c r="N55" s="129">
        <v>0</v>
      </c>
      <c r="O55" s="129">
        <v>0</v>
      </c>
      <c r="P55" s="129">
        <v>0</v>
      </c>
      <c r="Q55" s="129">
        <v>-52817</v>
      </c>
      <c r="R55" s="129">
        <v>-7211962</v>
      </c>
      <c r="S55" s="129">
        <v>-1442392</v>
      </c>
      <c r="T55" s="129">
        <v>-5769569</v>
      </c>
      <c r="U55" s="129">
        <v>0</v>
      </c>
      <c r="V55" s="129">
        <v>-75931</v>
      </c>
      <c r="W55" s="129">
        <v>-31099</v>
      </c>
      <c r="X55" s="129">
        <v>-14583770</v>
      </c>
      <c r="Y55" s="129">
        <v>0</v>
      </c>
      <c r="Z55" s="129">
        <v>-8632695</v>
      </c>
      <c r="AA55" s="662" t="s">
        <v>714</v>
      </c>
      <c r="AB55" s="324" t="s">
        <v>528</v>
      </c>
      <c r="AC55" s="663" t="s">
        <v>1913</v>
      </c>
      <c r="AD55" s="529" t="s">
        <v>1262</v>
      </c>
    </row>
    <row r="56" spans="1:30" ht="14.25" x14ac:dyDescent="0.2">
      <c r="A56" s="664">
        <v>49</v>
      </c>
      <c r="B56" s="665" t="s">
        <v>717</v>
      </c>
      <c r="C56" s="666" t="s">
        <v>486</v>
      </c>
      <c r="D56" s="667" t="s">
        <v>1211</v>
      </c>
      <c r="E56" s="668" t="s">
        <v>1867</v>
      </c>
      <c r="F56" s="129">
        <v>-7836748</v>
      </c>
      <c r="G56" s="129">
        <v>63215000</v>
      </c>
      <c r="H56" s="129">
        <v>0</v>
      </c>
      <c r="I56" s="129">
        <v>-761000</v>
      </c>
      <c r="J56" s="129">
        <v>0</v>
      </c>
      <c r="K56" s="129">
        <v>-1000000</v>
      </c>
      <c r="L56" s="129">
        <v>61454000</v>
      </c>
      <c r="M56" s="129">
        <v>0</v>
      </c>
      <c r="N56" s="129">
        <v>0</v>
      </c>
      <c r="O56" s="129">
        <v>1194446</v>
      </c>
      <c r="P56" s="129">
        <v>1194446</v>
      </c>
      <c r="Q56" s="129">
        <v>-331000</v>
      </c>
      <c r="R56" s="129">
        <v>-48610000</v>
      </c>
      <c r="S56" s="129">
        <v>-972000</v>
      </c>
      <c r="T56" s="129">
        <v>-47638000</v>
      </c>
      <c r="U56" s="129">
        <v>0</v>
      </c>
      <c r="V56" s="129">
        <v>-676000</v>
      </c>
      <c r="W56" s="129">
        <v>0</v>
      </c>
      <c r="X56" s="129">
        <v>-98227000</v>
      </c>
      <c r="Y56" s="129">
        <v>1605441</v>
      </c>
      <c r="Z56" s="129">
        <v>-41809861</v>
      </c>
      <c r="AA56" s="662" t="s">
        <v>716</v>
      </c>
      <c r="AB56" s="324" t="s">
        <v>486</v>
      </c>
      <c r="AC56" s="663" t="s">
        <v>492</v>
      </c>
      <c r="AD56" s="529" t="s">
        <v>1263</v>
      </c>
    </row>
    <row r="57" spans="1:30" ht="12.75" x14ac:dyDescent="0.2">
      <c r="A57" s="664">
        <v>50</v>
      </c>
      <c r="B57" s="665" t="s">
        <v>719</v>
      </c>
      <c r="C57" s="666" t="s">
        <v>1201</v>
      </c>
      <c r="D57" s="667" t="s">
        <v>1206</v>
      </c>
      <c r="E57" s="668" t="s">
        <v>718</v>
      </c>
      <c r="F57" s="129">
        <v>4201121</v>
      </c>
      <c r="G57" s="129">
        <v>28685381</v>
      </c>
      <c r="H57" s="129">
        <v>0</v>
      </c>
      <c r="I57" s="129">
        <v>-669579</v>
      </c>
      <c r="J57" s="129">
        <v>2493000</v>
      </c>
      <c r="K57" s="129">
        <v>-2821195</v>
      </c>
      <c r="L57" s="129">
        <v>27687607</v>
      </c>
      <c r="M57" s="129">
        <v>103092</v>
      </c>
      <c r="N57" s="129">
        <v>0</v>
      </c>
      <c r="O57" s="129">
        <v>0</v>
      </c>
      <c r="P57" s="129">
        <v>103092</v>
      </c>
      <c r="Q57" s="129">
        <v>0</v>
      </c>
      <c r="R57" s="129">
        <v>-23142325</v>
      </c>
      <c r="S57" s="129">
        <v>-4629744</v>
      </c>
      <c r="T57" s="129">
        <v>-18518980</v>
      </c>
      <c r="U57" s="129">
        <v>-1133422</v>
      </c>
      <c r="V57" s="129">
        <v>0</v>
      </c>
      <c r="W57" s="129">
        <v>-1611922</v>
      </c>
      <c r="X57" s="129">
        <v>-49036393</v>
      </c>
      <c r="Y57" s="129">
        <v>966503</v>
      </c>
      <c r="Z57" s="129">
        <v>-16078070</v>
      </c>
      <c r="AA57" s="662" t="s">
        <v>718</v>
      </c>
      <c r="AB57" s="324" t="s">
        <v>551</v>
      </c>
      <c r="AC57" s="663" t="s">
        <v>549</v>
      </c>
      <c r="AD57" s="529" t="s">
        <v>1264</v>
      </c>
    </row>
    <row r="58" spans="1:30" ht="12.75" x14ac:dyDescent="0.2">
      <c r="A58" s="664">
        <v>51</v>
      </c>
      <c r="B58" s="665" t="s">
        <v>721</v>
      </c>
      <c r="C58" s="666" t="s">
        <v>1201</v>
      </c>
      <c r="D58" s="667" t="s">
        <v>1211</v>
      </c>
      <c r="E58" s="668" t="s">
        <v>720</v>
      </c>
      <c r="F58" s="129">
        <v>-4494891</v>
      </c>
      <c r="G58" s="129">
        <v>41994474</v>
      </c>
      <c r="H58" s="129">
        <v>0</v>
      </c>
      <c r="I58" s="129">
        <v>-1893153</v>
      </c>
      <c r="J58" s="129">
        <v>0</v>
      </c>
      <c r="K58" s="129">
        <v>-9251752</v>
      </c>
      <c r="L58" s="129">
        <v>30849569</v>
      </c>
      <c r="M58" s="129">
        <v>0</v>
      </c>
      <c r="N58" s="129">
        <v>0</v>
      </c>
      <c r="O58" s="129">
        <v>1844160</v>
      </c>
      <c r="P58" s="129">
        <v>1844160</v>
      </c>
      <c r="Q58" s="129">
        <v>-587407</v>
      </c>
      <c r="R58" s="129">
        <v>-39824844</v>
      </c>
      <c r="S58" s="129">
        <v>-7964969</v>
      </c>
      <c r="T58" s="129">
        <v>-31859867</v>
      </c>
      <c r="U58" s="129">
        <v>-219286</v>
      </c>
      <c r="V58" s="129">
        <v>0</v>
      </c>
      <c r="W58" s="129">
        <v>0</v>
      </c>
      <c r="X58" s="129">
        <v>-80456373</v>
      </c>
      <c r="Y58" s="129">
        <v>7216269</v>
      </c>
      <c r="Z58" s="129">
        <v>-45041266</v>
      </c>
      <c r="AA58" s="662" t="s">
        <v>720</v>
      </c>
      <c r="AB58" s="324" t="s">
        <v>528</v>
      </c>
      <c r="AC58" s="663" t="s">
        <v>1913</v>
      </c>
      <c r="AD58" s="529" t="s">
        <v>1265</v>
      </c>
    </row>
    <row r="59" spans="1:30" ht="12.75" x14ac:dyDescent="0.2">
      <c r="A59" s="664">
        <v>52</v>
      </c>
      <c r="B59" s="665" t="s">
        <v>723</v>
      </c>
      <c r="C59" s="666" t="s">
        <v>1201</v>
      </c>
      <c r="D59" s="667" t="s">
        <v>1224</v>
      </c>
      <c r="E59" s="668" t="s">
        <v>722</v>
      </c>
      <c r="F59" s="129">
        <v>-1551026</v>
      </c>
      <c r="G59" s="129">
        <v>20293351</v>
      </c>
      <c r="H59" s="129">
        <v>0</v>
      </c>
      <c r="I59" s="129">
        <v>-1000000</v>
      </c>
      <c r="J59" s="129">
        <v>2219933</v>
      </c>
      <c r="K59" s="129">
        <v>-2487053</v>
      </c>
      <c r="L59" s="129">
        <v>19026231</v>
      </c>
      <c r="M59" s="129">
        <v>0</v>
      </c>
      <c r="N59" s="129">
        <v>0</v>
      </c>
      <c r="O59" s="129">
        <v>1230601</v>
      </c>
      <c r="P59" s="129">
        <v>1230601</v>
      </c>
      <c r="Q59" s="129">
        <v>-120275</v>
      </c>
      <c r="R59" s="129">
        <v>-28183402</v>
      </c>
      <c r="S59" s="129">
        <v>-5636680</v>
      </c>
      <c r="T59" s="129">
        <v>-22546722</v>
      </c>
      <c r="U59" s="129">
        <v>-165956</v>
      </c>
      <c r="V59" s="129">
        <v>0</v>
      </c>
      <c r="W59" s="129">
        <v>0</v>
      </c>
      <c r="X59" s="129">
        <v>-56653035</v>
      </c>
      <c r="Y59" s="129">
        <v>2710737</v>
      </c>
      <c r="Z59" s="129">
        <v>-35236492</v>
      </c>
      <c r="AA59" s="662" t="s">
        <v>722</v>
      </c>
      <c r="AB59" s="324" t="s">
        <v>529</v>
      </c>
      <c r="AC59" s="663" t="s">
        <v>512</v>
      </c>
      <c r="AD59" s="529" t="s">
        <v>1266</v>
      </c>
    </row>
    <row r="60" spans="1:30" ht="12.75" x14ac:dyDescent="0.2">
      <c r="A60" s="664">
        <v>53</v>
      </c>
      <c r="B60" s="665" t="s">
        <v>725</v>
      </c>
      <c r="C60" s="666" t="s">
        <v>1201</v>
      </c>
      <c r="D60" s="667" t="s">
        <v>1202</v>
      </c>
      <c r="E60" s="668" t="s">
        <v>724</v>
      </c>
      <c r="F60" s="129">
        <v>4250825</v>
      </c>
      <c r="G60" s="129">
        <v>45339334</v>
      </c>
      <c r="H60" s="129">
        <v>-100000</v>
      </c>
      <c r="I60" s="129">
        <v>-1374172</v>
      </c>
      <c r="J60" s="129">
        <v>333553</v>
      </c>
      <c r="K60" s="129">
        <v>-5200560</v>
      </c>
      <c r="L60" s="129">
        <v>38998155</v>
      </c>
      <c r="M60" s="129">
        <v>457797</v>
      </c>
      <c r="N60" s="129">
        <v>0</v>
      </c>
      <c r="O60" s="129">
        <v>0</v>
      </c>
      <c r="P60" s="129">
        <v>457797</v>
      </c>
      <c r="Q60" s="129">
        <v>-100333</v>
      </c>
      <c r="R60" s="129">
        <v>-48010828</v>
      </c>
      <c r="S60" s="129">
        <v>-9602166</v>
      </c>
      <c r="T60" s="129">
        <v>-38408662</v>
      </c>
      <c r="U60" s="129">
        <v>-722644</v>
      </c>
      <c r="V60" s="129">
        <v>0</v>
      </c>
      <c r="W60" s="129">
        <v>-5026602</v>
      </c>
      <c r="X60" s="129">
        <v>-101871235</v>
      </c>
      <c r="Y60" s="129">
        <v>146179</v>
      </c>
      <c r="Z60" s="129">
        <v>-58018279</v>
      </c>
      <c r="AA60" s="662" t="s">
        <v>724</v>
      </c>
      <c r="AB60" s="324" t="s">
        <v>560</v>
      </c>
      <c r="AC60" s="663" t="s">
        <v>512</v>
      </c>
      <c r="AD60" s="529" t="s">
        <v>1267</v>
      </c>
    </row>
    <row r="61" spans="1:30" ht="12.75" x14ac:dyDescent="0.2">
      <c r="A61" s="664">
        <v>54</v>
      </c>
      <c r="B61" s="665" t="s">
        <v>727</v>
      </c>
      <c r="C61" s="666" t="s">
        <v>486</v>
      </c>
      <c r="D61" s="667" t="s">
        <v>1204</v>
      </c>
      <c r="E61" s="668" t="s">
        <v>726</v>
      </c>
      <c r="F61" s="129">
        <v>-1013325</v>
      </c>
      <c r="G61" s="129">
        <v>77504309</v>
      </c>
      <c r="H61" s="129">
        <v>0</v>
      </c>
      <c r="I61" s="129">
        <v>-1869712</v>
      </c>
      <c r="J61" s="129">
        <v>2314161</v>
      </c>
      <c r="K61" s="129">
        <v>-3494178</v>
      </c>
      <c r="L61" s="129">
        <v>74454580</v>
      </c>
      <c r="M61" s="129">
        <v>0</v>
      </c>
      <c r="N61" s="129">
        <v>0</v>
      </c>
      <c r="O61" s="129">
        <v>0</v>
      </c>
      <c r="P61" s="129">
        <v>0</v>
      </c>
      <c r="Q61" s="129">
        <v>-1346949</v>
      </c>
      <c r="R61" s="129">
        <v>-70742835</v>
      </c>
      <c r="S61" s="129">
        <v>-1414857</v>
      </c>
      <c r="T61" s="129">
        <v>-69327978</v>
      </c>
      <c r="U61" s="129">
        <v>-1204810</v>
      </c>
      <c r="V61" s="129">
        <v>0</v>
      </c>
      <c r="W61" s="129">
        <v>-63633</v>
      </c>
      <c r="X61" s="129">
        <v>-144101062</v>
      </c>
      <c r="Y61" s="129">
        <v>5600944</v>
      </c>
      <c r="Z61" s="129">
        <v>-65058863</v>
      </c>
      <c r="AA61" s="662" t="s">
        <v>726</v>
      </c>
      <c r="AB61" s="324" t="s">
        <v>486</v>
      </c>
      <c r="AC61" s="663" t="s">
        <v>505</v>
      </c>
      <c r="AD61" s="529" t="s">
        <v>1268</v>
      </c>
    </row>
    <row r="62" spans="1:30" ht="12.75" x14ac:dyDescent="0.2">
      <c r="A62" s="664">
        <v>55</v>
      </c>
      <c r="B62" s="665" t="s">
        <v>728</v>
      </c>
      <c r="C62" s="666" t="s">
        <v>486</v>
      </c>
      <c r="D62" s="667" t="s">
        <v>1204</v>
      </c>
      <c r="E62" s="668" t="s">
        <v>507</v>
      </c>
      <c r="F62" s="129">
        <v>5984709</v>
      </c>
      <c r="G62" s="129">
        <v>75350000</v>
      </c>
      <c r="H62" s="129">
        <v>0</v>
      </c>
      <c r="I62" s="129">
        <v>-4000000</v>
      </c>
      <c r="J62" s="129">
        <v>4000000</v>
      </c>
      <c r="K62" s="129">
        <v>-10000000</v>
      </c>
      <c r="L62" s="129">
        <v>65350000</v>
      </c>
      <c r="M62" s="129">
        <v>0</v>
      </c>
      <c r="N62" s="129">
        <v>0</v>
      </c>
      <c r="O62" s="129">
        <v>0</v>
      </c>
      <c r="P62" s="129">
        <v>0</v>
      </c>
      <c r="Q62" s="129">
        <v>-7000000</v>
      </c>
      <c r="R62" s="129">
        <v>-70968588</v>
      </c>
      <c r="S62" s="129">
        <v>-1419372</v>
      </c>
      <c r="T62" s="129">
        <v>-69549217</v>
      </c>
      <c r="U62" s="129">
        <v>-1119385</v>
      </c>
      <c r="V62" s="129">
        <v>-724000</v>
      </c>
      <c r="W62" s="129">
        <v>0</v>
      </c>
      <c r="X62" s="129">
        <v>-150780562</v>
      </c>
      <c r="Y62" s="129">
        <v>3980375</v>
      </c>
      <c r="Z62" s="129">
        <v>-75465478</v>
      </c>
      <c r="AA62" s="662" t="s">
        <v>507</v>
      </c>
      <c r="AB62" s="324" t="s">
        <v>486</v>
      </c>
      <c r="AC62" s="663" t="s">
        <v>505</v>
      </c>
      <c r="AD62" s="529" t="s">
        <v>1269</v>
      </c>
    </row>
    <row r="63" spans="1:30" ht="12.75" x14ac:dyDescent="0.2">
      <c r="A63" s="664">
        <v>56</v>
      </c>
      <c r="B63" s="665" t="s">
        <v>730</v>
      </c>
      <c r="C63" s="666" t="s">
        <v>1201</v>
      </c>
      <c r="D63" s="667" t="s">
        <v>1206</v>
      </c>
      <c r="E63" s="668" t="s">
        <v>729</v>
      </c>
      <c r="F63" s="129">
        <v>804638</v>
      </c>
      <c r="G63" s="129">
        <v>23532496</v>
      </c>
      <c r="H63" s="129">
        <v>0</v>
      </c>
      <c r="I63" s="129">
        <v>-318637</v>
      </c>
      <c r="J63" s="129">
        <v>243576</v>
      </c>
      <c r="K63" s="129">
        <v>-1097976</v>
      </c>
      <c r="L63" s="129">
        <v>22359459</v>
      </c>
      <c r="M63" s="129">
        <v>0</v>
      </c>
      <c r="N63" s="129">
        <v>0</v>
      </c>
      <c r="O63" s="129">
        <v>0</v>
      </c>
      <c r="P63" s="129">
        <v>0</v>
      </c>
      <c r="Q63" s="129">
        <v>-149749</v>
      </c>
      <c r="R63" s="129">
        <v>-18904346</v>
      </c>
      <c r="S63" s="129">
        <v>-3780869</v>
      </c>
      <c r="T63" s="129">
        <v>-15123477</v>
      </c>
      <c r="U63" s="129">
        <v>-2134827</v>
      </c>
      <c r="V63" s="129">
        <v>0</v>
      </c>
      <c r="W63" s="129">
        <v>-977155</v>
      </c>
      <c r="X63" s="129">
        <v>-41070423</v>
      </c>
      <c r="Y63" s="129">
        <v>0</v>
      </c>
      <c r="Z63" s="129">
        <v>-17906326</v>
      </c>
      <c r="AA63" s="662" t="s">
        <v>729</v>
      </c>
      <c r="AB63" s="324" t="s">
        <v>516</v>
      </c>
      <c r="AC63" s="663" t="s">
        <v>515</v>
      </c>
      <c r="AD63" s="529" t="s">
        <v>1270</v>
      </c>
    </row>
    <row r="64" spans="1:30" ht="12.75" x14ac:dyDescent="0.2">
      <c r="A64" s="664">
        <v>57</v>
      </c>
      <c r="B64" s="665" t="s">
        <v>732</v>
      </c>
      <c r="C64" s="666" t="s">
        <v>1201</v>
      </c>
      <c r="D64" s="667" t="s">
        <v>1202</v>
      </c>
      <c r="E64" s="668" t="s">
        <v>731</v>
      </c>
      <c r="F64" s="129">
        <v>-897185</v>
      </c>
      <c r="G64" s="129">
        <v>19947575</v>
      </c>
      <c r="H64" s="129">
        <v>0</v>
      </c>
      <c r="I64" s="129">
        <v>-250000</v>
      </c>
      <c r="J64" s="129">
        <v>1850000</v>
      </c>
      <c r="K64" s="129">
        <v>-6300000</v>
      </c>
      <c r="L64" s="129">
        <v>15247575</v>
      </c>
      <c r="M64" s="129">
        <v>273796</v>
      </c>
      <c r="N64" s="129">
        <v>0</v>
      </c>
      <c r="O64" s="129">
        <v>0</v>
      </c>
      <c r="P64" s="129">
        <v>273796</v>
      </c>
      <c r="Q64" s="129">
        <v>0</v>
      </c>
      <c r="R64" s="129">
        <v>-23772356</v>
      </c>
      <c r="S64" s="129">
        <v>-4754471</v>
      </c>
      <c r="T64" s="129">
        <v>-19017885</v>
      </c>
      <c r="U64" s="129">
        <v>-306924</v>
      </c>
      <c r="V64" s="129">
        <v>-26976</v>
      </c>
      <c r="W64" s="129">
        <v>-189137</v>
      </c>
      <c r="X64" s="129">
        <v>-48067749</v>
      </c>
      <c r="Y64" s="129">
        <v>2228084</v>
      </c>
      <c r="Z64" s="129">
        <v>-31215479</v>
      </c>
      <c r="AA64" s="662" t="s">
        <v>731</v>
      </c>
      <c r="AB64" s="324" t="s">
        <v>568</v>
      </c>
      <c r="AC64" s="663" t="s">
        <v>512</v>
      </c>
      <c r="AD64" s="529" t="s">
        <v>1271</v>
      </c>
    </row>
    <row r="65" spans="1:30" ht="12.75" x14ac:dyDescent="0.2">
      <c r="A65" s="664">
        <v>58</v>
      </c>
      <c r="B65" s="665" t="s">
        <v>734</v>
      </c>
      <c r="C65" s="666" t="s">
        <v>1201</v>
      </c>
      <c r="D65" s="667" t="s">
        <v>1204</v>
      </c>
      <c r="E65" s="668" t="s">
        <v>733</v>
      </c>
      <c r="F65" s="129">
        <v>727387</v>
      </c>
      <c r="G65" s="129">
        <v>13499140</v>
      </c>
      <c r="H65" s="129">
        <v>0</v>
      </c>
      <c r="I65" s="129">
        <v>-404974</v>
      </c>
      <c r="J65" s="129">
        <v>10000</v>
      </c>
      <c r="K65" s="129">
        <v>-1031073</v>
      </c>
      <c r="L65" s="129">
        <v>12073093</v>
      </c>
      <c r="M65" s="129">
        <v>241017</v>
      </c>
      <c r="N65" s="129">
        <v>0</v>
      </c>
      <c r="O65" s="129">
        <v>111477</v>
      </c>
      <c r="P65" s="129">
        <v>352494</v>
      </c>
      <c r="Q65" s="129">
        <v>0</v>
      </c>
      <c r="R65" s="129">
        <v>-12327719</v>
      </c>
      <c r="S65" s="129">
        <v>-2465544</v>
      </c>
      <c r="T65" s="129">
        <v>-9862176</v>
      </c>
      <c r="U65" s="129">
        <v>0</v>
      </c>
      <c r="V65" s="129">
        <v>0</v>
      </c>
      <c r="W65" s="129">
        <v>0</v>
      </c>
      <c r="X65" s="129">
        <v>-24655439</v>
      </c>
      <c r="Y65" s="129">
        <v>209104</v>
      </c>
      <c r="Z65" s="129">
        <v>-11293361</v>
      </c>
      <c r="AA65" s="662" t="s">
        <v>733</v>
      </c>
      <c r="AB65" s="324" t="s">
        <v>547</v>
      </c>
      <c r="AC65" s="663" t="s">
        <v>545</v>
      </c>
      <c r="AD65" s="529" t="s">
        <v>1272</v>
      </c>
    </row>
    <row r="66" spans="1:30" ht="12.75" x14ac:dyDescent="0.2">
      <c r="A66" s="664">
        <v>59</v>
      </c>
      <c r="B66" s="665" t="s">
        <v>0</v>
      </c>
      <c r="C66" s="666" t="s">
        <v>1257</v>
      </c>
      <c r="D66" s="667" t="s">
        <v>1214</v>
      </c>
      <c r="E66" s="668" t="s">
        <v>735</v>
      </c>
      <c r="F66" s="129">
        <v>53956957</v>
      </c>
      <c r="G66" s="129">
        <v>1097090203</v>
      </c>
      <c r="H66" s="129">
        <v>0</v>
      </c>
      <c r="I66" s="129">
        <v>-10365116</v>
      </c>
      <c r="J66" s="129">
        <v>47430439</v>
      </c>
      <c r="K66" s="129">
        <v>-94301521</v>
      </c>
      <c r="L66" s="129">
        <v>1039854005</v>
      </c>
      <c r="M66" s="129">
        <v>0</v>
      </c>
      <c r="N66" s="129">
        <v>0</v>
      </c>
      <c r="O66" s="129">
        <v>0</v>
      </c>
      <c r="P66" s="129">
        <v>0</v>
      </c>
      <c r="Q66" s="129">
        <v>-640169</v>
      </c>
      <c r="R66" s="129">
        <v>-399474058</v>
      </c>
      <c r="S66" s="129">
        <v>-447895155</v>
      </c>
      <c r="T66" s="129">
        <v>-363158234</v>
      </c>
      <c r="U66" s="129">
        <v>-14085605</v>
      </c>
      <c r="V66" s="129">
        <v>0</v>
      </c>
      <c r="W66" s="129">
        <v>-38394730</v>
      </c>
      <c r="X66" s="129">
        <v>-1263647951</v>
      </c>
      <c r="Y66" s="129">
        <v>34687793</v>
      </c>
      <c r="Z66" s="129">
        <v>-135149196</v>
      </c>
      <c r="AA66" s="662" t="s">
        <v>735</v>
      </c>
      <c r="AB66" s="324" t="s">
        <v>35</v>
      </c>
      <c r="AC66" s="669" t="s">
        <v>485</v>
      </c>
      <c r="AD66" s="529" t="s">
        <v>1273</v>
      </c>
    </row>
    <row r="67" spans="1:30" ht="12.75" x14ac:dyDescent="0.2">
      <c r="A67" s="664">
        <v>60</v>
      </c>
      <c r="B67" s="665" t="s">
        <v>2</v>
      </c>
      <c r="C67" s="666" t="s">
        <v>1201</v>
      </c>
      <c r="D67" s="667" t="s">
        <v>1211</v>
      </c>
      <c r="E67" s="668" t="s">
        <v>1</v>
      </c>
      <c r="F67" s="129">
        <v>1369219</v>
      </c>
      <c r="G67" s="129">
        <v>30719635</v>
      </c>
      <c r="H67" s="129">
        <v>0</v>
      </c>
      <c r="I67" s="129">
        <v>-2000000</v>
      </c>
      <c r="J67" s="129">
        <v>0</v>
      </c>
      <c r="K67" s="129">
        <v>-1350000</v>
      </c>
      <c r="L67" s="129">
        <v>27369635</v>
      </c>
      <c r="M67" s="129">
        <v>427299</v>
      </c>
      <c r="N67" s="129">
        <v>0</v>
      </c>
      <c r="O67" s="129">
        <v>1212943</v>
      </c>
      <c r="P67" s="129">
        <v>1640242</v>
      </c>
      <c r="Q67" s="129">
        <v>0</v>
      </c>
      <c r="R67" s="129">
        <v>-32090847</v>
      </c>
      <c r="S67" s="129">
        <v>-6418169</v>
      </c>
      <c r="T67" s="129">
        <v>-25672677</v>
      </c>
      <c r="U67" s="129">
        <v>-251096</v>
      </c>
      <c r="V67" s="129">
        <v>0</v>
      </c>
      <c r="W67" s="129">
        <v>0</v>
      </c>
      <c r="X67" s="129">
        <v>-64432789</v>
      </c>
      <c r="Y67" s="129">
        <v>2086935</v>
      </c>
      <c r="Z67" s="129">
        <v>-31966758</v>
      </c>
      <c r="AA67" s="662" t="s">
        <v>1</v>
      </c>
      <c r="AB67" s="324" t="s">
        <v>528</v>
      </c>
      <c r="AC67" s="663" t="s">
        <v>1913</v>
      </c>
      <c r="AD67" s="529" t="s">
        <v>1274</v>
      </c>
    </row>
    <row r="68" spans="1:30" ht="12.75" x14ac:dyDescent="0.2">
      <c r="A68" s="664">
        <v>61</v>
      </c>
      <c r="B68" s="665" t="s">
        <v>4</v>
      </c>
      <c r="C68" s="666" t="s">
        <v>1201</v>
      </c>
      <c r="D68" s="667" t="s">
        <v>1204</v>
      </c>
      <c r="E68" s="668" t="s">
        <v>3</v>
      </c>
      <c r="F68" s="129">
        <v>-214968</v>
      </c>
      <c r="G68" s="129">
        <v>35354704</v>
      </c>
      <c r="H68" s="129">
        <v>0</v>
      </c>
      <c r="I68" s="129">
        <v>-11177</v>
      </c>
      <c r="J68" s="129">
        <v>572700</v>
      </c>
      <c r="K68" s="129">
        <v>-1668646</v>
      </c>
      <c r="L68" s="129">
        <v>34247581</v>
      </c>
      <c r="M68" s="129">
        <v>0</v>
      </c>
      <c r="N68" s="129">
        <v>0</v>
      </c>
      <c r="O68" s="129">
        <v>144555</v>
      </c>
      <c r="P68" s="129">
        <v>144555</v>
      </c>
      <c r="Q68" s="129">
        <v>-3134101</v>
      </c>
      <c r="R68" s="129">
        <v>-17944683</v>
      </c>
      <c r="S68" s="129">
        <v>-3588937</v>
      </c>
      <c r="T68" s="129">
        <v>-14355747</v>
      </c>
      <c r="U68" s="129">
        <v>-165231</v>
      </c>
      <c r="V68" s="129">
        <v>-6666</v>
      </c>
      <c r="W68" s="129">
        <v>0</v>
      </c>
      <c r="X68" s="129">
        <v>-39195365</v>
      </c>
      <c r="Y68" s="129">
        <v>0</v>
      </c>
      <c r="Z68" s="129">
        <v>-5018197</v>
      </c>
      <c r="AA68" s="662" t="s">
        <v>3</v>
      </c>
      <c r="AB68" s="324" t="s">
        <v>513</v>
      </c>
      <c r="AC68" s="663" t="s">
        <v>512</v>
      </c>
      <c r="AD68" s="529" t="s">
        <v>1275</v>
      </c>
    </row>
    <row r="69" spans="1:30" ht="12.75" x14ac:dyDescent="0.2">
      <c r="A69" s="664">
        <v>62</v>
      </c>
      <c r="B69" s="665" t="s">
        <v>6</v>
      </c>
      <c r="C69" s="666" t="s">
        <v>486</v>
      </c>
      <c r="D69" s="667" t="s">
        <v>1224</v>
      </c>
      <c r="E69" s="668" t="s">
        <v>5</v>
      </c>
      <c r="F69" s="129">
        <v>6648423</v>
      </c>
      <c r="G69" s="129">
        <v>65943575</v>
      </c>
      <c r="H69" s="129">
        <v>-716076</v>
      </c>
      <c r="I69" s="129">
        <v>-1667000</v>
      </c>
      <c r="J69" s="129">
        <v>0</v>
      </c>
      <c r="K69" s="129">
        <v>-3410000</v>
      </c>
      <c r="L69" s="129">
        <v>60150499</v>
      </c>
      <c r="M69" s="129">
        <v>0</v>
      </c>
      <c r="N69" s="129">
        <v>0</v>
      </c>
      <c r="O69" s="129">
        <v>0</v>
      </c>
      <c r="P69" s="129">
        <v>0</v>
      </c>
      <c r="Q69" s="129">
        <v>-717709</v>
      </c>
      <c r="R69" s="129">
        <v>0</v>
      </c>
      <c r="S69" s="129">
        <v>0</v>
      </c>
      <c r="T69" s="129">
        <v>-153761248</v>
      </c>
      <c r="U69" s="129">
        <v>-3322542</v>
      </c>
      <c r="V69" s="129">
        <v>0</v>
      </c>
      <c r="W69" s="129">
        <v>-6494377</v>
      </c>
      <c r="X69" s="129">
        <v>-164295876</v>
      </c>
      <c r="Y69" s="129">
        <v>1547290</v>
      </c>
      <c r="Z69" s="129">
        <v>-95949664</v>
      </c>
      <c r="AA69" s="662" t="s">
        <v>5</v>
      </c>
      <c r="AB69" s="324" t="s">
        <v>486</v>
      </c>
      <c r="AC69" s="663" t="s">
        <v>512</v>
      </c>
      <c r="AD69" s="529" t="s">
        <v>1276</v>
      </c>
    </row>
    <row r="70" spans="1:30" ht="12.75" x14ac:dyDescent="0.2">
      <c r="A70" s="664">
        <v>63</v>
      </c>
      <c r="B70" s="665" t="s">
        <v>8</v>
      </c>
      <c r="C70" s="666" t="s">
        <v>1201</v>
      </c>
      <c r="D70" s="667" t="s">
        <v>1224</v>
      </c>
      <c r="E70" s="668" t="s">
        <v>7</v>
      </c>
      <c r="F70" s="129">
        <v>-1039280</v>
      </c>
      <c r="G70" s="129">
        <v>16155821</v>
      </c>
      <c r="H70" s="129">
        <v>-234572</v>
      </c>
      <c r="I70" s="129">
        <v>0</v>
      </c>
      <c r="J70" s="129">
        <v>143035</v>
      </c>
      <c r="K70" s="129">
        <v>-858727</v>
      </c>
      <c r="L70" s="129">
        <v>15205557</v>
      </c>
      <c r="M70" s="129">
        <v>263894</v>
      </c>
      <c r="N70" s="129">
        <v>0</v>
      </c>
      <c r="O70" s="129">
        <v>0</v>
      </c>
      <c r="P70" s="129">
        <v>263894</v>
      </c>
      <c r="Q70" s="129">
        <v>0</v>
      </c>
      <c r="R70" s="129">
        <v>-16545141</v>
      </c>
      <c r="S70" s="129">
        <v>-3309028</v>
      </c>
      <c r="T70" s="129">
        <v>-13236113</v>
      </c>
      <c r="U70" s="129">
        <v>-181565</v>
      </c>
      <c r="V70" s="129">
        <v>0</v>
      </c>
      <c r="W70" s="129">
        <v>-201356</v>
      </c>
      <c r="X70" s="129">
        <v>-33473203</v>
      </c>
      <c r="Y70" s="129">
        <v>240323</v>
      </c>
      <c r="Z70" s="129">
        <v>-18802709</v>
      </c>
      <c r="AA70" s="662" t="s">
        <v>7</v>
      </c>
      <c r="AB70" s="324" t="s">
        <v>529</v>
      </c>
      <c r="AC70" s="663" t="s">
        <v>512</v>
      </c>
      <c r="AD70" s="529" t="s">
        <v>1277</v>
      </c>
    </row>
    <row r="71" spans="1:30" ht="12.75" x14ac:dyDescent="0.2">
      <c r="A71" s="664">
        <v>64</v>
      </c>
      <c r="B71" s="665" t="s">
        <v>10</v>
      </c>
      <c r="C71" s="666" t="s">
        <v>1217</v>
      </c>
      <c r="D71" s="667" t="s">
        <v>1228</v>
      </c>
      <c r="E71" s="668" t="s">
        <v>9</v>
      </c>
      <c r="F71" s="129">
        <v>-869719</v>
      </c>
      <c r="G71" s="129">
        <v>76892775</v>
      </c>
      <c r="H71" s="129">
        <v>0</v>
      </c>
      <c r="I71" s="129">
        <v>-3844639</v>
      </c>
      <c r="J71" s="129">
        <v>0</v>
      </c>
      <c r="K71" s="129">
        <v>-1905814</v>
      </c>
      <c r="L71" s="129">
        <v>71142322</v>
      </c>
      <c r="M71" s="129">
        <v>532067</v>
      </c>
      <c r="N71" s="129">
        <v>0</v>
      </c>
      <c r="O71" s="129">
        <v>26200</v>
      </c>
      <c r="P71" s="129">
        <v>558267</v>
      </c>
      <c r="Q71" s="129">
        <v>-1970616</v>
      </c>
      <c r="R71" s="129">
        <v>0</v>
      </c>
      <c r="S71" s="129">
        <v>-1181037</v>
      </c>
      <c r="T71" s="129">
        <v>-116922658</v>
      </c>
      <c r="U71" s="129">
        <v>-372757</v>
      </c>
      <c r="V71" s="129">
        <v>0</v>
      </c>
      <c r="W71" s="129">
        <v>0</v>
      </c>
      <c r="X71" s="129">
        <v>-120447068</v>
      </c>
      <c r="Y71" s="129">
        <v>0</v>
      </c>
      <c r="Z71" s="129">
        <v>-49616198</v>
      </c>
      <c r="AA71" s="662" t="s">
        <v>9</v>
      </c>
      <c r="AB71" s="324" t="s">
        <v>570</v>
      </c>
      <c r="AC71" s="663" t="s">
        <v>574</v>
      </c>
      <c r="AD71" s="529" t="s">
        <v>1278</v>
      </c>
    </row>
    <row r="72" spans="1:30" ht="12.75" x14ac:dyDescent="0.2">
      <c r="A72" s="664">
        <v>65</v>
      </c>
      <c r="B72" s="665" t="s">
        <v>12</v>
      </c>
      <c r="C72" s="666" t="s">
        <v>1201</v>
      </c>
      <c r="D72" s="667" t="s">
        <v>1218</v>
      </c>
      <c r="E72" s="668" t="s">
        <v>11</v>
      </c>
      <c r="F72" s="129">
        <v>277848</v>
      </c>
      <c r="G72" s="129">
        <v>9355072</v>
      </c>
      <c r="H72" s="129">
        <v>-150000</v>
      </c>
      <c r="I72" s="129">
        <v>0</v>
      </c>
      <c r="J72" s="129">
        <v>0</v>
      </c>
      <c r="K72" s="129">
        <v>0</v>
      </c>
      <c r="L72" s="129">
        <v>9205072</v>
      </c>
      <c r="M72" s="129">
        <v>184967</v>
      </c>
      <c r="N72" s="129">
        <v>0</v>
      </c>
      <c r="O72" s="129">
        <v>0</v>
      </c>
      <c r="P72" s="129">
        <v>184967</v>
      </c>
      <c r="Q72" s="129">
        <v>0</v>
      </c>
      <c r="R72" s="129">
        <v>-9252341</v>
      </c>
      <c r="S72" s="129">
        <v>-1850468</v>
      </c>
      <c r="T72" s="129">
        <v>-7401872</v>
      </c>
      <c r="U72" s="129">
        <v>-117848</v>
      </c>
      <c r="V72" s="129">
        <v>0</v>
      </c>
      <c r="W72" s="129">
        <v>-35393</v>
      </c>
      <c r="X72" s="129">
        <v>-18657922</v>
      </c>
      <c r="Y72" s="129">
        <v>96364</v>
      </c>
      <c r="Z72" s="129">
        <v>-8893671</v>
      </c>
      <c r="AA72" s="662" t="s">
        <v>11</v>
      </c>
      <c r="AB72" s="324" t="s">
        <v>556</v>
      </c>
      <c r="AC72" s="663" t="s">
        <v>555</v>
      </c>
      <c r="AD72" s="529" t="s">
        <v>1279</v>
      </c>
    </row>
    <row r="73" spans="1:30" ht="12.75" x14ac:dyDescent="0.2">
      <c r="A73" s="664">
        <v>66</v>
      </c>
      <c r="B73" s="665" t="s">
        <v>14</v>
      </c>
      <c r="C73" s="666" t="s">
        <v>1201</v>
      </c>
      <c r="D73" s="667" t="s">
        <v>1202</v>
      </c>
      <c r="E73" s="668" t="s">
        <v>13</v>
      </c>
      <c r="F73" s="129">
        <v>-838666</v>
      </c>
      <c r="G73" s="129">
        <v>86427239</v>
      </c>
      <c r="H73" s="129">
        <v>0</v>
      </c>
      <c r="I73" s="129">
        <v>-1417060</v>
      </c>
      <c r="J73" s="129">
        <v>4080000</v>
      </c>
      <c r="K73" s="129">
        <v>-8642724</v>
      </c>
      <c r="L73" s="129">
        <v>80447455</v>
      </c>
      <c r="M73" s="129">
        <v>0</v>
      </c>
      <c r="N73" s="129">
        <v>0</v>
      </c>
      <c r="O73" s="129">
        <v>0</v>
      </c>
      <c r="P73" s="129">
        <v>0</v>
      </c>
      <c r="Q73" s="129">
        <v>-1575093</v>
      </c>
      <c r="R73" s="129">
        <v>-62174861</v>
      </c>
      <c r="S73" s="129">
        <v>-12434972</v>
      </c>
      <c r="T73" s="129">
        <v>-49739889</v>
      </c>
      <c r="U73" s="129">
        <v>-217760</v>
      </c>
      <c r="V73" s="129">
        <v>0</v>
      </c>
      <c r="W73" s="129">
        <v>-1388989</v>
      </c>
      <c r="X73" s="129">
        <v>-127531564</v>
      </c>
      <c r="Y73" s="129">
        <v>6326559</v>
      </c>
      <c r="Z73" s="129">
        <v>-41596216</v>
      </c>
      <c r="AA73" s="662" t="s">
        <v>13</v>
      </c>
      <c r="AB73" s="324" t="s">
        <v>568</v>
      </c>
      <c r="AC73" s="663" t="s">
        <v>512</v>
      </c>
      <c r="AD73" s="529" t="s">
        <v>1280</v>
      </c>
    </row>
    <row r="74" spans="1:30" ht="12.75" x14ac:dyDescent="0.2">
      <c r="A74" s="664">
        <v>67</v>
      </c>
      <c r="B74" s="665" t="s">
        <v>16</v>
      </c>
      <c r="C74" s="666" t="s">
        <v>1213</v>
      </c>
      <c r="D74" s="667" t="s">
        <v>1214</v>
      </c>
      <c r="E74" s="668" t="s">
        <v>15</v>
      </c>
      <c r="F74" s="129">
        <v>-6979663</v>
      </c>
      <c r="G74" s="129">
        <v>69322092</v>
      </c>
      <c r="H74" s="129">
        <v>-1000000</v>
      </c>
      <c r="I74" s="129">
        <v>-2713504</v>
      </c>
      <c r="J74" s="129">
        <v>12100748</v>
      </c>
      <c r="K74" s="129">
        <v>-18556433</v>
      </c>
      <c r="L74" s="129">
        <v>59152903</v>
      </c>
      <c r="M74" s="129">
        <v>279477</v>
      </c>
      <c r="N74" s="129">
        <v>0</v>
      </c>
      <c r="O74" s="129">
        <v>3000899</v>
      </c>
      <c r="P74" s="129">
        <v>3280376</v>
      </c>
      <c r="Q74" s="129">
        <v>0</v>
      </c>
      <c r="R74" s="129">
        <v>-41083280</v>
      </c>
      <c r="S74" s="129">
        <v>-46063072</v>
      </c>
      <c r="T74" s="129">
        <v>-37348437</v>
      </c>
      <c r="U74" s="129">
        <v>-1741800</v>
      </c>
      <c r="V74" s="129">
        <v>0</v>
      </c>
      <c r="W74" s="129">
        <v>0</v>
      </c>
      <c r="X74" s="129">
        <v>-126236589</v>
      </c>
      <c r="Y74" s="129">
        <v>5315533</v>
      </c>
      <c r="Z74" s="129">
        <v>-65467440</v>
      </c>
      <c r="AA74" s="662" t="s">
        <v>15</v>
      </c>
      <c r="AB74" s="324" t="s">
        <v>576</v>
      </c>
      <c r="AC74" s="669" t="s">
        <v>485</v>
      </c>
      <c r="AD74" s="529" t="s">
        <v>1281</v>
      </c>
    </row>
    <row r="75" spans="1:30" ht="12.75" x14ac:dyDescent="0.2">
      <c r="A75" s="664">
        <v>68</v>
      </c>
      <c r="B75" s="665" t="s">
        <v>18</v>
      </c>
      <c r="C75" s="666" t="s">
        <v>1201</v>
      </c>
      <c r="D75" s="667" t="s">
        <v>1211</v>
      </c>
      <c r="E75" s="668" t="s">
        <v>17</v>
      </c>
      <c r="F75" s="129">
        <v>-5787177</v>
      </c>
      <c r="G75" s="129">
        <v>42132124</v>
      </c>
      <c r="H75" s="129">
        <v>0</v>
      </c>
      <c r="I75" s="129">
        <v>-691725</v>
      </c>
      <c r="J75" s="129">
        <v>415000</v>
      </c>
      <c r="K75" s="129">
        <v>-2590000</v>
      </c>
      <c r="L75" s="129">
        <v>39265399</v>
      </c>
      <c r="M75" s="129">
        <v>0</v>
      </c>
      <c r="N75" s="129">
        <v>0</v>
      </c>
      <c r="O75" s="129">
        <v>3156137</v>
      </c>
      <c r="P75" s="129">
        <v>3156137</v>
      </c>
      <c r="Q75" s="129">
        <v>-248106</v>
      </c>
      <c r="R75" s="129">
        <v>-33422592</v>
      </c>
      <c r="S75" s="129">
        <v>-6692519</v>
      </c>
      <c r="T75" s="129">
        <v>-26770074</v>
      </c>
      <c r="U75" s="129">
        <v>-1487570</v>
      </c>
      <c r="V75" s="129">
        <v>0</v>
      </c>
      <c r="W75" s="129">
        <v>0</v>
      </c>
      <c r="X75" s="129">
        <v>-68620861</v>
      </c>
      <c r="Y75" s="129">
        <v>3033017</v>
      </c>
      <c r="Z75" s="129">
        <v>-28953485</v>
      </c>
      <c r="AA75" s="662" t="s">
        <v>17</v>
      </c>
      <c r="AB75" s="324" t="s">
        <v>536</v>
      </c>
      <c r="AC75" s="663" t="s">
        <v>512</v>
      </c>
      <c r="AD75" s="529" t="s">
        <v>1282</v>
      </c>
    </row>
    <row r="76" spans="1:30" ht="12.75" x14ac:dyDescent="0.2">
      <c r="A76" s="664">
        <v>69</v>
      </c>
      <c r="B76" s="665" t="s">
        <v>20</v>
      </c>
      <c r="C76" s="666" t="s">
        <v>486</v>
      </c>
      <c r="D76" s="667" t="s">
        <v>1283</v>
      </c>
      <c r="E76" s="668" t="s">
        <v>522</v>
      </c>
      <c r="F76" s="129">
        <v>-1612815</v>
      </c>
      <c r="G76" s="129">
        <v>18605452</v>
      </c>
      <c r="H76" s="129">
        <v>0</v>
      </c>
      <c r="I76" s="129">
        <v>-400000</v>
      </c>
      <c r="J76" s="129">
        <v>0</v>
      </c>
      <c r="K76" s="129">
        <v>0</v>
      </c>
      <c r="L76" s="129">
        <v>18205452</v>
      </c>
      <c r="M76" s="129">
        <v>0</v>
      </c>
      <c r="N76" s="129">
        <v>0</v>
      </c>
      <c r="O76" s="129">
        <v>1615229</v>
      </c>
      <c r="P76" s="129">
        <v>1615229</v>
      </c>
      <c r="Q76" s="129">
        <v>-848047</v>
      </c>
      <c r="R76" s="129">
        <v>-16149457</v>
      </c>
      <c r="S76" s="129">
        <v>-362273</v>
      </c>
      <c r="T76" s="129">
        <v>-19715535</v>
      </c>
      <c r="U76" s="129">
        <v>-345953</v>
      </c>
      <c r="V76" s="129">
        <v>0</v>
      </c>
      <c r="W76" s="129">
        <v>0</v>
      </c>
      <c r="X76" s="129">
        <v>-37421265</v>
      </c>
      <c r="Y76" s="129">
        <v>1810110</v>
      </c>
      <c r="Z76" s="129">
        <v>-17403289</v>
      </c>
      <c r="AA76" s="662" t="s">
        <v>522</v>
      </c>
      <c r="AB76" s="324" t="s">
        <v>486</v>
      </c>
      <c r="AC76" s="663" t="s">
        <v>523</v>
      </c>
      <c r="AD76" s="529" t="s">
        <v>1284</v>
      </c>
    </row>
    <row r="77" spans="1:30" ht="12.75" x14ac:dyDescent="0.2">
      <c r="A77" s="664">
        <v>70</v>
      </c>
      <c r="B77" s="665" t="s">
        <v>22</v>
      </c>
      <c r="C77" s="666" t="s">
        <v>1201</v>
      </c>
      <c r="D77" s="667" t="s">
        <v>1202</v>
      </c>
      <c r="E77" s="668" t="s">
        <v>21</v>
      </c>
      <c r="F77" s="129">
        <v>3236441</v>
      </c>
      <c r="G77" s="129">
        <v>33812516</v>
      </c>
      <c r="H77" s="129">
        <v>-2974623</v>
      </c>
      <c r="I77" s="129">
        <v>0</v>
      </c>
      <c r="J77" s="129">
        <v>0</v>
      </c>
      <c r="K77" s="129">
        <v>-2677220</v>
      </c>
      <c r="L77" s="129">
        <v>28160673</v>
      </c>
      <c r="M77" s="129">
        <v>21054</v>
      </c>
      <c r="N77" s="129">
        <v>0</v>
      </c>
      <c r="O77" s="129">
        <v>0</v>
      </c>
      <c r="P77" s="129">
        <v>21054</v>
      </c>
      <c r="Q77" s="129">
        <v>-1448837</v>
      </c>
      <c r="R77" s="129">
        <v>-44540675</v>
      </c>
      <c r="S77" s="129">
        <v>-8908134</v>
      </c>
      <c r="T77" s="129">
        <v>-35632539</v>
      </c>
      <c r="U77" s="129">
        <v>0</v>
      </c>
      <c r="V77" s="129">
        <v>0</v>
      </c>
      <c r="W77" s="129">
        <v>-2727077</v>
      </c>
      <c r="X77" s="129">
        <v>-93257262</v>
      </c>
      <c r="Y77" s="129">
        <v>2959057</v>
      </c>
      <c r="Z77" s="129">
        <v>-58880037</v>
      </c>
      <c r="AA77" s="662" t="s">
        <v>21</v>
      </c>
      <c r="AB77" s="324" t="s">
        <v>543</v>
      </c>
      <c r="AC77" s="663" t="s">
        <v>542</v>
      </c>
      <c r="AD77" s="529" t="s">
        <v>1285</v>
      </c>
    </row>
    <row r="78" spans="1:30" ht="14.25" x14ac:dyDescent="0.2">
      <c r="A78" s="664">
        <v>71</v>
      </c>
      <c r="B78" s="665" t="s">
        <v>24</v>
      </c>
      <c r="C78" s="666" t="s">
        <v>486</v>
      </c>
      <c r="D78" s="667" t="s">
        <v>1206</v>
      </c>
      <c r="E78" s="668" t="s">
        <v>1864</v>
      </c>
      <c r="F78" s="129">
        <v>-4259283</v>
      </c>
      <c r="G78" s="129">
        <v>49431513</v>
      </c>
      <c r="H78" s="129">
        <v>0</v>
      </c>
      <c r="I78" s="129">
        <v>-1977261</v>
      </c>
      <c r="J78" s="129">
        <v>7016929</v>
      </c>
      <c r="K78" s="129">
        <v>-10006768</v>
      </c>
      <c r="L78" s="129">
        <v>44464413</v>
      </c>
      <c r="M78" s="129">
        <v>530670</v>
      </c>
      <c r="N78" s="129">
        <v>0</v>
      </c>
      <c r="O78" s="129">
        <v>3584053</v>
      </c>
      <c r="P78" s="129">
        <v>4114723</v>
      </c>
      <c r="Q78" s="129">
        <v>-378661</v>
      </c>
      <c r="R78" s="129">
        <v>-46204594</v>
      </c>
      <c r="S78" s="129">
        <v>-924864</v>
      </c>
      <c r="T78" s="129">
        <v>-45318353</v>
      </c>
      <c r="U78" s="129">
        <v>-1246555</v>
      </c>
      <c r="V78" s="129">
        <v>0</v>
      </c>
      <c r="W78" s="129">
        <v>0</v>
      </c>
      <c r="X78" s="129">
        <v>-94073027</v>
      </c>
      <c r="Y78" s="129">
        <v>5532709</v>
      </c>
      <c r="Z78" s="129">
        <v>-44220465</v>
      </c>
      <c r="AA78" s="662" t="s">
        <v>514</v>
      </c>
      <c r="AB78" s="324" t="s">
        <v>486</v>
      </c>
      <c r="AC78" s="663" t="s">
        <v>515</v>
      </c>
      <c r="AD78" s="529" t="s">
        <v>1286</v>
      </c>
    </row>
    <row r="79" spans="1:30" ht="12.75" x14ac:dyDescent="0.2">
      <c r="A79" s="664">
        <v>72</v>
      </c>
      <c r="B79" s="665" t="s">
        <v>26</v>
      </c>
      <c r="C79" s="666" t="s">
        <v>1201</v>
      </c>
      <c r="D79" s="667" t="s">
        <v>1206</v>
      </c>
      <c r="E79" s="668" t="s">
        <v>25</v>
      </c>
      <c r="F79" s="129">
        <v>-1416451</v>
      </c>
      <c r="G79" s="129">
        <v>10391365</v>
      </c>
      <c r="H79" s="129">
        <v>0</v>
      </c>
      <c r="I79" s="129">
        <v>-311741</v>
      </c>
      <c r="J79" s="129">
        <v>214695</v>
      </c>
      <c r="K79" s="129">
        <v>-200307</v>
      </c>
      <c r="L79" s="129">
        <v>10094012</v>
      </c>
      <c r="M79" s="129">
        <v>713595</v>
      </c>
      <c r="N79" s="129">
        <v>0</v>
      </c>
      <c r="O79" s="129">
        <v>0</v>
      </c>
      <c r="P79" s="129">
        <v>713595</v>
      </c>
      <c r="Q79" s="129">
        <v>0</v>
      </c>
      <c r="R79" s="129">
        <v>-9298624</v>
      </c>
      <c r="S79" s="129">
        <v>-1859724</v>
      </c>
      <c r="T79" s="129">
        <v>-7438898</v>
      </c>
      <c r="U79" s="129">
        <v>-333983</v>
      </c>
      <c r="V79" s="129">
        <v>0</v>
      </c>
      <c r="W79" s="129">
        <v>-332527</v>
      </c>
      <c r="X79" s="129">
        <v>-19263756</v>
      </c>
      <c r="Y79" s="129">
        <v>0</v>
      </c>
      <c r="Z79" s="129">
        <v>-9872600</v>
      </c>
      <c r="AA79" s="662" t="s">
        <v>25</v>
      </c>
      <c r="AB79" s="324" t="s">
        <v>516</v>
      </c>
      <c r="AC79" s="663" t="s">
        <v>515</v>
      </c>
      <c r="AD79" s="529" t="s">
        <v>1287</v>
      </c>
    </row>
    <row r="80" spans="1:30" ht="12.75" x14ac:dyDescent="0.2">
      <c r="A80" s="664">
        <v>73</v>
      </c>
      <c r="B80" s="665" t="s">
        <v>28</v>
      </c>
      <c r="C80" s="666" t="s">
        <v>1217</v>
      </c>
      <c r="D80" s="667" t="s">
        <v>1218</v>
      </c>
      <c r="E80" s="668" t="s">
        <v>27</v>
      </c>
      <c r="F80" s="129">
        <v>2290984</v>
      </c>
      <c r="G80" s="129">
        <v>66007054</v>
      </c>
      <c r="H80" s="129">
        <v>0</v>
      </c>
      <c r="I80" s="129">
        <v>-3186116</v>
      </c>
      <c r="J80" s="129">
        <v>1456038</v>
      </c>
      <c r="K80" s="129">
        <v>-5625008</v>
      </c>
      <c r="L80" s="129">
        <v>58651968</v>
      </c>
      <c r="M80" s="129">
        <v>0</v>
      </c>
      <c r="N80" s="129">
        <v>0</v>
      </c>
      <c r="O80" s="129">
        <v>0</v>
      </c>
      <c r="P80" s="129">
        <v>0</v>
      </c>
      <c r="Q80" s="129">
        <v>-1678324</v>
      </c>
      <c r="R80" s="129">
        <v>-48832900</v>
      </c>
      <c r="S80" s="129">
        <v>-976658</v>
      </c>
      <c r="T80" s="129">
        <v>-47856242</v>
      </c>
      <c r="U80" s="129">
        <v>-564084</v>
      </c>
      <c r="V80" s="129">
        <v>0</v>
      </c>
      <c r="W80" s="129">
        <v>-3115968</v>
      </c>
      <c r="X80" s="129">
        <v>-103024176</v>
      </c>
      <c r="Y80" s="129">
        <v>1940587</v>
      </c>
      <c r="Z80" s="129">
        <v>-40140637</v>
      </c>
      <c r="AA80" s="662" t="s">
        <v>27</v>
      </c>
      <c r="AB80" s="324" t="s">
        <v>570</v>
      </c>
      <c r="AC80" s="663" t="s">
        <v>572</v>
      </c>
      <c r="AD80" s="529" t="s">
        <v>1288</v>
      </c>
    </row>
    <row r="81" spans="1:30" ht="12.75" x14ac:dyDescent="0.2">
      <c r="A81" s="664">
        <v>74</v>
      </c>
      <c r="B81" s="665" t="s">
        <v>1019</v>
      </c>
      <c r="C81" s="666" t="s">
        <v>486</v>
      </c>
      <c r="D81" s="667" t="s">
        <v>1224</v>
      </c>
      <c r="E81" s="668" t="s">
        <v>1018</v>
      </c>
      <c r="F81" s="129">
        <v>-429013</v>
      </c>
      <c r="G81" s="129">
        <v>50475347</v>
      </c>
      <c r="H81" s="129">
        <v>0</v>
      </c>
      <c r="I81" s="129">
        <v>-5398184</v>
      </c>
      <c r="J81" s="129">
        <v>3961401</v>
      </c>
      <c r="K81" s="129">
        <v>-2647352</v>
      </c>
      <c r="L81" s="129">
        <v>46391212</v>
      </c>
      <c r="M81" s="129">
        <v>163687</v>
      </c>
      <c r="N81" s="129">
        <v>57042</v>
      </c>
      <c r="O81" s="129">
        <v>4256558</v>
      </c>
      <c r="P81" s="129">
        <v>4477287</v>
      </c>
      <c r="Q81" s="129">
        <v>0</v>
      </c>
      <c r="R81" s="129">
        <v>-48244668</v>
      </c>
      <c r="S81" s="129">
        <v>-965851</v>
      </c>
      <c r="T81" s="129">
        <v>-47326679</v>
      </c>
      <c r="U81" s="129">
        <v>-1379893</v>
      </c>
      <c r="V81" s="129">
        <v>0</v>
      </c>
      <c r="W81" s="129">
        <v>0</v>
      </c>
      <c r="X81" s="129">
        <v>-97917091</v>
      </c>
      <c r="Y81" s="129">
        <v>0</v>
      </c>
      <c r="Z81" s="129">
        <v>-47477605</v>
      </c>
      <c r="AA81" s="662" t="s">
        <v>1018</v>
      </c>
      <c r="AB81" s="324" t="s">
        <v>486</v>
      </c>
      <c r="AC81" s="663" t="s">
        <v>1916</v>
      </c>
      <c r="AD81" s="529" t="s">
        <v>1252</v>
      </c>
    </row>
    <row r="82" spans="1:30" ht="12.75" x14ac:dyDescent="0.2">
      <c r="A82" s="664">
        <v>75</v>
      </c>
      <c r="B82" s="665" t="s">
        <v>38</v>
      </c>
      <c r="C82" s="666" t="s">
        <v>1201</v>
      </c>
      <c r="D82" s="667" t="s">
        <v>1202</v>
      </c>
      <c r="E82" s="668" t="s">
        <v>37</v>
      </c>
      <c r="F82" s="129">
        <v>-402865</v>
      </c>
      <c r="G82" s="129">
        <v>30515179</v>
      </c>
      <c r="H82" s="129">
        <v>0</v>
      </c>
      <c r="I82" s="129">
        <v>-600000</v>
      </c>
      <c r="J82" s="129">
        <v>924236</v>
      </c>
      <c r="K82" s="129">
        <v>-4609288</v>
      </c>
      <c r="L82" s="129">
        <v>26230127</v>
      </c>
      <c r="M82" s="129">
        <v>0</v>
      </c>
      <c r="N82" s="129">
        <v>946186</v>
      </c>
      <c r="O82" s="129">
        <v>0</v>
      </c>
      <c r="P82" s="129">
        <v>946186</v>
      </c>
      <c r="Q82" s="129">
        <v>-908385</v>
      </c>
      <c r="R82" s="129">
        <v>-19866500</v>
      </c>
      <c r="S82" s="129">
        <v>-4135800</v>
      </c>
      <c r="T82" s="129">
        <v>-16543200</v>
      </c>
      <c r="U82" s="129">
        <v>-1302801</v>
      </c>
      <c r="V82" s="129">
        <v>-946186</v>
      </c>
      <c r="W82" s="129">
        <v>-20000</v>
      </c>
      <c r="X82" s="129">
        <v>-43722872</v>
      </c>
      <c r="Y82" s="129">
        <v>2798144</v>
      </c>
      <c r="Z82" s="129">
        <v>-14151280</v>
      </c>
      <c r="AA82" s="662" t="s">
        <v>37</v>
      </c>
      <c r="AB82" s="324" t="s">
        <v>543</v>
      </c>
      <c r="AC82" s="663" t="s">
        <v>542</v>
      </c>
      <c r="AD82" s="529" t="s">
        <v>1289</v>
      </c>
    </row>
    <row r="83" spans="1:30" ht="12.75" x14ac:dyDescent="0.2">
      <c r="A83" s="664">
        <v>76</v>
      </c>
      <c r="B83" s="665" t="s">
        <v>40</v>
      </c>
      <c r="C83" s="666" t="s">
        <v>1217</v>
      </c>
      <c r="D83" s="667" t="s">
        <v>1228</v>
      </c>
      <c r="E83" s="668" t="s">
        <v>39</v>
      </c>
      <c r="F83" s="129">
        <v>-1939902</v>
      </c>
      <c r="G83" s="129">
        <v>43096853</v>
      </c>
      <c r="H83" s="129">
        <v>0</v>
      </c>
      <c r="I83" s="129">
        <v>-3900000</v>
      </c>
      <c r="J83" s="129">
        <v>1300000</v>
      </c>
      <c r="K83" s="129">
        <v>-1900000</v>
      </c>
      <c r="L83" s="129">
        <v>38596853</v>
      </c>
      <c r="M83" s="129">
        <v>0</v>
      </c>
      <c r="N83" s="129">
        <v>0</v>
      </c>
      <c r="O83" s="129">
        <v>431161</v>
      </c>
      <c r="P83" s="129">
        <v>431161</v>
      </c>
      <c r="Q83" s="129">
        <v>-768225</v>
      </c>
      <c r="R83" s="129">
        <v>0</v>
      </c>
      <c r="S83" s="129">
        <v>-865550</v>
      </c>
      <c r="T83" s="129">
        <v>-85689448</v>
      </c>
      <c r="U83" s="129">
        <v>-497161</v>
      </c>
      <c r="V83" s="129">
        <v>0</v>
      </c>
      <c r="W83" s="129">
        <v>0</v>
      </c>
      <c r="X83" s="129">
        <v>-87820384</v>
      </c>
      <c r="Y83" s="129">
        <v>3583145</v>
      </c>
      <c r="Z83" s="129">
        <v>-47149127</v>
      </c>
      <c r="AA83" s="662" t="s">
        <v>39</v>
      </c>
      <c r="AB83" s="324" t="s">
        <v>570</v>
      </c>
      <c r="AC83" s="663" t="s">
        <v>574</v>
      </c>
      <c r="AD83" s="529" t="s">
        <v>1290</v>
      </c>
    </row>
    <row r="84" spans="1:30" ht="12.75" x14ac:dyDescent="0.2">
      <c r="A84" s="664">
        <v>77</v>
      </c>
      <c r="B84" s="665" t="s">
        <v>42</v>
      </c>
      <c r="C84" s="666" t="s">
        <v>486</v>
      </c>
      <c r="D84" s="667" t="s">
        <v>1283</v>
      </c>
      <c r="E84" s="668" t="s">
        <v>41</v>
      </c>
      <c r="F84" s="129">
        <v>9949151</v>
      </c>
      <c r="G84" s="129">
        <v>68171661</v>
      </c>
      <c r="H84" s="129">
        <v>0</v>
      </c>
      <c r="I84" s="129">
        <v>-691579</v>
      </c>
      <c r="J84" s="129">
        <v>0</v>
      </c>
      <c r="K84" s="129">
        <v>-1531976</v>
      </c>
      <c r="L84" s="129">
        <v>65948106</v>
      </c>
      <c r="M84" s="129">
        <v>0</v>
      </c>
      <c r="N84" s="129">
        <v>0</v>
      </c>
      <c r="O84" s="129">
        <v>0</v>
      </c>
      <c r="P84" s="129">
        <v>0</v>
      </c>
      <c r="Q84" s="129">
        <v>-955841</v>
      </c>
      <c r="R84" s="129">
        <v>-57053060</v>
      </c>
      <c r="S84" s="129">
        <v>-1141061</v>
      </c>
      <c r="T84" s="129">
        <v>-55911998</v>
      </c>
      <c r="U84" s="129">
        <v>-787265</v>
      </c>
      <c r="V84" s="129">
        <v>0</v>
      </c>
      <c r="W84" s="129">
        <v>-1716549</v>
      </c>
      <c r="X84" s="129">
        <v>-117565774</v>
      </c>
      <c r="Y84" s="129">
        <v>758529</v>
      </c>
      <c r="Z84" s="129">
        <v>-40909988</v>
      </c>
      <c r="AA84" s="662" t="s">
        <v>41</v>
      </c>
      <c r="AB84" s="324" t="s">
        <v>486</v>
      </c>
      <c r="AC84" s="663" t="s">
        <v>523</v>
      </c>
      <c r="AD84" s="529" t="s">
        <v>1291</v>
      </c>
    </row>
    <row r="85" spans="1:30" ht="12.75" x14ac:dyDescent="0.2">
      <c r="A85" s="664">
        <v>78</v>
      </c>
      <c r="B85" s="665" t="s">
        <v>44</v>
      </c>
      <c r="C85" s="666" t="s">
        <v>1213</v>
      </c>
      <c r="D85" s="667" t="s">
        <v>1214</v>
      </c>
      <c r="E85" s="668" t="s">
        <v>43</v>
      </c>
      <c r="F85" s="129">
        <v>796001</v>
      </c>
      <c r="G85" s="129">
        <v>100156998</v>
      </c>
      <c r="H85" s="129">
        <v>0</v>
      </c>
      <c r="I85" s="129">
        <v>-8895586</v>
      </c>
      <c r="J85" s="129">
        <v>5121275</v>
      </c>
      <c r="K85" s="129">
        <v>-18523501</v>
      </c>
      <c r="L85" s="129">
        <v>77859186</v>
      </c>
      <c r="M85" s="129">
        <v>186233</v>
      </c>
      <c r="N85" s="129">
        <v>0</v>
      </c>
      <c r="O85" s="129">
        <v>0</v>
      </c>
      <c r="P85" s="129">
        <v>186233</v>
      </c>
      <c r="Q85" s="129">
        <v>0</v>
      </c>
      <c r="R85" s="129">
        <v>-50159296</v>
      </c>
      <c r="S85" s="129">
        <v>-56239211</v>
      </c>
      <c r="T85" s="129">
        <v>-45599360</v>
      </c>
      <c r="U85" s="129">
        <v>-499198</v>
      </c>
      <c r="V85" s="129">
        <v>0</v>
      </c>
      <c r="W85" s="129">
        <v>-602593</v>
      </c>
      <c r="X85" s="129">
        <v>-153099658</v>
      </c>
      <c r="Y85" s="129">
        <v>14649249</v>
      </c>
      <c r="Z85" s="129">
        <v>-59608989</v>
      </c>
      <c r="AA85" s="662" t="s">
        <v>43</v>
      </c>
      <c r="AB85" s="324" t="s">
        <v>576</v>
      </c>
      <c r="AC85" s="669" t="s">
        <v>485</v>
      </c>
      <c r="AD85" s="529" t="s">
        <v>1292</v>
      </c>
    </row>
    <row r="86" spans="1:30" ht="12.75" x14ac:dyDescent="0.2">
      <c r="A86" s="664">
        <v>79</v>
      </c>
      <c r="B86" s="665" t="s">
        <v>46</v>
      </c>
      <c r="C86" s="666" t="s">
        <v>1201</v>
      </c>
      <c r="D86" s="667" t="s">
        <v>1211</v>
      </c>
      <c r="E86" s="668" t="s">
        <v>45</v>
      </c>
      <c r="F86" s="129">
        <v>-35409</v>
      </c>
      <c r="G86" s="129">
        <v>15148846</v>
      </c>
      <c r="H86" s="129">
        <v>0</v>
      </c>
      <c r="I86" s="129">
        <v>11284</v>
      </c>
      <c r="J86" s="129">
        <v>191067</v>
      </c>
      <c r="K86" s="129">
        <v>-1985954</v>
      </c>
      <c r="L86" s="129">
        <v>13365243</v>
      </c>
      <c r="M86" s="129">
        <v>84818</v>
      </c>
      <c r="N86" s="129">
        <v>0</v>
      </c>
      <c r="O86" s="129">
        <v>0</v>
      </c>
      <c r="P86" s="129">
        <v>84818</v>
      </c>
      <c r="Q86" s="129">
        <v>0</v>
      </c>
      <c r="R86" s="129">
        <v>-10659937</v>
      </c>
      <c r="S86" s="129">
        <v>-2131988</v>
      </c>
      <c r="T86" s="129">
        <v>-8527950</v>
      </c>
      <c r="U86" s="129">
        <v>-836586</v>
      </c>
      <c r="V86" s="129">
        <v>0</v>
      </c>
      <c r="W86" s="129">
        <v>-31127</v>
      </c>
      <c r="X86" s="129">
        <v>-22187588</v>
      </c>
      <c r="Y86" s="129">
        <v>973905</v>
      </c>
      <c r="Z86" s="129">
        <v>-7799031</v>
      </c>
      <c r="AA86" s="662" t="s">
        <v>45</v>
      </c>
      <c r="AB86" s="324" t="s">
        <v>503</v>
      </c>
      <c r="AC86" s="663" t="s">
        <v>502</v>
      </c>
      <c r="AD86" s="529" t="s">
        <v>1293</v>
      </c>
    </row>
    <row r="87" spans="1:30" ht="12.75" x14ac:dyDescent="0.2">
      <c r="A87" s="664">
        <v>80</v>
      </c>
      <c r="B87" s="665" t="s">
        <v>48</v>
      </c>
      <c r="C87" s="666" t="s">
        <v>1201</v>
      </c>
      <c r="D87" s="667" t="s">
        <v>1224</v>
      </c>
      <c r="E87" s="668" t="s">
        <v>47</v>
      </c>
      <c r="F87" s="129">
        <v>-1233336</v>
      </c>
      <c r="G87" s="129">
        <v>17932967</v>
      </c>
      <c r="H87" s="129">
        <v>0</v>
      </c>
      <c r="I87" s="129">
        <v>-75188</v>
      </c>
      <c r="J87" s="129">
        <v>1125618</v>
      </c>
      <c r="K87" s="129">
        <v>-874058</v>
      </c>
      <c r="L87" s="129">
        <v>18109339</v>
      </c>
      <c r="M87" s="129">
        <v>224516</v>
      </c>
      <c r="N87" s="129">
        <v>0</v>
      </c>
      <c r="O87" s="129">
        <v>85241</v>
      </c>
      <c r="P87" s="129">
        <v>309757</v>
      </c>
      <c r="Q87" s="129">
        <v>-100247</v>
      </c>
      <c r="R87" s="129">
        <v>-17206730</v>
      </c>
      <c r="S87" s="129">
        <v>-3511394</v>
      </c>
      <c r="T87" s="129">
        <v>-14045576</v>
      </c>
      <c r="U87" s="129">
        <v>-1218457</v>
      </c>
      <c r="V87" s="129">
        <v>-276389</v>
      </c>
      <c r="W87" s="129">
        <v>0</v>
      </c>
      <c r="X87" s="129">
        <v>-36358793</v>
      </c>
      <c r="Y87" s="129">
        <v>89325</v>
      </c>
      <c r="Z87" s="129">
        <v>-19083708</v>
      </c>
      <c r="AA87" s="662" t="s">
        <v>47</v>
      </c>
      <c r="AB87" s="324" t="s">
        <v>521</v>
      </c>
      <c r="AC87" s="670" t="s">
        <v>519</v>
      </c>
      <c r="AD87" s="529" t="s">
        <v>1294</v>
      </c>
    </row>
    <row r="88" spans="1:30" ht="14.25" x14ac:dyDescent="0.2">
      <c r="A88" s="664">
        <v>81</v>
      </c>
      <c r="B88" s="665" t="s">
        <v>50</v>
      </c>
      <c r="C88" s="666" t="s">
        <v>1201</v>
      </c>
      <c r="D88" s="667" t="s">
        <v>1202</v>
      </c>
      <c r="E88" s="668" t="s">
        <v>1921</v>
      </c>
      <c r="F88" s="129">
        <v>-3955897</v>
      </c>
      <c r="G88" s="129">
        <v>17316361</v>
      </c>
      <c r="H88" s="129">
        <v>0</v>
      </c>
      <c r="I88" s="129">
        <v>-1280901</v>
      </c>
      <c r="J88" s="129">
        <v>0</v>
      </c>
      <c r="K88" s="129">
        <v>-500000</v>
      </c>
      <c r="L88" s="129">
        <v>15535460</v>
      </c>
      <c r="M88" s="129">
        <v>289237</v>
      </c>
      <c r="N88" s="129">
        <v>0</v>
      </c>
      <c r="O88" s="129">
        <v>5586626</v>
      </c>
      <c r="P88" s="129">
        <v>5875863</v>
      </c>
      <c r="Q88" s="129">
        <v>0</v>
      </c>
      <c r="R88" s="129">
        <v>-15600014</v>
      </c>
      <c r="S88" s="129">
        <v>-3120003</v>
      </c>
      <c r="T88" s="129">
        <v>-12480011</v>
      </c>
      <c r="U88" s="129">
        <v>-157339</v>
      </c>
      <c r="V88" s="129">
        <v>0</v>
      </c>
      <c r="W88" s="129">
        <v>0</v>
      </c>
      <c r="X88" s="129">
        <v>-31357367</v>
      </c>
      <c r="Y88" s="129">
        <v>805785</v>
      </c>
      <c r="Z88" s="129">
        <v>-13096156</v>
      </c>
      <c r="AA88" s="662" t="s">
        <v>49</v>
      </c>
      <c r="AB88" s="324" t="s">
        <v>532</v>
      </c>
      <c r="AC88" s="663" t="s">
        <v>1920</v>
      </c>
      <c r="AD88" s="529" t="s">
        <v>1295</v>
      </c>
    </row>
    <row r="89" spans="1:30" ht="12.75" x14ac:dyDescent="0.2">
      <c r="A89" s="664">
        <v>82</v>
      </c>
      <c r="B89" s="665" t="s">
        <v>52</v>
      </c>
      <c r="C89" s="666" t="s">
        <v>1201</v>
      </c>
      <c r="D89" s="667" t="s">
        <v>1211</v>
      </c>
      <c r="E89" s="668" t="s">
        <v>51</v>
      </c>
      <c r="F89" s="129">
        <v>2552248</v>
      </c>
      <c r="G89" s="129">
        <v>23342533</v>
      </c>
      <c r="H89" s="129">
        <v>0</v>
      </c>
      <c r="I89" s="129">
        <v>-1034022</v>
      </c>
      <c r="J89" s="129">
        <v>460239</v>
      </c>
      <c r="K89" s="129">
        <v>-3411346</v>
      </c>
      <c r="L89" s="129">
        <v>19357404</v>
      </c>
      <c r="M89" s="129">
        <v>178530</v>
      </c>
      <c r="N89" s="129">
        <v>0</v>
      </c>
      <c r="O89" s="129">
        <v>0</v>
      </c>
      <c r="P89" s="129">
        <v>178530</v>
      </c>
      <c r="Q89" s="129">
        <v>0</v>
      </c>
      <c r="R89" s="129">
        <v>-21441842</v>
      </c>
      <c r="S89" s="129">
        <v>-4288368</v>
      </c>
      <c r="T89" s="129">
        <v>-17153473</v>
      </c>
      <c r="U89" s="129">
        <v>-199083</v>
      </c>
      <c r="V89" s="129">
        <v>0</v>
      </c>
      <c r="W89" s="129">
        <v>-1916297</v>
      </c>
      <c r="X89" s="129">
        <v>-44999063</v>
      </c>
      <c r="Y89" s="129">
        <v>4498295</v>
      </c>
      <c r="Z89" s="129">
        <v>-18412586</v>
      </c>
      <c r="AA89" s="662" t="s">
        <v>51</v>
      </c>
      <c r="AB89" s="324" t="s">
        <v>536</v>
      </c>
      <c r="AC89" s="663" t="s">
        <v>512</v>
      </c>
      <c r="AD89" s="529" t="s">
        <v>1296</v>
      </c>
    </row>
    <row r="90" spans="1:30" ht="12.75" x14ac:dyDescent="0.2">
      <c r="A90" s="664">
        <v>83</v>
      </c>
      <c r="B90" s="665" t="s">
        <v>54</v>
      </c>
      <c r="C90" s="666" t="s">
        <v>1201</v>
      </c>
      <c r="D90" s="667" t="s">
        <v>1206</v>
      </c>
      <c r="E90" s="668" t="s">
        <v>53</v>
      </c>
      <c r="F90" s="129">
        <v>592135</v>
      </c>
      <c r="G90" s="129">
        <v>14617396</v>
      </c>
      <c r="H90" s="129">
        <v>0</v>
      </c>
      <c r="I90" s="129">
        <v>-120246</v>
      </c>
      <c r="J90" s="129">
        <v>330214</v>
      </c>
      <c r="K90" s="129">
        <v>242786</v>
      </c>
      <c r="L90" s="129">
        <v>15070150</v>
      </c>
      <c r="M90" s="129">
        <v>276038</v>
      </c>
      <c r="N90" s="129">
        <v>0</v>
      </c>
      <c r="O90" s="129">
        <v>0</v>
      </c>
      <c r="P90" s="129">
        <v>276038</v>
      </c>
      <c r="Q90" s="129">
        <v>0</v>
      </c>
      <c r="R90" s="129">
        <v>-18483562</v>
      </c>
      <c r="S90" s="129">
        <v>-3696713</v>
      </c>
      <c r="T90" s="129">
        <v>-14786850</v>
      </c>
      <c r="U90" s="129">
        <v>-1045404</v>
      </c>
      <c r="V90" s="129">
        <v>0</v>
      </c>
      <c r="W90" s="129">
        <v>-1356575</v>
      </c>
      <c r="X90" s="129">
        <v>-39369104</v>
      </c>
      <c r="Y90" s="129">
        <v>633218</v>
      </c>
      <c r="Z90" s="129">
        <v>-22797563</v>
      </c>
      <c r="AA90" s="662" t="s">
        <v>53</v>
      </c>
      <c r="AB90" s="324" t="s">
        <v>552</v>
      </c>
      <c r="AC90" s="663" t="s">
        <v>512</v>
      </c>
      <c r="AD90" s="529" t="s">
        <v>1297</v>
      </c>
    </row>
    <row r="91" spans="1:30" ht="12.75" x14ac:dyDescent="0.2">
      <c r="A91" s="664">
        <v>84</v>
      </c>
      <c r="B91" s="665" t="s">
        <v>56</v>
      </c>
      <c r="C91" s="666" t="s">
        <v>486</v>
      </c>
      <c r="D91" s="667" t="s">
        <v>1218</v>
      </c>
      <c r="E91" s="668" t="s">
        <v>537</v>
      </c>
      <c r="F91" s="129">
        <v>-2718031</v>
      </c>
      <c r="G91" s="129">
        <v>74318720</v>
      </c>
      <c r="H91" s="129">
        <v>0</v>
      </c>
      <c r="I91" s="129">
        <v>-850000</v>
      </c>
      <c r="J91" s="129">
        <v>1396613</v>
      </c>
      <c r="K91" s="129">
        <v>-807090</v>
      </c>
      <c r="L91" s="129">
        <v>74058243</v>
      </c>
      <c r="M91" s="129">
        <v>641254</v>
      </c>
      <c r="N91" s="129">
        <v>0</v>
      </c>
      <c r="O91" s="129">
        <v>476121</v>
      </c>
      <c r="P91" s="129">
        <v>1117375</v>
      </c>
      <c r="Q91" s="129">
        <v>-9610753</v>
      </c>
      <c r="R91" s="129">
        <v>-48265745</v>
      </c>
      <c r="S91" s="129">
        <v>-965915</v>
      </c>
      <c r="T91" s="129">
        <v>-47329830</v>
      </c>
      <c r="U91" s="129">
        <v>-5696895</v>
      </c>
      <c r="V91" s="129">
        <v>-47075</v>
      </c>
      <c r="W91" s="129">
        <v>0</v>
      </c>
      <c r="X91" s="129">
        <v>-111916213</v>
      </c>
      <c r="Y91" s="129">
        <v>1878318</v>
      </c>
      <c r="Z91" s="129">
        <v>-37580308</v>
      </c>
      <c r="AA91" s="662" t="s">
        <v>537</v>
      </c>
      <c r="AB91" s="324" t="s">
        <v>486</v>
      </c>
      <c r="AC91" s="663" t="s">
        <v>538</v>
      </c>
      <c r="AD91" s="529" t="s">
        <v>1298</v>
      </c>
    </row>
    <row r="92" spans="1:30" ht="12.75" x14ac:dyDescent="0.2">
      <c r="A92" s="664">
        <v>85</v>
      </c>
      <c r="B92" s="665" t="s">
        <v>58</v>
      </c>
      <c r="C92" s="666" t="s">
        <v>1201</v>
      </c>
      <c r="D92" s="667" t="s">
        <v>1228</v>
      </c>
      <c r="E92" s="668" t="s">
        <v>57</v>
      </c>
      <c r="F92" s="129">
        <v>6077872</v>
      </c>
      <c r="G92" s="129">
        <v>36788864</v>
      </c>
      <c r="H92" s="129">
        <v>0</v>
      </c>
      <c r="I92" s="129">
        <v>-655031</v>
      </c>
      <c r="J92" s="129">
        <v>917173</v>
      </c>
      <c r="K92" s="129">
        <v>-4568225</v>
      </c>
      <c r="L92" s="129">
        <v>32482781</v>
      </c>
      <c r="M92" s="129">
        <v>1185952</v>
      </c>
      <c r="N92" s="129">
        <v>0</v>
      </c>
      <c r="O92" s="129">
        <v>0</v>
      </c>
      <c r="P92" s="129">
        <v>1185952</v>
      </c>
      <c r="Q92" s="129">
        <v>0</v>
      </c>
      <c r="R92" s="129">
        <v>-26560571</v>
      </c>
      <c r="S92" s="129">
        <v>-5312114</v>
      </c>
      <c r="T92" s="129">
        <v>-21248456</v>
      </c>
      <c r="U92" s="129">
        <v>-167230</v>
      </c>
      <c r="V92" s="129">
        <v>0</v>
      </c>
      <c r="W92" s="129">
        <v>-1899196</v>
      </c>
      <c r="X92" s="129">
        <v>-55187567</v>
      </c>
      <c r="Y92" s="129">
        <v>0</v>
      </c>
      <c r="Z92" s="129">
        <v>-15440962</v>
      </c>
      <c r="AA92" s="662" t="s">
        <v>57</v>
      </c>
      <c r="AB92" s="324" t="s">
        <v>564</v>
      </c>
      <c r="AC92" s="663" t="s">
        <v>1917</v>
      </c>
      <c r="AD92" s="529" t="s">
        <v>1299</v>
      </c>
    </row>
    <row r="93" spans="1:30" ht="12.75" x14ac:dyDescent="0.2">
      <c r="A93" s="664">
        <v>86</v>
      </c>
      <c r="B93" s="665" t="s">
        <v>1021</v>
      </c>
      <c r="C93" s="666" t="s">
        <v>1201</v>
      </c>
      <c r="D93" s="667" t="s">
        <v>1211</v>
      </c>
      <c r="E93" s="668" t="s">
        <v>1020</v>
      </c>
      <c r="F93" s="129">
        <v>6866034</v>
      </c>
      <c r="G93" s="129">
        <v>66909915</v>
      </c>
      <c r="H93" s="129">
        <v>0</v>
      </c>
      <c r="I93" s="129">
        <v>-1432288</v>
      </c>
      <c r="J93" s="129">
        <v>1010784</v>
      </c>
      <c r="K93" s="129">
        <v>-5896605</v>
      </c>
      <c r="L93" s="129">
        <v>60591806</v>
      </c>
      <c r="M93" s="129">
        <v>703597</v>
      </c>
      <c r="N93" s="129">
        <v>0</v>
      </c>
      <c r="O93" s="129">
        <v>0</v>
      </c>
      <c r="P93" s="129">
        <v>703597</v>
      </c>
      <c r="Q93" s="129">
        <v>-4832371</v>
      </c>
      <c r="R93" s="129">
        <v>-45255168</v>
      </c>
      <c r="S93" s="129">
        <v>-9051034</v>
      </c>
      <c r="T93" s="129">
        <v>-36204134</v>
      </c>
      <c r="U93" s="129">
        <v>-2000229</v>
      </c>
      <c r="V93" s="129">
        <v>-299496</v>
      </c>
      <c r="W93" s="129">
        <v>-8996137</v>
      </c>
      <c r="X93" s="129">
        <v>-106638569</v>
      </c>
      <c r="Y93" s="129">
        <v>3925117</v>
      </c>
      <c r="Z93" s="129">
        <v>-34552015</v>
      </c>
      <c r="AA93" s="662" t="s">
        <v>1020</v>
      </c>
      <c r="AB93" s="324" t="s">
        <v>565</v>
      </c>
      <c r="AC93" s="663" t="s">
        <v>512</v>
      </c>
      <c r="AD93" s="529" t="s">
        <v>1300</v>
      </c>
    </row>
    <row r="94" spans="1:30" ht="12.75" x14ac:dyDescent="0.2">
      <c r="A94" s="664">
        <v>87</v>
      </c>
      <c r="B94" s="665" t="s">
        <v>60</v>
      </c>
      <c r="C94" s="666" t="s">
        <v>1201</v>
      </c>
      <c r="D94" s="667" t="s">
        <v>1202</v>
      </c>
      <c r="E94" s="668" t="s">
        <v>59</v>
      </c>
      <c r="F94" s="129">
        <v>-331183</v>
      </c>
      <c r="G94" s="129">
        <v>10845227</v>
      </c>
      <c r="H94" s="129">
        <v>-188260</v>
      </c>
      <c r="I94" s="129">
        <v>-220000</v>
      </c>
      <c r="J94" s="129">
        <v>0</v>
      </c>
      <c r="K94" s="129">
        <v>-623104</v>
      </c>
      <c r="L94" s="129">
        <v>9813863</v>
      </c>
      <c r="M94" s="129">
        <v>219972</v>
      </c>
      <c r="N94" s="129">
        <v>0</v>
      </c>
      <c r="O94" s="129">
        <v>73069</v>
      </c>
      <c r="P94" s="129">
        <v>293041</v>
      </c>
      <c r="Q94" s="129">
        <v>0</v>
      </c>
      <c r="R94" s="129">
        <v>-18770195</v>
      </c>
      <c r="S94" s="129">
        <v>-3754039</v>
      </c>
      <c r="T94" s="129">
        <v>-15016156</v>
      </c>
      <c r="U94" s="129">
        <v>0</v>
      </c>
      <c r="V94" s="129">
        <v>-128524</v>
      </c>
      <c r="W94" s="129">
        <v>0</v>
      </c>
      <c r="X94" s="129">
        <v>-37668914</v>
      </c>
      <c r="Y94" s="129">
        <v>1972605</v>
      </c>
      <c r="Z94" s="129">
        <v>-25920588</v>
      </c>
      <c r="AA94" s="662" t="s">
        <v>59</v>
      </c>
      <c r="AB94" s="324" t="s">
        <v>525</v>
      </c>
      <c r="AC94" s="663" t="s">
        <v>524</v>
      </c>
      <c r="AD94" s="529" t="s">
        <v>1301</v>
      </c>
    </row>
    <row r="95" spans="1:30" ht="12.75" x14ac:dyDescent="0.2">
      <c r="A95" s="664">
        <v>88</v>
      </c>
      <c r="B95" s="665" t="s">
        <v>62</v>
      </c>
      <c r="C95" s="666" t="s">
        <v>1201</v>
      </c>
      <c r="D95" s="667" t="s">
        <v>1202</v>
      </c>
      <c r="E95" s="668" t="s">
        <v>61</v>
      </c>
      <c r="F95" s="129">
        <v>-1382488</v>
      </c>
      <c r="G95" s="129">
        <v>35353266</v>
      </c>
      <c r="H95" s="129">
        <v>0</v>
      </c>
      <c r="I95" s="129">
        <v>-3726292</v>
      </c>
      <c r="J95" s="129">
        <v>0</v>
      </c>
      <c r="K95" s="129">
        <v>-1374000</v>
      </c>
      <c r="L95" s="129">
        <v>30252974</v>
      </c>
      <c r="M95" s="129">
        <v>0</v>
      </c>
      <c r="N95" s="129">
        <v>0</v>
      </c>
      <c r="O95" s="129">
        <v>0</v>
      </c>
      <c r="P95" s="129">
        <v>0</v>
      </c>
      <c r="Q95" s="129">
        <v>0</v>
      </c>
      <c r="R95" s="129">
        <v>-30030381</v>
      </c>
      <c r="S95" s="129">
        <v>-6006076</v>
      </c>
      <c r="T95" s="129">
        <v>-24024304</v>
      </c>
      <c r="U95" s="129">
        <v>-145785</v>
      </c>
      <c r="V95" s="129">
        <v>0</v>
      </c>
      <c r="W95" s="129">
        <v>-6288865</v>
      </c>
      <c r="X95" s="129">
        <v>-66495411</v>
      </c>
      <c r="Y95" s="129">
        <v>2954525</v>
      </c>
      <c r="Z95" s="129">
        <v>-34670400</v>
      </c>
      <c r="AA95" s="662" t="s">
        <v>61</v>
      </c>
      <c r="AB95" s="324" t="s">
        <v>532</v>
      </c>
      <c r="AC95" s="663" t="s">
        <v>1914</v>
      </c>
      <c r="AD95" s="529" t="s">
        <v>1302</v>
      </c>
    </row>
    <row r="96" spans="1:30" ht="14.25" x14ac:dyDescent="0.2">
      <c r="A96" s="664">
        <v>89</v>
      </c>
      <c r="B96" s="665" t="s">
        <v>64</v>
      </c>
      <c r="C96" s="666" t="s">
        <v>1201</v>
      </c>
      <c r="D96" s="667" t="s">
        <v>1204</v>
      </c>
      <c r="E96" s="668" t="s">
        <v>1868</v>
      </c>
      <c r="F96" s="129">
        <v>1104516</v>
      </c>
      <c r="G96" s="129">
        <v>8137962</v>
      </c>
      <c r="H96" s="129">
        <v>0</v>
      </c>
      <c r="I96" s="129">
        <v>-122069</v>
      </c>
      <c r="J96" s="129">
        <v>0</v>
      </c>
      <c r="K96" s="129">
        <v>-162800</v>
      </c>
      <c r="L96" s="129">
        <v>7853093</v>
      </c>
      <c r="M96" s="129">
        <v>0</v>
      </c>
      <c r="N96" s="129">
        <v>0</v>
      </c>
      <c r="O96" s="129">
        <v>0</v>
      </c>
      <c r="P96" s="129">
        <v>0</v>
      </c>
      <c r="Q96" s="129">
        <v>0</v>
      </c>
      <c r="R96" s="129">
        <v>-10721221</v>
      </c>
      <c r="S96" s="129">
        <v>-2144244</v>
      </c>
      <c r="T96" s="129">
        <v>-8576976</v>
      </c>
      <c r="U96" s="129">
        <v>-14574</v>
      </c>
      <c r="V96" s="129">
        <v>-125270</v>
      </c>
      <c r="W96" s="129">
        <v>-301596</v>
      </c>
      <c r="X96" s="129">
        <v>-21883881</v>
      </c>
      <c r="Y96" s="129">
        <v>0</v>
      </c>
      <c r="Z96" s="129">
        <v>-12926272</v>
      </c>
      <c r="AA96" s="662" t="s">
        <v>63</v>
      </c>
      <c r="AB96" s="324" t="s">
        <v>513</v>
      </c>
      <c r="AC96" s="663" t="s">
        <v>512</v>
      </c>
      <c r="AD96" s="529" t="s">
        <v>1303</v>
      </c>
    </row>
    <row r="97" spans="1:30" ht="12.75" x14ac:dyDescent="0.2">
      <c r="A97" s="664">
        <v>90</v>
      </c>
      <c r="B97" s="665" t="s">
        <v>66</v>
      </c>
      <c r="C97" s="666" t="s">
        <v>1201</v>
      </c>
      <c r="D97" s="667" t="s">
        <v>1202</v>
      </c>
      <c r="E97" s="668" t="s">
        <v>65</v>
      </c>
      <c r="F97" s="129">
        <v>3960363</v>
      </c>
      <c r="G97" s="129">
        <v>31984441</v>
      </c>
      <c r="H97" s="129">
        <v>0</v>
      </c>
      <c r="I97" s="129">
        <v>-500000</v>
      </c>
      <c r="J97" s="129">
        <v>2740366</v>
      </c>
      <c r="K97" s="129">
        <v>-3766549</v>
      </c>
      <c r="L97" s="129">
        <v>30458258</v>
      </c>
      <c r="M97" s="129">
        <v>153791</v>
      </c>
      <c r="N97" s="129">
        <v>0</v>
      </c>
      <c r="O97" s="129">
        <v>0</v>
      </c>
      <c r="P97" s="129">
        <v>153791</v>
      </c>
      <c r="Q97" s="129">
        <v>0</v>
      </c>
      <c r="R97" s="129">
        <v>-32946564</v>
      </c>
      <c r="S97" s="129">
        <v>-6589313</v>
      </c>
      <c r="T97" s="129">
        <v>-26357251</v>
      </c>
      <c r="U97" s="129">
        <v>-197467</v>
      </c>
      <c r="V97" s="129">
        <v>0</v>
      </c>
      <c r="W97" s="129">
        <v>-4995862</v>
      </c>
      <c r="X97" s="129">
        <v>-71086457</v>
      </c>
      <c r="Y97" s="129">
        <v>3506169</v>
      </c>
      <c r="Z97" s="129">
        <v>-33007876</v>
      </c>
      <c r="AA97" s="662" t="s">
        <v>65</v>
      </c>
      <c r="AB97" s="324" t="s">
        <v>566</v>
      </c>
      <c r="AC97" s="663" t="s">
        <v>512</v>
      </c>
      <c r="AD97" s="529" t="s">
        <v>1304</v>
      </c>
    </row>
    <row r="98" spans="1:30" ht="12.75" x14ac:dyDescent="0.2">
      <c r="A98" s="664">
        <v>91</v>
      </c>
      <c r="B98" s="665" t="s">
        <v>68</v>
      </c>
      <c r="C98" s="666" t="s">
        <v>1213</v>
      </c>
      <c r="D98" s="667" t="s">
        <v>1214</v>
      </c>
      <c r="E98" s="668" t="s">
        <v>67</v>
      </c>
      <c r="F98" s="129">
        <v>-251247</v>
      </c>
      <c r="G98" s="129">
        <v>70783642</v>
      </c>
      <c r="H98" s="129">
        <v>0</v>
      </c>
      <c r="I98" s="129">
        <v>-6068231</v>
      </c>
      <c r="J98" s="129">
        <v>5204747</v>
      </c>
      <c r="K98" s="129">
        <v>-5204747</v>
      </c>
      <c r="L98" s="129">
        <v>64715411</v>
      </c>
      <c r="M98" s="129">
        <v>0</v>
      </c>
      <c r="N98" s="129">
        <v>0</v>
      </c>
      <c r="O98" s="129">
        <v>223666</v>
      </c>
      <c r="P98" s="129">
        <v>223666</v>
      </c>
      <c r="Q98" s="129">
        <v>0</v>
      </c>
      <c r="R98" s="129">
        <v>-37785889</v>
      </c>
      <c r="S98" s="129">
        <v>-41407968</v>
      </c>
      <c r="T98" s="129">
        <v>-33733043</v>
      </c>
      <c r="U98" s="129">
        <v>-320104</v>
      </c>
      <c r="V98" s="129">
        <v>0</v>
      </c>
      <c r="W98" s="129">
        <v>0</v>
      </c>
      <c r="X98" s="129">
        <v>-113247004</v>
      </c>
      <c r="Y98" s="129">
        <v>4938267</v>
      </c>
      <c r="Z98" s="129">
        <v>-43620907</v>
      </c>
      <c r="AA98" s="662" t="s">
        <v>67</v>
      </c>
      <c r="AB98" s="324" t="s">
        <v>576</v>
      </c>
      <c r="AC98" s="669" t="s">
        <v>485</v>
      </c>
      <c r="AD98" s="529" t="s">
        <v>1305</v>
      </c>
    </row>
    <row r="99" spans="1:30" ht="12.75" x14ac:dyDescent="0.2">
      <c r="A99" s="664">
        <v>92</v>
      </c>
      <c r="B99" s="665" t="s">
        <v>70</v>
      </c>
      <c r="C99" s="666" t="s">
        <v>1201</v>
      </c>
      <c r="D99" s="667" t="s">
        <v>1211</v>
      </c>
      <c r="E99" s="668" t="s">
        <v>69</v>
      </c>
      <c r="F99" s="129">
        <v>1498741</v>
      </c>
      <c r="G99" s="129">
        <v>19651924</v>
      </c>
      <c r="H99" s="129">
        <v>0</v>
      </c>
      <c r="I99" s="129">
        <v>-500000</v>
      </c>
      <c r="J99" s="129">
        <v>500000</v>
      </c>
      <c r="K99" s="129">
        <v>-1754599</v>
      </c>
      <c r="L99" s="129">
        <v>17897325</v>
      </c>
      <c r="M99" s="129">
        <v>0</v>
      </c>
      <c r="N99" s="129">
        <v>0</v>
      </c>
      <c r="O99" s="129">
        <v>0</v>
      </c>
      <c r="P99" s="129">
        <v>0</v>
      </c>
      <c r="Q99" s="129">
        <v>-4860</v>
      </c>
      <c r="R99" s="129">
        <v>-17408287</v>
      </c>
      <c r="S99" s="129">
        <v>-3481658</v>
      </c>
      <c r="T99" s="129">
        <v>-13926630</v>
      </c>
      <c r="U99" s="129">
        <v>-173214</v>
      </c>
      <c r="V99" s="129">
        <v>0</v>
      </c>
      <c r="W99" s="129">
        <v>-1942160</v>
      </c>
      <c r="X99" s="129">
        <v>-36936809</v>
      </c>
      <c r="Y99" s="129">
        <v>299243</v>
      </c>
      <c r="Z99" s="129">
        <v>-17241500</v>
      </c>
      <c r="AA99" s="662" t="s">
        <v>69</v>
      </c>
      <c r="AB99" s="324" t="s">
        <v>528</v>
      </c>
      <c r="AC99" s="663" t="s">
        <v>1913</v>
      </c>
      <c r="AD99" s="529" t="s">
        <v>1306</v>
      </c>
    </row>
    <row r="100" spans="1:30" ht="12.75" x14ac:dyDescent="0.2">
      <c r="A100" s="664">
        <v>93</v>
      </c>
      <c r="B100" s="665" t="s">
        <v>71</v>
      </c>
      <c r="C100" s="666" t="s">
        <v>1201</v>
      </c>
      <c r="D100" s="667" t="s">
        <v>1202</v>
      </c>
      <c r="E100" s="668" t="s">
        <v>822</v>
      </c>
      <c r="F100" s="129">
        <v>3983199</v>
      </c>
      <c r="G100" s="129">
        <v>10205327</v>
      </c>
      <c r="H100" s="129">
        <v>0</v>
      </c>
      <c r="I100" s="129">
        <v>-261178</v>
      </c>
      <c r="J100" s="129">
        <v>0</v>
      </c>
      <c r="K100" s="129">
        <v>88811</v>
      </c>
      <c r="L100" s="129">
        <v>10032960</v>
      </c>
      <c r="M100" s="129">
        <v>0</v>
      </c>
      <c r="N100" s="129">
        <v>0</v>
      </c>
      <c r="O100" s="129">
        <v>0</v>
      </c>
      <c r="P100" s="129">
        <v>0</v>
      </c>
      <c r="Q100" s="129">
        <v>-62539</v>
      </c>
      <c r="R100" s="129">
        <v>-12637061</v>
      </c>
      <c r="S100" s="129">
        <v>-2527412</v>
      </c>
      <c r="T100" s="129">
        <v>-10109648</v>
      </c>
      <c r="U100" s="129">
        <v>-81606</v>
      </c>
      <c r="V100" s="129">
        <v>0</v>
      </c>
      <c r="W100" s="129">
        <v>-4711376</v>
      </c>
      <c r="X100" s="129">
        <v>-30129642</v>
      </c>
      <c r="Y100" s="129">
        <v>54359</v>
      </c>
      <c r="Z100" s="129">
        <v>-16059124</v>
      </c>
      <c r="AA100" s="662" t="s">
        <v>822</v>
      </c>
      <c r="AB100" s="324" t="s">
        <v>566</v>
      </c>
      <c r="AC100" s="663" t="s">
        <v>512</v>
      </c>
      <c r="AD100" s="529" t="s">
        <v>1307</v>
      </c>
    </row>
    <row r="101" spans="1:30" ht="12.75" x14ac:dyDescent="0.2">
      <c r="A101" s="664">
        <v>94</v>
      </c>
      <c r="B101" s="665" t="s">
        <v>73</v>
      </c>
      <c r="C101" s="666" t="s">
        <v>1201</v>
      </c>
      <c r="D101" s="667" t="s">
        <v>1206</v>
      </c>
      <c r="E101" s="668" t="s">
        <v>72</v>
      </c>
      <c r="F101" s="129">
        <v>-643187</v>
      </c>
      <c r="G101" s="129">
        <v>13987292</v>
      </c>
      <c r="H101" s="129">
        <v>0</v>
      </c>
      <c r="I101" s="129">
        <v>-800000</v>
      </c>
      <c r="J101" s="129">
        <v>1149000</v>
      </c>
      <c r="K101" s="129">
        <v>-1253000</v>
      </c>
      <c r="L101" s="129">
        <v>13083292</v>
      </c>
      <c r="M101" s="129">
        <v>85405</v>
      </c>
      <c r="N101" s="129">
        <v>0</v>
      </c>
      <c r="O101" s="129">
        <v>271132</v>
      </c>
      <c r="P101" s="129">
        <v>356537</v>
      </c>
      <c r="Q101" s="129">
        <v>0</v>
      </c>
      <c r="R101" s="129">
        <v>-12435408</v>
      </c>
      <c r="S101" s="129">
        <v>-2487081</v>
      </c>
      <c r="T101" s="129">
        <v>-9948326</v>
      </c>
      <c r="U101" s="129">
        <v>0</v>
      </c>
      <c r="V101" s="129">
        <v>0</v>
      </c>
      <c r="W101" s="129">
        <v>0</v>
      </c>
      <c r="X101" s="129">
        <v>-24870815</v>
      </c>
      <c r="Y101" s="129">
        <v>793937</v>
      </c>
      <c r="Z101" s="129">
        <v>-11280236</v>
      </c>
      <c r="AA101" s="662" t="s">
        <v>72</v>
      </c>
      <c r="AB101" s="324" t="s">
        <v>516</v>
      </c>
      <c r="AC101" s="663" t="s">
        <v>515</v>
      </c>
      <c r="AD101" s="529" t="s">
        <v>1308</v>
      </c>
    </row>
    <row r="102" spans="1:30" ht="12.75" x14ac:dyDescent="0.2">
      <c r="A102" s="664">
        <v>95</v>
      </c>
      <c r="B102" s="665" t="s">
        <v>75</v>
      </c>
      <c r="C102" s="666" t="s">
        <v>1201</v>
      </c>
      <c r="D102" s="667" t="s">
        <v>1224</v>
      </c>
      <c r="E102" s="668" t="s">
        <v>74</v>
      </c>
      <c r="F102" s="129">
        <v>1245074</v>
      </c>
      <c r="G102" s="129">
        <v>37218865</v>
      </c>
      <c r="H102" s="129">
        <v>0</v>
      </c>
      <c r="I102" s="129">
        <v>-500000</v>
      </c>
      <c r="J102" s="129">
        <v>1908823</v>
      </c>
      <c r="K102" s="129">
        <v>-4250000</v>
      </c>
      <c r="L102" s="129">
        <v>34377688</v>
      </c>
      <c r="M102" s="129">
        <v>0</v>
      </c>
      <c r="N102" s="129">
        <v>0</v>
      </c>
      <c r="O102" s="129">
        <v>0</v>
      </c>
      <c r="P102" s="129">
        <v>0</v>
      </c>
      <c r="Q102" s="129">
        <v>-1052721</v>
      </c>
      <c r="R102" s="129">
        <v>-39578353</v>
      </c>
      <c r="S102" s="129">
        <v>-7915671</v>
      </c>
      <c r="T102" s="129">
        <v>-31876802</v>
      </c>
      <c r="U102" s="129">
        <v>0</v>
      </c>
      <c r="V102" s="129">
        <v>0</v>
      </c>
      <c r="W102" s="129">
        <v>-344486</v>
      </c>
      <c r="X102" s="129">
        <v>-80768033</v>
      </c>
      <c r="Y102" s="129">
        <v>1620284</v>
      </c>
      <c r="Z102" s="129">
        <v>-43524987</v>
      </c>
      <c r="AA102" s="662" t="s">
        <v>74</v>
      </c>
      <c r="AB102" s="324" t="s">
        <v>521</v>
      </c>
      <c r="AC102" s="663" t="s">
        <v>519</v>
      </c>
      <c r="AD102" s="529" t="s">
        <v>1309</v>
      </c>
    </row>
    <row r="103" spans="1:30" ht="12.75" x14ac:dyDescent="0.2">
      <c r="A103" s="664">
        <v>96</v>
      </c>
      <c r="B103" s="665" t="s">
        <v>77</v>
      </c>
      <c r="C103" s="666" t="s">
        <v>1201</v>
      </c>
      <c r="D103" s="667" t="s">
        <v>1202</v>
      </c>
      <c r="E103" s="668" t="s">
        <v>76</v>
      </c>
      <c r="F103" s="129">
        <v>-3927454</v>
      </c>
      <c r="G103" s="129">
        <v>24326925</v>
      </c>
      <c r="H103" s="129">
        <v>-129034</v>
      </c>
      <c r="I103" s="129">
        <v>-195290</v>
      </c>
      <c r="J103" s="129">
        <v>555029</v>
      </c>
      <c r="K103" s="129">
        <v>-3664551</v>
      </c>
      <c r="L103" s="129">
        <v>20893079</v>
      </c>
      <c r="M103" s="129">
        <v>1212531</v>
      </c>
      <c r="N103" s="129">
        <v>0</v>
      </c>
      <c r="O103" s="129">
        <v>2330407</v>
      </c>
      <c r="P103" s="129">
        <v>3542938</v>
      </c>
      <c r="Q103" s="129">
        <v>-93913</v>
      </c>
      <c r="R103" s="129">
        <v>-20235983</v>
      </c>
      <c r="S103" s="129">
        <v>-4096520</v>
      </c>
      <c r="T103" s="129">
        <v>-16386082</v>
      </c>
      <c r="U103" s="129">
        <v>-453521</v>
      </c>
      <c r="V103" s="129">
        <v>0</v>
      </c>
      <c r="W103" s="129">
        <v>0</v>
      </c>
      <c r="X103" s="129">
        <v>-41266019</v>
      </c>
      <c r="Y103" s="129">
        <v>870123</v>
      </c>
      <c r="Z103" s="129">
        <v>-19887333</v>
      </c>
      <c r="AA103" s="662" t="s">
        <v>76</v>
      </c>
      <c r="AB103" s="324" t="s">
        <v>532</v>
      </c>
      <c r="AC103" s="663" t="s">
        <v>1914</v>
      </c>
      <c r="AD103" s="529" t="s">
        <v>1310</v>
      </c>
    </row>
    <row r="104" spans="1:30" ht="12.75" x14ac:dyDescent="0.2">
      <c r="A104" s="664">
        <v>97</v>
      </c>
      <c r="B104" s="665" t="s">
        <v>79</v>
      </c>
      <c r="C104" s="666" t="s">
        <v>1201</v>
      </c>
      <c r="D104" s="667" t="s">
        <v>1211</v>
      </c>
      <c r="E104" s="668" t="s">
        <v>78</v>
      </c>
      <c r="F104" s="129">
        <v>-1189987</v>
      </c>
      <c r="G104" s="129">
        <v>17092607</v>
      </c>
      <c r="H104" s="129">
        <v>0</v>
      </c>
      <c r="I104" s="129">
        <v>-200000</v>
      </c>
      <c r="J104" s="129">
        <v>600000</v>
      </c>
      <c r="K104" s="129">
        <v>-1875207</v>
      </c>
      <c r="L104" s="129">
        <v>15617400</v>
      </c>
      <c r="M104" s="129">
        <v>0</v>
      </c>
      <c r="N104" s="129">
        <v>0</v>
      </c>
      <c r="O104" s="129">
        <v>778373</v>
      </c>
      <c r="P104" s="129">
        <v>778373</v>
      </c>
      <c r="Q104" s="129">
        <v>-120212</v>
      </c>
      <c r="R104" s="129">
        <v>-12288923</v>
      </c>
      <c r="S104" s="129">
        <v>-2457784</v>
      </c>
      <c r="T104" s="129">
        <v>-9831138</v>
      </c>
      <c r="U104" s="129">
        <v>-481944</v>
      </c>
      <c r="V104" s="129">
        <v>0</v>
      </c>
      <c r="W104" s="129">
        <v>0</v>
      </c>
      <c r="X104" s="129">
        <v>-25180001</v>
      </c>
      <c r="Y104" s="129">
        <v>922283</v>
      </c>
      <c r="Z104" s="129">
        <v>-9051931</v>
      </c>
      <c r="AA104" s="662" t="s">
        <v>78</v>
      </c>
      <c r="AB104" s="324" t="s">
        <v>503</v>
      </c>
      <c r="AC104" s="663" t="s">
        <v>502</v>
      </c>
      <c r="AD104" s="529" t="s">
        <v>1311</v>
      </c>
    </row>
    <row r="105" spans="1:30" ht="12.75" x14ac:dyDescent="0.2">
      <c r="A105" s="664">
        <v>98</v>
      </c>
      <c r="B105" s="665" t="s">
        <v>322</v>
      </c>
      <c r="C105" s="666" t="s">
        <v>1201</v>
      </c>
      <c r="D105" s="667" t="s">
        <v>1211</v>
      </c>
      <c r="E105" s="668" t="s">
        <v>1016</v>
      </c>
      <c r="F105" s="129">
        <v>-3275006</v>
      </c>
      <c r="G105" s="129">
        <v>15685178</v>
      </c>
      <c r="H105" s="129">
        <v>-18923</v>
      </c>
      <c r="I105" s="129">
        <v>-555992</v>
      </c>
      <c r="J105" s="129">
        <v>1349852</v>
      </c>
      <c r="K105" s="129">
        <v>-2378458</v>
      </c>
      <c r="L105" s="129">
        <v>14081657</v>
      </c>
      <c r="M105" s="129">
        <v>0</v>
      </c>
      <c r="N105" s="129">
        <v>0</v>
      </c>
      <c r="O105" s="129">
        <v>3966025</v>
      </c>
      <c r="P105" s="129">
        <v>3966025</v>
      </c>
      <c r="Q105" s="129">
        <v>-410903</v>
      </c>
      <c r="R105" s="129">
        <v>-13708749</v>
      </c>
      <c r="S105" s="129">
        <v>-2741750</v>
      </c>
      <c r="T105" s="129">
        <v>-10966999</v>
      </c>
      <c r="U105" s="129">
        <v>-142590</v>
      </c>
      <c r="V105" s="129">
        <v>0</v>
      </c>
      <c r="W105" s="129">
        <v>0</v>
      </c>
      <c r="X105" s="129">
        <v>-27970991</v>
      </c>
      <c r="Y105" s="129">
        <v>24117</v>
      </c>
      <c r="Z105" s="129">
        <v>-13174198</v>
      </c>
      <c r="AA105" s="662" t="s">
        <v>1016</v>
      </c>
      <c r="AB105" s="324" t="s">
        <v>565</v>
      </c>
      <c r="AC105" s="663" t="s">
        <v>542</v>
      </c>
      <c r="AD105" s="529" t="s">
        <v>1312</v>
      </c>
    </row>
    <row r="106" spans="1:30" ht="12.75" x14ac:dyDescent="0.2">
      <c r="A106" s="664">
        <v>99</v>
      </c>
      <c r="B106" s="665" t="s">
        <v>81</v>
      </c>
      <c r="C106" s="666" t="s">
        <v>1201</v>
      </c>
      <c r="D106" s="667" t="s">
        <v>1224</v>
      </c>
      <c r="E106" s="668" t="s">
        <v>80</v>
      </c>
      <c r="F106" s="129">
        <v>-856787</v>
      </c>
      <c r="G106" s="129">
        <v>8766500</v>
      </c>
      <c r="H106" s="129">
        <v>0</v>
      </c>
      <c r="I106" s="129">
        <v>-55300</v>
      </c>
      <c r="J106" s="129">
        <v>310000</v>
      </c>
      <c r="K106" s="129">
        <v>-146370</v>
      </c>
      <c r="L106" s="129">
        <v>8874830</v>
      </c>
      <c r="M106" s="129">
        <v>180000</v>
      </c>
      <c r="N106" s="129">
        <v>76431</v>
      </c>
      <c r="O106" s="129">
        <v>252350</v>
      </c>
      <c r="P106" s="129">
        <v>508781</v>
      </c>
      <c r="Q106" s="129">
        <v>0</v>
      </c>
      <c r="R106" s="129">
        <v>-6479451</v>
      </c>
      <c r="S106" s="129">
        <v>-1349890</v>
      </c>
      <c r="T106" s="129">
        <v>-5399560</v>
      </c>
      <c r="U106" s="129">
        <v>-357315</v>
      </c>
      <c r="V106" s="129">
        <v>0</v>
      </c>
      <c r="W106" s="129">
        <v>0</v>
      </c>
      <c r="X106" s="129">
        <v>-13586216</v>
      </c>
      <c r="Y106" s="129">
        <v>279775</v>
      </c>
      <c r="Z106" s="129">
        <v>-4779617</v>
      </c>
      <c r="AA106" s="662" t="s">
        <v>80</v>
      </c>
      <c r="AB106" s="324" t="s">
        <v>529</v>
      </c>
      <c r="AC106" s="663" t="s">
        <v>512</v>
      </c>
      <c r="AD106" s="529" t="s">
        <v>1313</v>
      </c>
    </row>
    <row r="107" spans="1:30" ht="12.75" x14ac:dyDescent="0.2">
      <c r="A107" s="664">
        <v>100</v>
      </c>
      <c r="B107" s="665" t="s">
        <v>83</v>
      </c>
      <c r="C107" s="666" t="s">
        <v>1201</v>
      </c>
      <c r="D107" s="667" t="s">
        <v>1204</v>
      </c>
      <c r="E107" s="668" t="s">
        <v>82</v>
      </c>
      <c r="F107" s="129">
        <v>3868964</v>
      </c>
      <c r="G107" s="129">
        <v>12789273</v>
      </c>
      <c r="H107" s="129">
        <v>-201792</v>
      </c>
      <c r="I107" s="129">
        <v>-298208</v>
      </c>
      <c r="J107" s="129">
        <v>0</v>
      </c>
      <c r="K107" s="129">
        <v>-1789716</v>
      </c>
      <c r="L107" s="129">
        <v>10499557</v>
      </c>
      <c r="M107" s="129">
        <v>0</v>
      </c>
      <c r="N107" s="129">
        <v>0</v>
      </c>
      <c r="O107" s="129">
        <v>0</v>
      </c>
      <c r="P107" s="129">
        <v>0</v>
      </c>
      <c r="Q107" s="129">
        <v>-59026</v>
      </c>
      <c r="R107" s="129">
        <v>-12629503</v>
      </c>
      <c r="S107" s="129">
        <v>-2525900</v>
      </c>
      <c r="T107" s="129">
        <v>-10103602</v>
      </c>
      <c r="U107" s="129">
        <v>-196918</v>
      </c>
      <c r="V107" s="129">
        <v>0</v>
      </c>
      <c r="W107" s="129">
        <v>-396023</v>
      </c>
      <c r="X107" s="129">
        <v>-25910972</v>
      </c>
      <c r="Y107" s="129">
        <v>2067535</v>
      </c>
      <c r="Z107" s="129">
        <v>-9474916</v>
      </c>
      <c r="AA107" s="662" t="s">
        <v>82</v>
      </c>
      <c r="AB107" s="324" t="s">
        <v>547</v>
      </c>
      <c r="AC107" s="663" t="s">
        <v>545</v>
      </c>
      <c r="AD107" s="529" t="s">
        <v>1314</v>
      </c>
    </row>
    <row r="108" spans="1:30" ht="12.75" x14ac:dyDescent="0.2">
      <c r="A108" s="664">
        <v>101</v>
      </c>
      <c r="B108" s="665" t="s">
        <v>85</v>
      </c>
      <c r="C108" s="666" t="s">
        <v>1217</v>
      </c>
      <c r="D108" s="667" t="s">
        <v>1283</v>
      </c>
      <c r="E108" s="668" t="s">
        <v>84</v>
      </c>
      <c r="F108" s="129">
        <v>4795151</v>
      </c>
      <c r="G108" s="129">
        <v>37980622</v>
      </c>
      <c r="H108" s="129">
        <v>0</v>
      </c>
      <c r="I108" s="129">
        <v>-41894</v>
      </c>
      <c r="J108" s="129">
        <v>3405997</v>
      </c>
      <c r="K108" s="129">
        <v>-3405997</v>
      </c>
      <c r="L108" s="129">
        <v>37938728</v>
      </c>
      <c r="M108" s="129">
        <v>0</v>
      </c>
      <c r="N108" s="129">
        <v>0</v>
      </c>
      <c r="O108" s="129">
        <v>0</v>
      </c>
      <c r="P108" s="129">
        <v>0</v>
      </c>
      <c r="Q108" s="129">
        <v>-263182</v>
      </c>
      <c r="R108" s="129">
        <v>-40459407</v>
      </c>
      <c r="S108" s="129">
        <v>-809188</v>
      </c>
      <c r="T108" s="129">
        <v>-39650218</v>
      </c>
      <c r="U108" s="129">
        <v>-377841</v>
      </c>
      <c r="V108" s="129">
        <v>0</v>
      </c>
      <c r="W108" s="129">
        <v>-5249346</v>
      </c>
      <c r="X108" s="129">
        <v>-86809182</v>
      </c>
      <c r="Y108" s="129">
        <v>0</v>
      </c>
      <c r="Z108" s="129">
        <v>-44075303</v>
      </c>
      <c r="AA108" s="662" t="s">
        <v>84</v>
      </c>
      <c r="AB108" s="324" t="s">
        <v>570</v>
      </c>
      <c r="AC108" s="663" t="s">
        <v>573</v>
      </c>
      <c r="AD108" s="529" t="s">
        <v>1315</v>
      </c>
    </row>
    <row r="109" spans="1:30" ht="12.75" x14ac:dyDescent="0.2">
      <c r="A109" s="664">
        <v>102</v>
      </c>
      <c r="B109" s="665" t="s">
        <v>87</v>
      </c>
      <c r="C109" s="666" t="s">
        <v>1201</v>
      </c>
      <c r="D109" s="667" t="s">
        <v>1206</v>
      </c>
      <c r="E109" s="668" t="s">
        <v>86</v>
      </c>
      <c r="F109" s="129">
        <v>-670956</v>
      </c>
      <c r="G109" s="129">
        <v>10385310</v>
      </c>
      <c r="H109" s="129">
        <v>0</v>
      </c>
      <c r="I109" s="129">
        <v>-159073</v>
      </c>
      <c r="J109" s="129">
        <v>857942</v>
      </c>
      <c r="K109" s="129">
        <v>-1880930</v>
      </c>
      <c r="L109" s="129">
        <v>9203249</v>
      </c>
      <c r="M109" s="129">
        <v>15962</v>
      </c>
      <c r="N109" s="129">
        <v>0</v>
      </c>
      <c r="O109" s="129">
        <v>788840</v>
      </c>
      <c r="P109" s="129">
        <v>804802</v>
      </c>
      <c r="Q109" s="129">
        <v>-72556</v>
      </c>
      <c r="R109" s="129">
        <v>-11251559</v>
      </c>
      <c r="S109" s="129">
        <v>-2250311</v>
      </c>
      <c r="T109" s="129">
        <v>-9001246</v>
      </c>
      <c r="U109" s="129">
        <v>-297067</v>
      </c>
      <c r="V109" s="129">
        <v>0</v>
      </c>
      <c r="W109" s="129">
        <v>0</v>
      </c>
      <c r="X109" s="129">
        <v>-22872739</v>
      </c>
      <c r="Y109" s="129">
        <v>1400646</v>
      </c>
      <c r="Z109" s="129">
        <v>-12134998</v>
      </c>
      <c r="AA109" s="662" t="s">
        <v>86</v>
      </c>
      <c r="AB109" s="324" t="s">
        <v>559</v>
      </c>
      <c r="AC109" s="663" t="s">
        <v>558</v>
      </c>
      <c r="AD109" s="529" t="s">
        <v>1316</v>
      </c>
    </row>
    <row r="110" spans="1:30" ht="12.75" x14ac:dyDescent="0.2">
      <c r="A110" s="664">
        <v>103</v>
      </c>
      <c r="B110" s="665" t="s">
        <v>89</v>
      </c>
      <c r="C110" s="666" t="s">
        <v>1201</v>
      </c>
      <c r="D110" s="667" t="s">
        <v>1224</v>
      </c>
      <c r="E110" s="668" t="s">
        <v>88</v>
      </c>
      <c r="F110" s="129">
        <v>1551012</v>
      </c>
      <c r="G110" s="129">
        <v>27216347</v>
      </c>
      <c r="H110" s="129">
        <v>0</v>
      </c>
      <c r="I110" s="129">
        <v>-349169</v>
      </c>
      <c r="J110" s="129">
        <v>1424226</v>
      </c>
      <c r="K110" s="129">
        <v>-1588051</v>
      </c>
      <c r="L110" s="129">
        <v>26703353</v>
      </c>
      <c r="M110" s="129">
        <v>50874</v>
      </c>
      <c r="N110" s="129">
        <v>0</v>
      </c>
      <c r="O110" s="129">
        <v>0</v>
      </c>
      <c r="P110" s="129">
        <v>50874</v>
      </c>
      <c r="Q110" s="129">
        <v>-604698</v>
      </c>
      <c r="R110" s="129">
        <v>-27420387</v>
      </c>
      <c r="S110" s="129">
        <v>-5484077</v>
      </c>
      <c r="T110" s="129">
        <v>-21936309</v>
      </c>
      <c r="U110" s="129">
        <v>-170614</v>
      </c>
      <c r="V110" s="129">
        <v>0</v>
      </c>
      <c r="W110" s="129">
        <v>-458580</v>
      </c>
      <c r="X110" s="129">
        <v>-56074665</v>
      </c>
      <c r="Y110" s="129">
        <v>1169453</v>
      </c>
      <c r="Z110" s="129">
        <v>-26599973</v>
      </c>
      <c r="AA110" s="662" t="s">
        <v>88</v>
      </c>
      <c r="AB110" s="324" t="s">
        <v>529</v>
      </c>
      <c r="AC110" s="663" t="s">
        <v>512</v>
      </c>
      <c r="AD110" s="529" t="s">
        <v>1317</v>
      </c>
    </row>
    <row r="111" spans="1:30" ht="12.75" x14ac:dyDescent="0.2">
      <c r="A111" s="664">
        <v>104</v>
      </c>
      <c r="B111" s="665" t="s">
        <v>91</v>
      </c>
      <c r="C111" s="666" t="s">
        <v>1201</v>
      </c>
      <c r="D111" s="667" t="s">
        <v>1202</v>
      </c>
      <c r="E111" s="668" t="s">
        <v>90</v>
      </c>
      <c r="F111" s="129">
        <v>1220056</v>
      </c>
      <c r="G111" s="129">
        <v>9670023</v>
      </c>
      <c r="H111" s="129">
        <v>-36100</v>
      </c>
      <c r="I111" s="129">
        <v>-204400</v>
      </c>
      <c r="J111" s="129">
        <v>276700</v>
      </c>
      <c r="K111" s="129">
        <v>-854700</v>
      </c>
      <c r="L111" s="129">
        <v>8851523</v>
      </c>
      <c r="M111" s="129">
        <v>0</v>
      </c>
      <c r="N111" s="129">
        <v>0</v>
      </c>
      <c r="O111" s="129">
        <v>0</v>
      </c>
      <c r="P111" s="129">
        <v>0</v>
      </c>
      <c r="Q111" s="129">
        <v>-801297</v>
      </c>
      <c r="R111" s="129">
        <v>-8133574</v>
      </c>
      <c r="S111" s="129">
        <v>-1626716</v>
      </c>
      <c r="T111" s="129">
        <v>-6506860</v>
      </c>
      <c r="U111" s="129">
        <v>-75059</v>
      </c>
      <c r="V111" s="129">
        <v>0</v>
      </c>
      <c r="W111" s="129">
        <v>-295461</v>
      </c>
      <c r="X111" s="129">
        <v>-17438967</v>
      </c>
      <c r="Y111" s="129">
        <v>1257600</v>
      </c>
      <c r="Z111" s="129">
        <v>-6109788</v>
      </c>
      <c r="AA111" s="662" t="s">
        <v>90</v>
      </c>
      <c r="AB111" s="324" t="s">
        <v>532</v>
      </c>
      <c r="AC111" s="663" t="s">
        <v>1914</v>
      </c>
      <c r="AD111" s="529" t="s">
        <v>1318</v>
      </c>
    </row>
    <row r="112" spans="1:30" ht="12.75" x14ac:dyDescent="0.2">
      <c r="A112" s="664">
        <v>105</v>
      </c>
      <c r="B112" s="665" t="s">
        <v>93</v>
      </c>
      <c r="C112" s="666" t="s">
        <v>1201</v>
      </c>
      <c r="D112" s="667" t="s">
        <v>1202</v>
      </c>
      <c r="E112" s="668" t="s">
        <v>92</v>
      </c>
      <c r="F112" s="129">
        <v>-130000</v>
      </c>
      <c r="G112" s="129">
        <v>13156936</v>
      </c>
      <c r="H112" s="129">
        <v>0</v>
      </c>
      <c r="I112" s="129">
        <v>-308484</v>
      </c>
      <c r="J112" s="129">
        <v>62000</v>
      </c>
      <c r="K112" s="129">
        <v>-790040</v>
      </c>
      <c r="L112" s="129">
        <v>12120412</v>
      </c>
      <c r="M112" s="129">
        <v>0</v>
      </c>
      <c r="N112" s="129">
        <v>0</v>
      </c>
      <c r="O112" s="129">
        <v>0</v>
      </c>
      <c r="P112" s="129">
        <v>0</v>
      </c>
      <c r="Q112" s="129">
        <v>-42362</v>
      </c>
      <c r="R112" s="129">
        <v>-12202737</v>
      </c>
      <c r="S112" s="129">
        <v>-2440548</v>
      </c>
      <c r="T112" s="129">
        <v>-9762190</v>
      </c>
      <c r="U112" s="129">
        <v>0</v>
      </c>
      <c r="V112" s="129">
        <v>-91575</v>
      </c>
      <c r="W112" s="129">
        <v>0</v>
      </c>
      <c r="X112" s="129">
        <v>-24539412</v>
      </c>
      <c r="Y112" s="129">
        <v>835729</v>
      </c>
      <c r="Z112" s="129">
        <v>-11713271</v>
      </c>
      <c r="AA112" s="662" t="s">
        <v>92</v>
      </c>
      <c r="AB112" s="324" t="s">
        <v>543</v>
      </c>
      <c r="AC112" s="663" t="s">
        <v>542</v>
      </c>
      <c r="AD112" s="529" t="s">
        <v>1319</v>
      </c>
    </row>
    <row r="113" spans="1:30" ht="12.75" x14ac:dyDescent="0.2">
      <c r="A113" s="664">
        <v>106</v>
      </c>
      <c r="B113" s="665" t="s">
        <v>95</v>
      </c>
      <c r="C113" s="666" t="s">
        <v>1201</v>
      </c>
      <c r="D113" s="667" t="s">
        <v>1211</v>
      </c>
      <c r="E113" s="668" t="s">
        <v>94</v>
      </c>
      <c r="F113" s="129">
        <v>3920093</v>
      </c>
      <c r="G113" s="129">
        <v>14281545</v>
      </c>
      <c r="H113" s="129">
        <v>0</v>
      </c>
      <c r="I113" s="129">
        <v>-571262</v>
      </c>
      <c r="J113" s="129">
        <v>0</v>
      </c>
      <c r="K113" s="129">
        <v>-1503172</v>
      </c>
      <c r="L113" s="129">
        <v>12207111</v>
      </c>
      <c r="M113" s="129">
        <v>0</v>
      </c>
      <c r="N113" s="129">
        <v>0</v>
      </c>
      <c r="O113" s="129">
        <v>0</v>
      </c>
      <c r="P113" s="129">
        <v>0</v>
      </c>
      <c r="Q113" s="129">
        <v>-529211</v>
      </c>
      <c r="R113" s="129">
        <v>-14700873</v>
      </c>
      <c r="S113" s="129">
        <v>-3010303</v>
      </c>
      <c r="T113" s="129">
        <v>-12041213</v>
      </c>
      <c r="U113" s="129">
        <v>-1694966</v>
      </c>
      <c r="V113" s="129">
        <v>-44392</v>
      </c>
      <c r="W113" s="129">
        <v>-4743036</v>
      </c>
      <c r="X113" s="129">
        <v>-36763994</v>
      </c>
      <c r="Y113" s="129">
        <v>1940520</v>
      </c>
      <c r="Z113" s="129">
        <v>-18696270</v>
      </c>
      <c r="AA113" s="662" t="s">
        <v>94</v>
      </c>
      <c r="AB113" s="324" t="s">
        <v>553</v>
      </c>
      <c r="AC113" s="663" t="s">
        <v>512</v>
      </c>
      <c r="AD113" s="529" t="s">
        <v>1320</v>
      </c>
    </row>
    <row r="114" spans="1:30" ht="12.75" x14ac:dyDescent="0.2">
      <c r="A114" s="664">
        <v>107</v>
      </c>
      <c r="B114" s="665" t="s">
        <v>97</v>
      </c>
      <c r="C114" s="666" t="s">
        <v>1257</v>
      </c>
      <c r="D114" s="667" t="s">
        <v>1214</v>
      </c>
      <c r="E114" s="668" t="s">
        <v>96</v>
      </c>
      <c r="F114" s="129">
        <v>10351879</v>
      </c>
      <c r="G114" s="129">
        <v>38876381</v>
      </c>
      <c r="H114" s="129">
        <v>0</v>
      </c>
      <c r="I114" s="129">
        <v>-4879213</v>
      </c>
      <c r="J114" s="129">
        <v>0</v>
      </c>
      <c r="K114" s="129">
        <v>-2132712</v>
      </c>
      <c r="L114" s="129">
        <v>31864456</v>
      </c>
      <c r="M114" s="129">
        <v>208694</v>
      </c>
      <c r="N114" s="129">
        <v>0</v>
      </c>
      <c r="O114" s="129">
        <v>0</v>
      </c>
      <c r="P114" s="129">
        <v>208694</v>
      </c>
      <c r="Q114" s="129">
        <v>0</v>
      </c>
      <c r="R114" s="129">
        <v>-32193445</v>
      </c>
      <c r="S114" s="129">
        <v>-36095681</v>
      </c>
      <c r="T114" s="129">
        <v>-29266769</v>
      </c>
      <c r="U114" s="129">
        <v>-298670</v>
      </c>
      <c r="V114" s="129">
        <v>0</v>
      </c>
      <c r="W114" s="129">
        <v>-10539203</v>
      </c>
      <c r="X114" s="129">
        <v>-108393768</v>
      </c>
      <c r="Y114" s="129">
        <v>5500997</v>
      </c>
      <c r="Z114" s="129">
        <v>-60467742</v>
      </c>
      <c r="AA114" s="662" t="s">
        <v>96</v>
      </c>
      <c r="AB114" s="324" t="s">
        <v>576</v>
      </c>
      <c r="AC114" s="669" t="s">
        <v>485</v>
      </c>
      <c r="AD114" s="529" t="s">
        <v>1321</v>
      </c>
    </row>
    <row r="115" spans="1:30" ht="12.75" x14ac:dyDescent="0.2">
      <c r="A115" s="664">
        <v>108</v>
      </c>
      <c r="B115" s="665" t="s">
        <v>99</v>
      </c>
      <c r="C115" s="666" t="s">
        <v>1201</v>
      </c>
      <c r="D115" s="667" t="s">
        <v>1202</v>
      </c>
      <c r="E115" s="668" t="s">
        <v>98</v>
      </c>
      <c r="F115" s="129">
        <v>-2064435</v>
      </c>
      <c r="G115" s="129">
        <v>48943163</v>
      </c>
      <c r="H115" s="129">
        <v>0</v>
      </c>
      <c r="I115" s="129">
        <v>-1600000</v>
      </c>
      <c r="J115" s="129">
        <v>4210976</v>
      </c>
      <c r="K115" s="129">
        <v>-3091247</v>
      </c>
      <c r="L115" s="129">
        <v>48462892</v>
      </c>
      <c r="M115" s="129">
        <v>0</v>
      </c>
      <c r="N115" s="129">
        <v>0</v>
      </c>
      <c r="O115" s="129">
        <v>0</v>
      </c>
      <c r="P115" s="129">
        <v>0</v>
      </c>
      <c r="Q115" s="129">
        <v>-21605</v>
      </c>
      <c r="R115" s="129">
        <v>-43391556</v>
      </c>
      <c r="S115" s="129">
        <v>-8678311</v>
      </c>
      <c r="T115" s="129">
        <v>-34713245</v>
      </c>
      <c r="U115" s="129">
        <v>-231039</v>
      </c>
      <c r="V115" s="129">
        <v>0</v>
      </c>
      <c r="W115" s="129">
        <v>-9662894</v>
      </c>
      <c r="X115" s="129">
        <v>-96698650</v>
      </c>
      <c r="Y115" s="129">
        <v>0</v>
      </c>
      <c r="Z115" s="129">
        <v>-50300193</v>
      </c>
      <c r="AA115" s="662" t="s">
        <v>98</v>
      </c>
      <c r="AB115" s="324" t="s">
        <v>566</v>
      </c>
      <c r="AC115" s="663" t="s">
        <v>512</v>
      </c>
      <c r="AD115" s="529" t="s">
        <v>1322</v>
      </c>
    </row>
    <row r="116" spans="1:30" ht="12.75" x14ac:dyDescent="0.2">
      <c r="A116" s="664">
        <v>109</v>
      </c>
      <c r="B116" s="665" t="s">
        <v>101</v>
      </c>
      <c r="C116" s="666" t="s">
        <v>1257</v>
      </c>
      <c r="D116" s="667" t="s">
        <v>1214</v>
      </c>
      <c r="E116" s="668" t="s">
        <v>100</v>
      </c>
      <c r="F116" s="129">
        <v>1990066</v>
      </c>
      <c r="G116" s="129">
        <v>111027946</v>
      </c>
      <c r="H116" s="129">
        <v>0</v>
      </c>
      <c r="I116" s="129">
        <v>-22000000</v>
      </c>
      <c r="J116" s="129">
        <v>2483942</v>
      </c>
      <c r="K116" s="129">
        <v>-22934913</v>
      </c>
      <c r="L116" s="129">
        <v>68576975</v>
      </c>
      <c r="M116" s="129">
        <v>5797454</v>
      </c>
      <c r="N116" s="129">
        <v>572716</v>
      </c>
      <c r="O116" s="129">
        <v>0</v>
      </c>
      <c r="P116" s="129">
        <v>6370170</v>
      </c>
      <c r="Q116" s="129">
        <v>0</v>
      </c>
      <c r="R116" s="129">
        <v>-48519063</v>
      </c>
      <c r="S116" s="129">
        <v>-54400161</v>
      </c>
      <c r="T116" s="129">
        <v>-44108239</v>
      </c>
      <c r="U116" s="129">
        <v>-572716</v>
      </c>
      <c r="V116" s="129">
        <v>0</v>
      </c>
      <c r="W116" s="129">
        <v>-1978910</v>
      </c>
      <c r="X116" s="129">
        <v>-149579089</v>
      </c>
      <c r="Y116" s="129">
        <v>17397950</v>
      </c>
      <c r="Z116" s="129">
        <v>-55243928</v>
      </c>
      <c r="AA116" s="662" t="s">
        <v>100</v>
      </c>
      <c r="AB116" s="324" t="s">
        <v>576</v>
      </c>
      <c r="AC116" s="669" t="s">
        <v>485</v>
      </c>
      <c r="AD116" s="529" t="s">
        <v>1323</v>
      </c>
    </row>
    <row r="117" spans="1:30" ht="12.75" x14ac:dyDescent="0.2">
      <c r="A117" s="664">
        <v>110</v>
      </c>
      <c r="B117" s="665" t="s">
        <v>103</v>
      </c>
      <c r="C117" s="666" t="s">
        <v>486</v>
      </c>
      <c r="D117" s="667" t="s">
        <v>1204</v>
      </c>
      <c r="E117" s="668" t="s">
        <v>504</v>
      </c>
      <c r="F117" s="129">
        <v>546794</v>
      </c>
      <c r="G117" s="129">
        <v>42025000</v>
      </c>
      <c r="H117" s="129">
        <v>0</v>
      </c>
      <c r="I117" s="129">
        <v>-1108000</v>
      </c>
      <c r="J117" s="129">
        <v>0</v>
      </c>
      <c r="K117" s="129">
        <v>-5284000</v>
      </c>
      <c r="L117" s="129">
        <v>35633000</v>
      </c>
      <c r="M117" s="129">
        <v>0</v>
      </c>
      <c r="N117" s="129">
        <v>0</v>
      </c>
      <c r="O117" s="129">
        <v>0</v>
      </c>
      <c r="P117" s="129">
        <v>0</v>
      </c>
      <c r="Q117" s="129">
        <v>-1738071</v>
      </c>
      <c r="R117" s="129">
        <v>0</v>
      </c>
      <c r="S117" s="129">
        <v>-544762</v>
      </c>
      <c r="T117" s="129">
        <v>-54093412</v>
      </c>
      <c r="U117" s="129">
        <v>0</v>
      </c>
      <c r="V117" s="129">
        <v>-157134</v>
      </c>
      <c r="W117" s="129">
        <v>-2769226</v>
      </c>
      <c r="X117" s="129">
        <v>-59302605</v>
      </c>
      <c r="Y117" s="129">
        <v>5049815</v>
      </c>
      <c r="Z117" s="129">
        <v>-18072996</v>
      </c>
      <c r="AA117" s="662" t="s">
        <v>504</v>
      </c>
      <c r="AB117" s="324" t="s">
        <v>486</v>
      </c>
      <c r="AC117" s="663" t="s">
        <v>505</v>
      </c>
      <c r="AD117" s="529" t="s">
        <v>1324</v>
      </c>
    </row>
    <row r="118" spans="1:30" ht="12.75" x14ac:dyDescent="0.2">
      <c r="A118" s="664">
        <v>111</v>
      </c>
      <c r="B118" s="665" t="s">
        <v>105</v>
      </c>
      <c r="C118" s="666" t="s">
        <v>1201</v>
      </c>
      <c r="D118" s="667" t="s">
        <v>1218</v>
      </c>
      <c r="E118" s="668" t="s">
        <v>104</v>
      </c>
      <c r="F118" s="129">
        <v>-135233</v>
      </c>
      <c r="G118" s="129">
        <v>18022551</v>
      </c>
      <c r="H118" s="129">
        <v>0</v>
      </c>
      <c r="I118" s="129">
        <v>-291947</v>
      </c>
      <c r="J118" s="129">
        <v>667724</v>
      </c>
      <c r="K118" s="129">
        <v>-1272067</v>
      </c>
      <c r="L118" s="129">
        <v>17126261</v>
      </c>
      <c r="M118" s="129">
        <v>196839</v>
      </c>
      <c r="N118" s="129">
        <v>0</v>
      </c>
      <c r="O118" s="129">
        <v>151685</v>
      </c>
      <c r="P118" s="129">
        <v>348524</v>
      </c>
      <c r="Q118" s="129">
        <v>-111633</v>
      </c>
      <c r="R118" s="129">
        <v>-14411286</v>
      </c>
      <c r="S118" s="129">
        <v>-2882257</v>
      </c>
      <c r="T118" s="129">
        <v>-11529028</v>
      </c>
      <c r="U118" s="129">
        <v>0</v>
      </c>
      <c r="V118" s="129">
        <v>-87326</v>
      </c>
      <c r="W118" s="129">
        <v>0</v>
      </c>
      <c r="X118" s="129">
        <v>-29021530</v>
      </c>
      <c r="Y118" s="129">
        <v>426169</v>
      </c>
      <c r="Z118" s="129">
        <v>-11255809</v>
      </c>
      <c r="AA118" s="662" t="s">
        <v>104</v>
      </c>
      <c r="AB118" s="324" t="s">
        <v>556</v>
      </c>
      <c r="AC118" s="663" t="s">
        <v>555</v>
      </c>
      <c r="AD118" s="529" t="s">
        <v>1325</v>
      </c>
    </row>
    <row r="119" spans="1:30" ht="12.75" x14ac:dyDescent="0.2">
      <c r="A119" s="664">
        <v>112</v>
      </c>
      <c r="B119" s="665" t="s">
        <v>107</v>
      </c>
      <c r="C119" s="666" t="s">
        <v>1257</v>
      </c>
      <c r="D119" s="667" t="s">
        <v>1214</v>
      </c>
      <c r="E119" s="668" t="s">
        <v>106</v>
      </c>
      <c r="F119" s="129">
        <v>6611059</v>
      </c>
      <c r="G119" s="129">
        <v>146193593</v>
      </c>
      <c r="H119" s="129">
        <v>0</v>
      </c>
      <c r="I119" s="129">
        <v>-32110164</v>
      </c>
      <c r="J119" s="129">
        <v>2100351</v>
      </c>
      <c r="K119" s="129">
        <v>-21165824</v>
      </c>
      <c r="L119" s="129">
        <v>95017956</v>
      </c>
      <c r="M119" s="129">
        <v>0</v>
      </c>
      <c r="N119" s="129">
        <v>0</v>
      </c>
      <c r="O119" s="129">
        <v>0</v>
      </c>
      <c r="P119" s="129">
        <v>0</v>
      </c>
      <c r="Q119" s="129">
        <v>-649861</v>
      </c>
      <c r="R119" s="129">
        <v>-77194570</v>
      </c>
      <c r="S119" s="129">
        <v>-86551489</v>
      </c>
      <c r="T119" s="129">
        <v>-70176883</v>
      </c>
      <c r="U119" s="129">
        <v>-585400</v>
      </c>
      <c r="V119" s="129">
        <v>0</v>
      </c>
      <c r="W119" s="129">
        <v>-7665457</v>
      </c>
      <c r="X119" s="129">
        <v>-242823660</v>
      </c>
      <c r="Y119" s="129">
        <v>11757705</v>
      </c>
      <c r="Z119" s="129">
        <v>-129436940</v>
      </c>
      <c r="AA119" s="662" t="s">
        <v>106</v>
      </c>
      <c r="AB119" s="324" t="s">
        <v>576</v>
      </c>
      <c r="AC119" s="669" t="s">
        <v>485</v>
      </c>
      <c r="AD119" s="529" t="s">
        <v>1326</v>
      </c>
    </row>
    <row r="120" spans="1:30" ht="12.75" x14ac:dyDescent="0.2">
      <c r="A120" s="664">
        <v>113</v>
      </c>
      <c r="B120" s="665" t="s">
        <v>109</v>
      </c>
      <c r="C120" s="666" t="s">
        <v>1201</v>
      </c>
      <c r="D120" s="667" t="s">
        <v>1206</v>
      </c>
      <c r="E120" s="668" t="s">
        <v>108</v>
      </c>
      <c r="F120" s="129">
        <v>-329863</v>
      </c>
      <c r="G120" s="129">
        <v>36791568</v>
      </c>
      <c r="H120" s="129">
        <v>0</v>
      </c>
      <c r="I120" s="129">
        <v>-338000</v>
      </c>
      <c r="J120" s="129">
        <v>0</v>
      </c>
      <c r="K120" s="129">
        <v>-2960000</v>
      </c>
      <c r="L120" s="129">
        <v>33493568</v>
      </c>
      <c r="M120" s="129">
        <v>0</v>
      </c>
      <c r="N120" s="129">
        <v>0</v>
      </c>
      <c r="O120" s="129">
        <v>2431144</v>
      </c>
      <c r="P120" s="129">
        <v>2431144</v>
      </c>
      <c r="Q120" s="129">
        <v>-294232</v>
      </c>
      <c r="R120" s="129">
        <v>-23851906</v>
      </c>
      <c r="S120" s="129">
        <v>-4770381</v>
      </c>
      <c r="T120" s="129">
        <v>-19081525</v>
      </c>
      <c r="U120" s="129">
        <v>0</v>
      </c>
      <c r="V120" s="129">
        <v>0</v>
      </c>
      <c r="W120" s="129">
        <v>0</v>
      </c>
      <c r="X120" s="129">
        <v>-47998044</v>
      </c>
      <c r="Y120" s="129">
        <v>4021169</v>
      </c>
      <c r="Z120" s="129">
        <v>-8382026</v>
      </c>
      <c r="AA120" s="662" t="s">
        <v>108</v>
      </c>
      <c r="AB120" s="324" t="s">
        <v>551</v>
      </c>
      <c r="AC120" s="663" t="s">
        <v>549</v>
      </c>
      <c r="AD120" s="529" t="s">
        <v>1327</v>
      </c>
    </row>
    <row r="121" spans="1:30" ht="12.75" x14ac:dyDescent="0.2">
      <c r="A121" s="664">
        <v>114</v>
      </c>
      <c r="B121" s="665" t="s">
        <v>111</v>
      </c>
      <c r="C121" s="666" t="s">
        <v>1213</v>
      </c>
      <c r="D121" s="667" t="s">
        <v>1214</v>
      </c>
      <c r="E121" s="668" t="s">
        <v>110</v>
      </c>
      <c r="F121" s="129">
        <v>3979074</v>
      </c>
      <c r="G121" s="129">
        <v>33982061</v>
      </c>
      <c r="H121" s="129">
        <v>0</v>
      </c>
      <c r="I121" s="129">
        <v>-5641685</v>
      </c>
      <c r="J121" s="129">
        <v>5533189</v>
      </c>
      <c r="K121" s="129">
        <v>-4805226</v>
      </c>
      <c r="L121" s="129">
        <v>29068339</v>
      </c>
      <c r="M121" s="129">
        <v>179467</v>
      </c>
      <c r="N121" s="129">
        <v>0</v>
      </c>
      <c r="O121" s="129">
        <v>0</v>
      </c>
      <c r="P121" s="129">
        <v>179467</v>
      </c>
      <c r="Q121" s="129">
        <v>0</v>
      </c>
      <c r="R121" s="129">
        <v>-24747074</v>
      </c>
      <c r="S121" s="129">
        <v>-27746720</v>
      </c>
      <c r="T121" s="129">
        <v>-22497340</v>
      </c>
      <c r="U121" s="129">
        <v>-300915</v>
      </c>
      <c r="V121" s="129">
        <v>0</v>
      </c>
      <c r="W121" s="129">
        <v>-6739163</v>
      </c>
      <c r="X121" s="129">
        <v>-82031212</v>
      </c>
      <c r="Y121" s="129">
        <v>1808353</v>
      </c>
      <c r="Z121" s="129">
        <v>-46995979</v>
      </c>
      <c r="AA121" s="662" t="s">
        <v>110</v>
      </c>
      <c r="AB121" s="324" t="s">
        <v>576</v>
      </c>
      <c r="AC121" s="669" t="s">
        <v>485</v>
      </c>
      <c r="AD121" s="529" t="s">
        <v>1328</v>
      </c>
    </row>
    <row r="122" spans="1:30" ht="12.75" x14ac:dyDescent="0.2">
      <c r="A122" s="664">
        <v>115</v>
      </c>
      <c r="B122" s="665" t="s">
        <v>113</v>
      </c>
      <c r="C122" s="666" t="s">
        <v>1201</v>
      </c>
      <c r="D122" s="667" t="s">
        <v>1211</v>
      </c>
      <c r="E122" s="668" t="s">
        <v>112</v>
      </c>
      <c r="F122" s="129">
        <v>-6077742</v>
      </c>
      <c r="G122" s="129">
        <v>25945007</v>
      </c>
      <c r="H122" s="129">
        <v>0</v>
      </c>
      <c r="I122" s="129">
        <v>-2500000</v>
      </c>
      <c r="J122" s="129">
        <v>0</v>
      </c>
      <c r="K122" s="129">
        <v>-250000</v>
      </c>
      <c r="L122" s="129">
        <v>23195007</v>
      </c>
      <c r="M122" s="129">
        <v>0</v>
      </c>
      <c r="N122" s="129">
        <v>0</v>
      </c>
      <c r="O122" s="129">
        <v>2969229</v>
      </c>
      <c r="P122" s="129">
        <v>2969229</v>
      </c>
      <c r="Q122" s="129">
        <v>-120711</v>
      </c>
      <c r="R122" s="129">
        <v>-23348346</v>
      </c>
      <c r="S122" s="129">
        <v>-4669669</v>
      </c>
      <c r="T122" s="129">
        <v>-18678677</v>
      </c>
      <c r="U122" s="129">
        <v>-541905</v>
      </c>
      <c r="V122" s="129">
        <v>0</v>
      </c>
      <c r="W122" s="129">
        <v>0</v>
      </c>
      <c r="X122" s="129">
        <v>-47359308</v>
      </c>
      <c r="Y122" s="129">
        <v>4397214</v>
      </c>
      <c r="Z122" s="129">
        <v>-22875600</v>
      </c>
      <c r="AA122" s="662" t="s">
        <v>112</v>
      </c>
      <c r="AB122" s="324" t="s">
        <v>528</v>
      </c>
      <c r="AC122" s="663" t="s">
        <v>1913</v>
      </c>
      <c r="AD122" s="529" t="s">
        <v>1329</v>
      </c>
    </row>
    <row r="123" spans="1:30" ht="12.75" x14ac:dyDescent="0.2">
      <c r="A123" s="664">
        <v>116</v>
      </c>
      <c r="B123" s="665" t="s">
        <v>115</v>
      </c>
      <c r="C123" s="666" t="s">
        <v>1201</v>
      </c>
      <c r="D123" s="667" t="s">
        <v>1218</v>
      </c>
      <c r="E123" s="668" t="s">
        <v>114</v>
      </c>
      <c r="F123" s="129">
        <v>714368</v>
      </c>
      <c r="G123" s="129">
        <v>29058797</v>
      </c>
      <c r="H123" s="129">
        <v>0</v>
      </c>
      <c r="I123" s="129">
        <v>-860000</v>
      </c>
      <c r="J123" s="129">
        <v>750000</v>
      </c>
      <c r="K123" s="129">
        <v>-2379555</v>
      </c>
      <c r="L123" s="129">
        <v>26569242</v>
      </c>
      <c r="M123" s="129">
        <v>266025</v>
      </c>
      <c r="N123" s="129">
        <v>0</v>
      </c>
      <c r="O123" s="129">
        <v>949894</v>
      </c>
      <c r="P123" s="129">
        <v>1215919</v>
      </c>
      <c r="Q123" s="129">
        <v>-346470</v>
      </c>
      <c r="R123" s="129">
        <v>-31281019</v>
      </c>
      <c r="S123" s="129">
        <v>-6256203</v>
      </c>
      <c r="T123" s="129">
        <v>-25024815</v>
      </c>
      <c r="U123" s="129">
        <v>-508008</v>
      </c>
      <c r="V123" s="129">
        <v>0</v>
      </c>
      <c r="W123" s="129">
        <v>0</v>
      </c>
      <c r="X123" s="129">
        <v>-63416515</v>
      </c>
      <c r="Y123" s="129">
        <v>1414587</v>
      </c>
      <c r="Z123" s="129">
        <v>-33502399</v>
      </c>
      <c r="AA123" s="662" t="s">
        <v>114</v>
      </c>
      <c r="AB123" s="324" t="s">
        <v>556</v>
      </c>
      <c r="AC123" s="663" t="s">
        <v>555</v>
      </c>
      <c r="AD123" s="529" t="s">
        <v>1330</v>
      </c>
    </row>
    <row r="124" spans="1:30" ht="12.75" x14ac:dyDescent="0.2">
      <c r="A124" s="664">
        <v>117</v>
      </c>
      <c r="B124" s="665" t="s">
        <v>117</v>
      </c>
      <c r="C124" s="666" t="s">
        <v>1213</v>
      </c>
      <c r="D124" s="667" t="s">
        <v>1214</v>
      </c>
      <c r="E124" s="668" t="s">
        <v>116</v>
      </c>
      <c r="F124" s="129">
        <v>179867</v>
      </c>
      <c r="G124" s="129">
        <v>23044974</v>
      </c>
      <c r="H124" s="129">
        <v>-244267</v>
      </c>
      <c r="I124" s="129">
        <v>-1620453</v>
      </c>
      <c r="J124" s="129">
        <v>0</v>
      </c>
      <c r="K124" s="129">
        <v>-1000000</v>
      </c>
      <c r="L124" s="129">
        <v>20180254</v>
      </c>
      <c r="M124" s="129">
        <v>0</v>
      </c>
      <c r="N124" s="129">
        <v>0</v>
      </c>
      <c r="O124" s="129">
        <v>0</v>
      </c>
      <c r="P124" s="129">
        <v>0</v>
      </c>
      <c r="Q124" s="129">
        <v>0</v>
      </c>
      <c r="R124" s="129">
        <v>-16436576</v>
      </c>
      <c r="S124" s="129">
        <v>-18428888</v>
      </c>
      <c r="T124" s="129">
        <v>-14942342</v>
      </c>
      <c r="U124" s="129">
        <v>0</v>
      </c>
      <c r="V124" s="129">
        <v>0</v>
      </c>
      <c r="W124" s="129">
        <v>-128353</v>
      </c>
      <c r="X124" s="129">
        <v>-49936159</v>
      </c>
      <c r="Y124" s="129">
        <v>2018368</v>
      </c>
      <c r="Z124" s="129">
        <v>-27557670</v>
      </c>
      <c r="AA124" s="662" t="s">
        <v>116</v>
      </c>
      <c r="AB124" s="324" t="s">
        <v>576</v>
      </c>
      <c r="AC124" s="669" t="s">
        <v>485</v>
      </c>
      <c r="AD124" s="529" t="s">
        <v>1331</v>
      </c>
    </row>
    <row r="125" spans="1:30" ht="12.75" x14ac:dyDescent="0.2">
      <c r="A125" s="664">
        <v>118</v>
      </c>
      <c r="B125" s="665" t="s">
        <v>119</v>
      </c>
      <c r="C125" s="666" t="s">
        <v>1201</v>
      </c>
      <c r="D125" s="667" t="s">
        <v>1202</v>
      </c>
      <c r="E125" s="668" t="s">
        <v>118</v>
      </c>
      <c r="F125" s="129">
        <v>-714935</v>
      </c>
      <c r="G125" s="129">
        <v>17154517</v>
      </c>
      <c r="H125" s="129">
        <v>0</v>
      </c>
      <c r="I125" s="129">
        <v>-519367</v>
      </c>
      <c r="J125" s="129">
        <v>1953409</v>
      </c>
      <c r="K125" s="129">
        <v>-1847653</v>
      </c>
      <c r="L125" s="129">
        <v>16740906</v>
      </c>
      <c r="M125" s="129">
        <v>0</v>
      </c>
      <c r="N125" s="129">
        <v>0</v>
      </c>
      <c r="O125" s="129">
        <v>376900</v>
      </c>
      <c r="P125" s="129">
        <v>376900</v>
      </c>
      <c r="Q125" s="129">
        <v>-506543</v>
      </c>
      <c r="R125" s="129">
        <v>-15348946</v>
      </c>
      <c r="S125" s="129">
        <v>-3069789</v>
      </c>
      <c r="T125" s="129">
        <v>-12279157</v>
      </c>
      <c r="U125" s="129">
        <v>-97335</v>
      </c>
      <c r="V125" s="129">
        <v>0</v>
      </c>
      <c r="W125" s="129">
        <v>0</v>
      </c>
      <c r="X125" s="129">
        <v>-31301770</v>
      </c>
      <c r="Y125" s="129">
        <v>892045</v>
      </c>
      <c r="Z125" s="129">
        <v>-14006854</v>
      </c>
      <c r="AA125" s="662" t="s">
        <v>118</v>
      </c>
      <c r="AB125" s="324" t="s">
        <v>532</v>
      </c>
      <c r="AC125" s="663" t="s">
        <v>1914</v>
      </c>
      <c r="AD125" s="529" t="s">
        <v>1332</v>
      </c>
    </row>
    <row r="126" spans="1:30" ht="12.75" x14ac:dyDescent="0.2">
      <c r="A126" s="664">
        <v>119</v>
      </c>
      <c r="B126" s="665" t="s">
        <v>121</v>
      </c>
      <c r="C126" s="666" t="s">
        <v>486</v>
      </c>
      <c r="D126" s="667" t="s">
        <v>1283</v>
      </c>
      <c r="E126" s="668" t="s">
        <v>508</v>
      </c>
      <c r="F126" s="129">
        <v>1148610</v>
      </c>
      <c r="G126" s="129">
        <v>23052365</v>
      </c>
      <c r="H126" s="129">
        <v>0</v>
      </c>
      <c r="I126" s="129">
        <v>-677207</v>
      </c>
      <c r="J126" s="129">
        <v>0</v>
      </c>
      <c r="K126" s="129">
        <v>-1947835</v>
      </c>
      <c r="L126" s="129">
        <v>20427323</v>
      </c>
      <c r="M126" s="129">
        <v>14152</v>
      </c>
      <c r="N126" s="129">
        <v>0</v>
      </c>
      <c r="O126" s="129">
        <v>0</v>
      </c>
      <c r="P126" s="129">
        <v>14152</v>
      </c>
      <c r="Q126" s="129">
        <v>-606631</v>
      </c>
      <c r="R126" s="129">
        <v>-16116382</v>
      </c>
      <c r="S126" s="129">
        <v>-322551</v>
      </c>
      <c r="T126" s="129">
        <v>-15804997</v>
      </c>
      <c r="U126" s="129">
        <v>-667579</v>
      </c>
      <c r="V126" s="129">
        <v>0</v>
      </c>
      <c r="W126" s="129">
        <v>-63041</v>
      </c>
      <c r="X126" s="129">
        <v>-33581181</v>
      </c>
      <c r="Y126" s="129">
        <v>1628263</v>
      </c>
      <c r="Z126" s="129">
        <v>-10362833</v>
      </c>
      <c r="AA126" s="662" t="s">
        <v>508</v>
      </c>
      <c r="AB126" s="324" t="s">
        <v>486</v>
      </c>
      <c r="AC126" s="663" t="s">
        <v>509</v>
      </c>
      <c r="AD126" s="529" t="s">
        <v>1333</v>
      </c>
    </row>
    <row r="127" spans="1:30" ht="12.75" x14ac:dyDescent="0.2">
      <c r="A127" s="664">
        <v>120</v>
      </c>
      <c r="B127" s="665" t="s">
        <v>123</v>
      </c>
      <c r="C127" s="666" t="s">
        <v>1201</v>
      </c>
      <c r="D127" s="667" t="s">
        <v>1202</v>
      </c>
      <c r="E127" s="668" t="s">
        <v>122</v>
      </c>
      <c r="F127" s="129">
        <v>765682</v>
      </c>
      <c r="G127" s="129">
        <v>22853546</v>
      </c>
      <c r="H127" s="129">
        <v>-132166</v>
      </c>
      <c r="I127" s="129">
        <v>-1182095</v>
      </c>
      <c r="J127" s="129">
        <v>6431</v>
      </c>
      <c r="K127" s="129">
        <v>-1557316</v>
      </c>
      <c r="L127" s="129">
        <v>19988400</v>
      </c>
      <c r="M127" s="129">
        <v>101834</v>
      </c>
      <c r="N127" s="129">
        <v>0</v>
      </c>
      <c r="O127" s="129">
        <v>395796</v>
      </c>
      <c r="P127" s="129">
        <v>497630</v>
      </c>
      <c r="Q127" s="129">
        <v>-101834</v>
      </c>
      <c r="R127" s="129">
        <v>-10580339</v>
      </c>
      <c r="S127" s="129">
        <v>-2116068</v>
      </c>
      <c r="T127" s="129">
        <v>-8464272</v>
      </c>
      <c r="U127" s="129">
        <v>-11536</v>
      </c>
      <c r="V127" s="129">
        <v>0</v>
      </c>
      <c r="W127" s="129">
        <v>-395796</v>
      </c>
      <c r="X127" s="129">
        <v>-21669845</v>
      </c>
      <c r="Y127" s="129">
        <v>0</v>
      </c>
      <c r="Z127" s="129">
        <v>-418133</v>
      </c>
      <c r="AA127" s="662" t="s">
        <v>122</v>
      </c>
      <c r="AB127" s="324" t="s">
        <v>525</v>
      </c>
      <c r="AC127" s="663" t="s">
        <v>524</v>
      </c>
      <c r="AD127" s="529" t="s">
        <v>1334</v>
      </c>
    </row>
    <row r="128" spans="1:30" ht="14.25" x14ac:dyDescent="0.2">
      <c r="A128" s="664">
        <v>121</v>
      </c>
      <c r="B128" s="665" t="s">
        <v>125</v>
      </c>
      <c r="C128" s="666" t="s">
        <v>1201</v>
      </c>
      <c r="D128" s="667" t="s">
        <v>1202</v>
      </c>
      <c r="E128" s="668" t="s">
        <v>1922</v>
      </c>
      <c r="F128" s="129">
        <v>-3074740</v>
      </c>
      <c r="G128" s="129">
        <v>16338043</v>
      </c>
      <c r="H128" s="129">
        <v>0</v>
      </c>
      <c r="I128" s="129">
        <v>-607535</v>
      </c>
      <c r="J128" s="129">
        <v>0</v>
      </c>
      <c r="K128" s="129">
        <v>-200000</v>
      </c>
      <c r="L128" s="129">
        <v>15530508</v>
      </c>
      <c r="M128" s="129">
        <v>0</v>
      </c>
      <c r="N128" s="129">
        <v>0</v>
      </c>
      <c r="O128" s="129">
        <v>0</v>
      </c>
      <c r="P128" s="129">
        <v>0</v>
      </c>
      <c r="Q128" s="129">
        <v>-487608</v>
      </c>
      <c r="R128" s="129">
        <v>-17781168</v>
      </c>
      <c r="S128" s="129">
        <v>-3556233</v>
      </c>
      <c r="T128" s="129">
        <v>-14224934</v>
      </c>
      <c r="U128" s="129">
        <v>-133279</v>
      </c>
      <c r="V128" s="129">
        <v>0</v>
      </c>
      <c r="W128" s="129">
        <v>-404134</v>
      </c>
      <c r="X128" s="129">
        <v>-36587356</v>
      </c>
      <c r="Y128" s="129">
        <v>1625225</v>
      </c>
      <c r="Z128" s="129">
        <v>-22506363</v>
      </c>
      <c r="AA128" s="662" t="s">
        <v>124</v>
      </c>
      <c r="AB128" s="324" t="s">
        <v>532</v>
      </c>
      <c r="AC128" s="663" t="s">
        <v>1920</v>
      </c>
      <c r="AD128" s="529" t="s">
        <v>1335</v>
      </c>
    </row>
    <row r="129" spans="1:30" ht="12.75" x14ac:dyDescent="0.2">
      <c r="A129" s="664">
        <v>122</v>
      </c>
      <c r="B129" s="665" t="s">
        <v>127</v>
      </c>
      <c r="C129" s="666" t="s">
        <v>1213</v>
      </c>
      <c r="D129" s="667" t="s">
        <v>1214</v>
      </c>
      <c r="E129" s="668" t="s">
        <v>126</v>
      </c>
      <c r="F129" s="129">
        <v>-2928163</v>
      </c>
      <c r="G129" s="129">
        <v>41446414</v>
      </c>
      <c r="H129" s="129">
        <v>-407103</v>
      </c>
      <c r="I129" s="129">
        <v>-487500</v>
      </c>
      <c r="J129" s="129">
        <v>1907147</v>
      </c>
      <c r="K129" s="129">
        <v>-15891110</v>
      </c>
      <c r="L129" s="129">
        <v>26567848</v>
      </c>
      <c r="M129" s="129">
        <v>330021</v>
      </c>
      <c r="N129" s="129">
        <v>0</v>
      </c>
      <c r="O129" s="129">
        <v>2608120</v>
      </c>
      <c r="P129" s="129">
        <v>2938141</v>
      </c>
      <c r="Q129" s="129">
        <v>0</v>
      </c>
      <c r="R129" s="129">
        <v>-26189414</v>
      </c>
      <c r="S129" s="129">
        <v>-29363889</v>
      </c>
      <c r="T129" s="129">
        <v>-23808558</v>
      </c>
      <c r="U129" s="129">
        <v>-266826</v>
      </c>
      <c r="V129" s="129">
        <v>0</v>
      </c>
      <c r="W129" s="129">
        <v>0</v>
      </c>
      <c r="X129" s="129">
        <v>-79628687</v>
      </c>
      <c r="Y129" s="129">
        <v>6080051</v>
      </c>
      <c r="Z129" s="129">
        <v>-46970810</v>
      </c>
      <c r="AA129" s="662" t="s">
        <v>126</v>
      </c>
      <c r="AB129" s="324" t="s">
        <v>576</v>
      </c>
      <c r="AC129" s="669" t="s">
        <v>485</v>
      </c>
      <c r="AD129" s="529" t="s">
        <v>1336</v>
      </c>
    </row>
    <row r="130" spans="1:30" ht="12.75" x14ac:dyDescent="0.2">
      <c r="A130" s="664">
        <v>123</v>
      </c>
      <c r="B130" s="665" t="s">
        <v>129</v>
      </c>
      <c r="C130" s="666" t="s">
        <v>486</v>
      </c>
      <c r="D130" s="667" t="s">
        <v>1228</v>
      </c>
      <c r="E130" s="668" t="s">
        <v>533</v>
      </c>
      <c r="F130" s="129">
        <v>3425252</v>
      </c>
      <c r="G130" s="129">
        <v>20020000</v>
      </c>
      <c r="H130" s="129">
        <v>-400000</v>
      </c>
      <c r="I130" s="129">
        <v>-800000</v>
      </c>
      <c r="J130" s="129">
        <v>0</v>
      </c>
      <c r="K130" s="129">
        <v>-1000000</v>
      </c>
      <c r="L130" s="129">
        <v>17820000</v>
      </c>
      <c r="M130" s="129">
        <v>0</v>
      </c>
      <c r="N130" s="129">
        <v>0</v>
      </c>
      <c r="O130" s="129">
        <v>0</v>
      </c>
      <c r="P130" s="129">
        <v>0</v>
      </c>
      <c r="Q130" s="129">
        <v>0</v>
      </c>
      <c r="R130" s="129">
        <v>-23349316</v>
      </c>
      <c r="S130" s="129">
        <v>-466986</v>
      </c>
      <c r="T130" s="129">
        <v>-22882330</v>
      </c>
      <c r="U130" s="129">
        <v>-708000</v>
      </c>
      <c r="V130" s="129">
        <v>0</v>
      </c>
      <c r="W130" s="129">
        <v>-896748</v>
      </c>
      <c r="X130" s="129">
        <v>-48303380</v>
      </c>
      <c r="Y130" s="129">
        <v>1310421</v>
      </c>
      <c r="Z130" s="129">
        <v>-25747707</v>
      </c>
      <c r="AA130" s="662" t="s">
        <v>533</v>
      </c>
      <c r="AB130" s="324" t="s">
        <v>486</v>
      </c>
      <c r="AC130" s="663" t="s">
        <v>534</v>
      </c>
      <c r="AD130" s="529" t="s">
        <v>1337</v>
      </c>
    </row>
    <row r="131" spans="1:30" ht="12.75" x14ac:dyDescent="0.2">
      <c r="A131" s="664">
        <v>124</v>
      </c>
      <c r="B131" s="665" t="s">
        <v>131</v>
      </c>
      <c r="C131" s="666" t="s">
        <v>1201</v>
      </c>
      <c r="D131" s="667" t="s">
        <v>1211</v>
      </c>
      <c r="E131" s="668" t="s">
        <v>130</v>
      </c>
      <c r="F131" s="129">
        <v>4916050</v>
      </c>
      <c r="G131" s="129">
        <v>24977557</v>
      </c>
      <c r="H131" s="129">
        <v>0</v>
      </c>
      <c r="I131" s="129">
        <v>-350000</v>
      </c>
      <c r="J131" s="129">
        <v>784257</v>
      </c>
      <c r="K131" s="129">
        <v>-3290018</v>
      </c>
      <c r="L131" s="129">
        <v>22121796</v>
      </c>
      <c r="M131" s="129">
        <v>0</v>
      </c>
      <c r="N131" s="129">
        <v>0</v>
      </c>
      <c r="O131" s="129">
        <v>0</v>
      </c>
      <c r="P131" s="129">
        <v>0</v>
      </c>
      <c r="Q131" s="129">
        <v>-281885</v>
      </c>
      <c r="R131" s="129">
        <v>-23376017</v>
      </c>
      <c r="S131" s="129">
        <v>-4675203</v>
      </c>
      <c r="T131" s="129">
        <v>-18700814</v>
      </c>
      <c r="U131" s="129">
        <v>-145115</v>
      </c>
      <c r="V131" s="129">
        <v>0</v>
      </c>
      <c r="W131" s="129">
        <v>-2719635</v>
      </c>
      <c r="X131" s="129">
        <v>-49898669</v>
      </c>
      <c r="Y131" s="129">
        <v>2246561</v>
      </c>
      <c r="Z131" s="129">
        <v>-20614262</v>
      </c>
      <c r="AA131" s="662" t="s">
        <v>130</v>
      </c>
      <c r="AB131" s="324" t="s">
        <v>536</v>
      </c>
      <c r="AC131" s="663" t="s">
        <v>512</v>
      </c>
      <c r="AD131" s="529" t="s">
        <v>1338</v>
      </c>
    </row>
    <row r="132" spans="1:30" ht="12.75" x14ac:dyDescent="0.2">
      <c r="A132" s="664">
        <v>125</v>
      </c>
      <c r="B132" s="665" t="s">
        <v>133</v>
      </c>
      <c r="C132" s="666" t="s">
        <v>1201</v>
      </c>
      <c r="D132" s="667" t="s">
        <v>1206</v>
      </c>
      <c r="E132" s="668" t="s">
        <v>132</v>
      </c>
      <c r="F132" s="129">
        <v>177658</v>
      </c>
      <c r="G132" s="129">
        <v>18630844</v>
      </c>
      <c r="H132" s="129">
        <v>0</v>
      </c>
      <c r="I132" s="129">
        <v>-146283</v>
      </c>
      <c r="J132" s="129">
        <v>889714</v>
      </c>
      <c r="K132" s="129">
        <v>-755372</v>
      </c>
      <c r="L132" s="129">
        <v>18618903</v>
      </c>
      <c r="M132" s="129">
        <v>280656</v>
      </c>
      <c r="N132" s="129">
        <v>0</v>
      </c>
      <c r="O132" s="129">
        <v>0</v>
      </c>
      <c r="P132" s="129">
        <v>280656</v>
      </c>
      <c r="Q132" s="129">
        <v>0</v>
      </c>
      <c r="R132" s="129">
        <v>-13319506</v>
      </c>
      <c r="S132" s="129">
        <v>-2663901</v>
      </c>
      <c r="T132" s="129">
        <v>-10655604</v>
      </c>
      <c r="U132" s="129">
        <v>-132509</v>
      </c>
      <c r="V132" s="129">
        <v>0</v>
      </c>
      <c r="W132" s="129">
        <v>-975172</v>
      </c>
      <c r="X132" s="129">
        <v>-27746692</v>
      </c>
      <c r="Y132" s="129">
        <v>0</v>
      </c>
      <c r="Z132" s="129">
        <v>-8669475</v>
      </c>
      <c r="AA132" s="662" t="s">
        <v>132</v>
      </c>
      <c r="AB132" s="324" t="s">
        <v>516</v>
      </c>
      <c r="AC132" s="663" t="s">
        <v>515</v>
      </c>
      <c r="AD132" s="529" t="s">
        <v>1339</v>
      </c>
    </row>
    <row r="133" spans="1:30" ht="12.75" x14ac:dyDescent="0.2">
      <c r="A133" s="664">
        <v>126</v>
      </c>
      <c r="B133" s="665" t="s">
        <v>135</v>
      </c>
      <c r="C133" s="666" t="s">
        <v>1213</v>
      </c>
      <c r="D133" s="667" t="s">
        <v>1214</v>
      </c>
      <c r="E133" s="668" t="s">
        <v>134</v>
      </c>
      <c r="F133" s="129">
        <v>-2069292</v>
      </c>
      <c r="G133" s="129">
        <v>266787000</v>
      </c>
      <c r="H133" s="129">
        <v>-358000</v>
      </c>
      <c r="I133" s="129">
        <v>-1014000</v>
      </c>
      <c r="J133" s="129">
        <v>0</v>
      </c>
      <c r="K133" s="129">
        <v>-496000</v>
      </c>
      <c r="L133" s="129">
        <v>264919000</v>
      </c>
      <c r="M133" s="129">
        <v>0</v>
      </c>
      <c r="N133" s="129">
        <v>0</v>
      </c>
      <c r="O133" s="129">
        <v>10969</v>
      </c>
      <c r="P133" s="129">
        <v>10969</v>
      </c>
      <c r="Q133" s="129">
        <v>-2429059</v>
      </c>
      <c r="R133" s="129">
        <v>-123545000</v>
      </c>
      <c r="S133" s="129">
        <v>-138521000</v>
      </c>
      <c r="T133" s="129">
        <v>-112314000</v>
      </c>
      <c r="U133" s="129">
        <v>-573000</v>
      </c>
      <c r="V133" s="129">
        <v>0</v>
      </c>
      <c r="W133" s="129">
        <v>0</v>
      </c>
      <c r="X133" s="129">
        <v>-377382059</v>
      </c>
      <c r="Y133" s="129">
        <v>9728039</v>
      </c>
      <c r="Z133" s="129">
        <v>-104793343</v>
      </c>
      <c r="AA133" s="662" t="s">
        <v>134</v>
      </c>
      <c r="AB133" s="324" t="s">
        <v>576</v>
      </c>
      <c r="AC133" s="669" t="s">
        <v>485</v>
      </c>
      <c r="AD133" s="529" t="s">
        <v>1340</v>
      </c>
    </row>
    <row r="134" spans="1:30" ht="12.75" x14ac:dyDescent="0.2">
      <c r="A134" s="664">
        <v>127</v>
      </c>
      <c r="B134" s="665" t="s">
        <v>137</v>
      </c>
      <c r="C134" s="666" t="s">
        <v>1201</v>
      </c>
      <c r="D134" s="667" t="s">
        <v>1206</v>
      </c>
      <c r="E134" s="668" t="s">
        <v>136</v>
      </c>
      <c r="F134" s="129">
        <v>1811229</v>
      </c>
      <c r="G134" s="129">
        <v>24641136</v>
      </c>
      <c r="H134" s="129">
        <v>0</v>
      </c>
      <c r="I134" s="129">
        <v>-500597</v>
      </c>
      <c r="J134" s="129">
        <v>514225</v>
      </c>
      <c r="K134" s="129">
        <v>-165791</v>
      </c>
      <c r="L134" s="129">
        <v>24488973</v>
      </c>
      <c r="M134" s="129">
        <v>160695</v>
      </c>
      <c r="N134" s="129">
        <v>0</v>
      </c>
      <c r="O134" s="129">
        <v>90513</v>
      </c>
      <c r="P134" s="129">
        <v>251208</v>
      </c>
      <c r="Q134" s="129">
        <v>-160695</v>
      </c>
      <c r="R134" s="129">
        <v>-16654009</v>
      </c>
      <c r="S134" s="129">
        <v>-3330802</v>
      </c>
      <c r="T134" s="129">
        <v>-13323207</v>
      </c>
      <c r="U134" s="129">
        <v>-416506</v>
      </c>
      <c r="V134" s="129">
        <v>0</v>
      </c>
      <c r="W134" s="129">
        <v>0</v>
      </c>
      <c r="X134" s="129">
        <v>-33885219</v>
      </c>
      <c r="Y134" s="129">
        <v>0</v>
      </c>
      <c r="Z134" s="129">
        <v>-7333809</v>
      </c>
      <c r="AA134" s="662" t="s">
        <v>136</v>
      </c>
      <c r="AB134" s="324" t="s">
        <v>551</v>
      </c>
      <c r="AC134" s="663" t="s">
        <v>549</v>
      </c>
      <c r="AD134" s="529" t="s">
        <v>1341</v>
      </c>
    </row>
    <row r="135" spans="1:30" ht="12.75" x14ac:dyDescent="0.2">
      <c r="A135" s="664">
        <v>128</v>
      </c>
      <c r="B135" s="665" t="s">
        <v>139</v>
      </c>
      <c r="C135" s="666" t="s">
        <v>1201</v>
      </c>
      <c r="D135" s="667" t="s">
        <v>1202</v>
      </c>
      <c r="E135" s="668" t="s">
        <v>138</v>
      </c>
      <c r="F135" s="129">
        <v>-1666824</v>
      </c>
      <c r="G135" s="129">
        <v>26261437</v>
      </c>
      <c r="H135" s="129">
        <v>0</v>
      </c>
      <c r="I135" s="129">
        <v>-4509</v>
      </c>
      <c r="J135" s="129">
        <v>803404</v>
      </c>
      <c r="K135" s="129">
        <v>-2447381</v>
      </c>
      <c r="L135" s="129">
        <v>24612951</v>
      </c>
      <c r="M135" s="129">
        <v>0</v>
      </c>
      <c r="N135" s="129">
        <v>0</v>
      </c>
      <c r="O135" s="129">
        <v>603713</v>
      </c>
      <c r="P135" s="129">
        <v>603713</v>
      </c>
      <c r="Q135" s="129">
        <v>0</v>
      </c>
      <c r="R135" s="129">
        <v>-21818342</v>
      </c>
      <c r="S135" s="129">
        <v>-4363669</v>
      </c>
      <c r="T135" s="129">
        <v>-17454674</v>
      </c>
      <c r="U135" s="129">
        <v>0</v>
      </c>
      <c r="V135" s="129">
        <v>-181481</v>
      </c>
      <c r="W135" s="129">
        <v>0</v>
      </c>
      <c r="X135" s="129">
        <v>-43818166</v>
      </c>
      <c r="Y135" s="129">
        <v>0</v>
      </c>
      <c r="Z135" s="129">
        <v>-20268326</v>
      </c>
      <c r="AA135" s="662" t="s">
        <v>138</v>
      </c>
      <c r="AB135" s="324" t="s">
        <v>568</v>
      </c>
      <c r="AC135" s="663" t="s">
        <v>512</v>
      </c>
      <c r="AD135" s="529" t="s">
        <v>1342</v>
      </c>
    </row>
    <row r="136" spans="1:30" ht="12.75" x14ac:dyDescent="0.2">
      <c r="A136" s="664">
        <v>129</v>
      </c>
      <c r="B136" s="665" t="s">
        <v>141</v>
      </c>
      <c r="C136" s="666" t="s">
        <v>1213</v>
      </c>
      <c r="D136" s="667" t="s">
        <v>1214</v>
      </c>
      <c r="E136" s="668" t="s">
        <v>140</v>
      </c>
      <c r="F136" s="129">
        <v>-11616690</v>
      </c>
      <c r="G136" s="129">
        <v>148352386</v>
      </c>
      <c r="H136" s="129">
        <v>0</v>
      </c>
      <c r="I136" s="129">
        <v>-2970000</v>
      </c>
      <c r="J136" s="129">
        <v>0</v>
      </c>
      <c r="K136" s="129">
        <v>-13300000</v>
      </c>
      <c r="L136" s="129">
        <v>132082386</v>
      </c>
      <c r="M136" s="129">
        <v>0</v>
      </c>
      <c r="N136" s="129">
        <v>0</v>
      </c>
      <c r="O136" s="129">
        <v>5375847</v>
      </c>
      <c r="P136" s="129">
        <v>5375847</v>
      </c>
      <c r="Q136" s="129">
        <v>-164568</v>
      </c>
      <c r="R136" s="129">
        <v>-68191256</v>
      </c>
      <c r="S136" s="129">
        <v>-76456862</v>
      </c>
      <c r="T136" s="129">
        <v>-61992050</v>
      </c>
      <c r="U136" s="129">
        <v>-408310</v>
      </c>
      <c r="V136" s="129">
        <v>0</v>
      </c>
      <c r="W136" s="129">
        <v>0</v>
      </c>
      <c r="X136" s="129">
        <v>-207213046</v>
      </c>
      <c r="Y136" s="129">
        <v>12642427</v>
      </c>
      <c r="Z136" s="129">
        <v>-68729076</v>
      </c>
      <c r="AA136" s="662" t="s">
        <v>140</v>
      </c>
      <c r="AB136" s="324" t="s">
        <v>576</v>
      </c>
      <c r="AC136" s="669" t="s">
        <v>485</v>
      </c>
      <c r="AD136" s="529" t="s">
        <v>1343</v>
      </c>
    </row>
    <row r="137" spans="1:30" ht="12.75" x14ac:dyDescent="0.2">
      <c r="A137" s="664">
        <v>130</v>
      </c>
      <c r="B137" s="665" t="s">
        <v>143</v>
      </c>
      <c r="C137" s="666" t="s">
        <v>1201</v>
      </c>
      <c r="D137" s="667" t="s">
        <v>1211</v>
      </c>
      <c r="E137" s="668" t="s">
        <v>142</v>
      </c>
      <c r="F137" s="129">
        <v>-747953</v>
      </c>
      <c r="G137" s="129">
        <v>40638796</v>
      </c>
      <c r="H137" s="129">
        <v>0</v>
      </c>
      <c r="I137" s="129">
        <v>-150000</v>
      </c>
      <c r="J137" s="129">
        <v>0</v>
      </c>
      <c r="K137" s="129">
        <v>-850000</v>
      </c>
      <c r="L137" s="129">
        <v>39638796</v>
      </c>
      <c r="M137" s="129">
        <v>0</v>
      </c>
      <c r="N137" s="129">
        <v>0</v>
      </c>
      <c r="O137" s="129">
        <v>0</v>
      </c>
      <c r="P137" s="129">
        <v>0</v>
      </c>
      <c r="Q137" s="129">
        <v>0</v>
      </c>
      <c r="R137" s="129">
        <v>-31689611</v>
      </c>
      <c r="S137" s="129">
        <v>-6337922</v>
      </c>
      <c r="T137" s="129">
        <v>-25351678</v>
      </c>
      <c r="U137" s="129">
        <v>-1939475</v>
      </c>
      <c r="V137" s="129">
        <v>-218087</v>
      </c>
      <c r="W137" s="129">
        <v>0</v>
      </c>
      <c r="X137" s="129">
        <v>-65536773</v>
      </c>
      <c r="Y137" s="129">
        <v>3148015</v>
      </c>
      <c r="Z137" s="129">
        <v>-23497915</v>
      </c>
      <c r="AA137" s="662" t="s">
        <v>142</v>
      </c>
      <c r="AB137" s="324" t="s">
        <v>503</v>
      </c>
      <c r="AC137" s="663" t="s">
        <v>502</v>
      </c>
      <c r="AD137" s="529" t="s">
        <v>1344</v>
      </c>
    </row>
    <row r="138" spans="1:30" ht="12.75" x14ac:dyDescent="0.2">
      <c r="A138" s="664">
        <v>131</v>
      </c>
      <c r="B138" s="665" t="s">
        <v>145</v>
      </c>
      <c r="C138" s="666" t="s">
        <v>1201</v>
      </c>
      <c r="D138" s="667" t="s">
        <v>1204</v>
      </c>
      <c r="E138" s="668" t="s">
        <v>144</v>
      </c>
      <c r="F138" s="129">
        <v>1106495</v>
      </c>
      <c r="G138" s="129">
        <v>12424795</v>
      </c>
      <c r="H138" s="129">
        <v>0</v>
      </c>
      <c r="I138" s="129">
        <v>-1553454</v>
      </c>
      <c r="J138" s="129">
        <v>85659</v>
      </c>
      <c r="K138" s="129">
        <v>-1594560</v>
      </c>
      <c r="L138" s="129">
        <v>9362440</v>
      </c>
      <c r="M138" s="129">
        <v>106511</v>
      </c>
      <c r="N138" s="129">
        <v>0</v>
      </c>
      <c r="O138" s="129">
        <v>0</v>
      </c>
      <c r="P138" s="129">
        <v>106511</v>
      </c>
      <c r="Q138" s="129">
        <v>-580823</v>
      </c>
      <c r="R138" s="129">
        <v>-8426404</v>
      </c>
      <c r="S138" s="129">
        <v>-1685281</v>
      </c>
      <c r="T138" s="129">
        <v>-6741123</v>
      </c>
      <c r="U138" s="129">
        <v>-121029</v>
      </c>
      <c r="V138" s="129">
        <v>0</v>
      </c>
      <c r="W138" s="129">
        <v>-734678</v>
      </c>
      <c r="X138" s="129">
        <v>-18289338</v>
      </c>
      <c r="Y138" s="129">
        <v>113496</v>
      </c>
      <c r="Z138" s="129">
        <v>-7600396</v>
      </c>
      <c r="AA138" s="662" t="s">
        <v>144</v>
      </c>
      <c r="AB138" s="324" t="s">
        <v>547</v>
      </c>
      <c r="AC138" s="663" t="s">
        <v>545</v>
      </c>
      <c r="AD138" s="529" t="s">
        <v>1345</v>
      </c>
    </row>
    <row r="139" spans="1:30" ht="12.75" x14ac:dyDescent="0.2">
      <c r="A139" s="664">
        <v>132</v>
      </c>
      <c r="B139" s="665" t="s">
        <v>147</v>
      </c>
      <c r="C139" s="666" t="s">
        <v>1201</v>
      </c>
      <c r="D139" s="667" t="s">
        <v>1211</v>
      </c>
      <c r="E139" s="668" t="s">
        <v>146</v>
      </c>
      <c r="F139" s="129">
        <v>-3428167</v>
      </c>
      <c r="G139" s="129">
        <v>29152756</v>
      </c>
      <c r="H139" s="129">
        <v>0</v>
      </c>
      <c r="I139" s="129">
        <v>-109646</v>
      </c>
      <c r="J139" s="129">
        <v>929439</v>
      </c>
      <c r="K139" s="129">
        <v>-2553325</v>
      </c>
      <c r="L139" s="129">
        <v>27419224</v>
      </c>
      <c r="M139" s="129">
        <v>0</v>
      </c>
      <c r="N139" s="129">
        <v>119413</v>
      </c>
      <c r="O139" s="129">
        <v>1850288</v>
      </c>
      <c r="P139" s="129">
        <v>1969701</v>
      </c>
      <c r="Q139" s="129">
        <v>-512636</v>
      </c>
      <c r="R139" s="129">
        <v>-27401957</v>
      </c>
      <c r="S139" s="129">
        <v>-5480391</v>
      </c>
      <c r="T139" s="129">
        <v>-21921566</v>
      </c>
      <c r="U139" s="129">
        <v>-822003</v>
      </c>
      <c r="V139" s="129">
        <v>0</v>
      </c>
      <c r="W139" s="129">
        <v>0</v>
      </c>
      <c r="X139" s="129">
        <v>-56138553</v>
      </c>
      <c r="Y139" s="129">
        <v>1589533</v>
      </c>
      <c r="Z139" s="129">
        <v>-28588262</v>
      </c>
      <c r="AA139" s="662" t="s">
        <v>146</v>
      </c>
      <c r="AB139" s="324" t="s">
        <v>565</v>
      </c>
      <c r="AC139" s="663" t="s">
        <v>512</v>
      </c>
      <c r="AD139" s="529" t="s">
        <v>1346</v>
      </c>
    </row>
    <row r="140" spans="1:30" ht="12.75" x14ac:dyDescent="0.2">
      <c r="A140" s="664">
        <v>133</v>
      </c>
      <c r="B140" s="665" t="s">
        <v>148</v>
      </c>
      <c r="C140" s="666" t="s">
        <v>486</v>
      </c>
      <c r="D140" s="667" t="s">
        <v>1202</v>
      </c>
      <c r="E140" s="668" t="s">
        <v>820</v>
      </c>
      <c r="F140" s="129">
        <v>-41140</v>
      </c>
      <c r="G140" s="129">
        <v>16288606</v>
      </c>
      <c r="H140" s="129">
        <v>0</v>
      </c>
      <c r="I140" s="129">
        <v>-1038513</v>
      </c>
      <c r="J140" s="129">
        <v>912751</v>
      </c>
      <c r="K140" s="129">
        <v>-3805691</v>
      </c>
      <c r="L140" s="129">
        <v>12357153</v>
      </c>
      <c r="M140" s="129">
        <v>308174</v>
      </c>
      <c r="N140" s="129">
        <v>0</v>
      </c>
      <c r="O140" s="129">
        <v>0</v>
      </c>
      <c r="P140" s="129">
        <v>308174</v>
      </c>
      <c r="Q140" s="129">
        <v>0</v>
      </c>
      <c r="R140" s="129">
        <v>-19517217</v>
      </c>
      <c r="S140" s="129">
        <v>0</v>
      </c>
      <c r="T140" s="129">
        <v>-19517217</v>
      </c>
      <c r="U140" s="129">
        <v>-544499</v>
      </c>
      <c r="V140" s="129">
        <v>-40273</v>
      </c>
      <c r="W140" s="129">
        <v>-404105</v>
      </c>
      <c r="X140" s="129">
        <v>-40023311</v>
      </c>
      <c r="Y140" s="129">
        <v>2229799</v>
      </c>
      <c r="Z140" s="129">
        <v>-25169325</v>
      </c>
      <c r="AA140" s="662" t="s">
        <v>820</v>
      </c>
      <c r="AB140" s="324" t="s">
        <v>486</v>
      </c>
      <c r="AC140" s="663" t="s">
        <v>1914</v>
      </c>
      <c r="AD140" s="529" t="s">
        <v>1347</v>
      </c>
    </row>
    <row r="141" spans="1:30" ht="12.75" x14ac:dyDescent="0.2">
      <c r="A141" s="664">
        <v>134</v>
      </c>
      <c r="B141" s="665" t="s">
        <v>149</v>
      </c>
      <c r="C141" s="666" t="s">
        <v>486</v>
      </c>
      <c r="D141" s="667" t="s">
        <v>1224</v>
      </c>
      <c r="E141" s="668" t="s">
        <v>821</v>
      </c>
      <c r="F141" s="129">
        <v>186718</v>
      </c>
      <c r="G141" s="129">
        <v>295831</v>
      </c>
      <c r="H141" s="129">
        <v>0</v>
      </c>
      <c r="I141" s="129">
        <v>-30000</v>
      </c>
      <c r="J141" s="129">
        <v>0</v>
      </c>
      <c r="K141" s="129">
        <v>-161000</v>
      </c>
      <c r="L141" s="129">
        <v>104831</v>
      </c>
      <c r="M141" s="129">
        <v>0</v>
      </c>
      <c r="N141" s="129">
        <v>0</v>
      </c>
      <c r="O141" s="129">
        <v>0</v>
      </c>
      <c r="P141" s="129">
        <v>0</v>
      </c>
      <c r="Q141" s="129">
        <v>-2394</v>
      </c>
      <c r="R141" s="129">
        <v>-763098</v>
      </c>
      <c r="S141" s="129">
        <v>0</v>
      </c>
      <c r="T141" s="129">
        <v>-763098</v>
      </c>
      <c r="U141" s="129">
        <v>0</v>
      </c>
      <c r="V141" s="129">
        <v>-24286</v>
      </c>
      <c r="W141" s="129">
        <v>-60000</v>
      </c>
      <c r="X141" s="129">
        <v>-1612876</v>
      </c>
      <c r="Y141" s="129">
        <v>203855</v>
      </c>
      <c r="Z141" s="129">
        <v>-1117472</v>
      </c>
      <c r="AA141" s="662" t="s">
        <v>821</v>
      </c>
      <c r="AB141" s="324" t="s">
        <v>486</v>
      </c>
      <c r="AC141" s="663" t="s">
        <v>512</v>
      </c>
      <c r="AD141" s="529" t="s">
        <v>1348</v>
      </c>
    </row>
    <row r="142" spans="1:30" ht="12.75" x14ac:dyDescent="0.2">
      <c r="A142" s="664">
        <v>135</v>
      </c>
      <c r="B142" s="665" t="s">
        <v>151</v>
      </c>
      <c r="C142" s="666" t="s">
        <v>1257</v>
      </c>
      <c r="D142" s="667" t="s">
        <v>1214</v>
      </c>
      <c r="E142" s="668" t="s">
        <v>150</v>
      </c>
      <c r="F142" s="129">
        <v>13757159</v>
      </c>
      <c r="G142" s="129">
        <v>231851200</v>
      </c>
      <c r="H142" s="129">
        <v>-10037148</v>
      </c>
      <c r="I142" s="129">
        <v>0</v>
      </c>
      <c r="J142" s="129">
        <v>8742085</v>
      </c>
      <c r="K142" s="129">
        <v>-26726247</v>
      </c>
      <c r="L142" s="129">
        <v>203829890</v>
      </c>
      <c r="M142" s="129">
        <v>1182445</v>
      </c>
      <c r="N142" s="129">
        <v>0</v>
      </c>
      <c r="O142" s="129">
        <v>0</v>
      </c>
      <c r="P142" s="129">
        <v>1182445</v>
      </c>
      <c r="Q142" s="129">
        <v>0</v>
      </c>
      <c r="R142" s="129">
        <v>-96145534</v>
      </c>
      <c r="S142" s="129">
        <v>-107799538</v>
      </c>
      <c r="T142" s="129">
        <v>-87405031</v>
      </c>
      <c r="U142" s="129">
        <v>-803047</v>
      </c>
      <c r="V142" s="129">
        <v>0</v>
      </c>
      <c r="W142" s="129">
        <v>-11273134</v>
      </c>
      <c r="X142" s="129">
        <v>-303426284</v>
      </c>
      <c r="Y142" s="129">
        <v>7342177</v>
      </c>
      <c r="Z142" s="129">
        <v>-77314613</v>
      </c>
      <c r="AA142" s="662" t="s">
        <v>150</v>
      </c>
      <c r="AB142" s="324" t="s">
        <v>576</v>
      </c>
      <c r="AC142" s="669" t="s">
        <v>485</v>
      </c>
      <c r="AD142" s="529" t="s">
        <v>1349</v>
      </c>
    </row>
    <row r="143" spans="1:30" ht="12.75" x14ac:dyDescent="0.2">
      <c r="A143" s="664">
        <v>136</v>
      </c>
      <c r="B143" s="665" t="s">
        <v>153</v>
      </c>
      <c r="C143" s="666" t="s">
        <v>1257</v>
      </c>
      <c r="D143" s="667" t="s">
        <v>1214</v>
      </c>
      <c r="E143" s="668" t="s">
        <v>152</v>
      </c>
      <c r="F143" s="129">
        <v>13900715</v>
      </c>
      <c r="G143" s="129">
        <v>112505256</v>
      </c>
      <c r="H143" s="129">
        <v>0</v>
      </c>
      <c r="I143" s="129">
        <v>-32972938</v>
      </c>
      <c r="J143" s="129">
        <v>7500000</v>
      </c>
      <c r="K143" s="129">
        <v>-11131013</v>
      </c>
      <c r="L143" s="129">
        <v>75901305</v>
      </c>
      <c r="M143" s="129">
        <v>0</v>
      </c>
      <c r="N143" s="129">
        <v>0</v>
      </c>
      <c r="O143" s="129">
        <v>0</v>
      </c>
      <c r="P143" s="129">
        <v>0</v>
      </c>
      <c r="Q143" s="129">
        <v>-1022548</v>
      </c>
      <c r="R143" s="129">
        <v>-113720881</v>
      </c>
      <c r="S143" s="129">
        <v>-127505231</v>
      </c>
      <c r="T143" s="129">
        <v>-104016165</v>
      </c>
      <c r="U143" s="129">
        <v>0</v>
      </c>
      <c r="V143" s="129">
        <v>0</v>
      </c>
      <c r="W143" s="129">
        <v>-8014344</v>
      </c>
      <c r="X143" s="129">
        <v>-354279169</v>
      </c>
      <c r="Y143" s="129">
        <v>28672635</v>
      </c>
      <c r="Z143" s="129">
        <v>-235804514</v>
      </c>
      <c r="AA143" s="662" t="s">
        <v>152</v>
      </c>
      <c r="AB143" s="324" t="s">
        <v>576</v>
      </c>
      <c r="AC143" s="669" t="s">
        <v>485</v>
      </c>
      <c r="AD143" s="529" t="s">
        <v>1350</v>
      </c>
    </row>
    <row r="144" spans="1:30" ht="12.75" x14ac:dyDescent="0.2">
      <c r="A144" s="664">
        <v>137</v>
      </c>
      <c r="B144" s="665" t="s">
        <v>155</v>
      </c>
      <c r="C144" s="666" t="s">
        <v>1201</v>
      </c>
      <c r="D144" s="667" t="s">
        <v>1211</v>
      </c>
      <c r="E144" s="668" t="s">
        <v>823</v>
      </c>
      <c r="F144" s="129">
        <v>1446167</v>
      </c>
      <c r="G144" s="129">
        <v>27848304</v>
      </c>
      <c r="H144" s="129">
        <v>0</v>
      </c>
      <c r="I144" s="129">
        <v>-528760</v>
      </c>
      <c r="J144" s="129">
        <v>1000000</v>
      </c>
      <c r="K144" s="129">
        <v>-582395</v>
      </c>
      <c r="L144" s="129">
        <v>27737149</v>
      </c>
      <c r="M144" s="129">
        <v>0</v>
      </c>
      <c r="N144" s="129">
        <v>72706</v>
      </c>
      <c r="O144" s="129">
        <v>0</v>
      </c>
      <c r="P144" s="129">
        <v>72706</v>
      </c>
      <c r="Q144" s="129">
        <v>-130409</v>
      </c>
      <c r="R144" s="129">
        <v>-21941026</v>
      </c>
      <c r="S144" s="129">
        <v>-4399642</v>
      </c>
      <c r="T144" s="129">
        <v>-17598567</v>
      </c>
      <c r="U144" s="129">
        <v>-2934911</v>
      </c>
      <c r="V144" s="129">
        <v>0</v>
      </c>
      <c r="W144" s="129">
        <v>-1544381</v>
      </c>
      <c r="X144" s="129">
        <v>-48548936</v>
      </c>
      <c r="Y144" s="129">
        <v>0</v>
      </c>
      <c r="Z144" s="129">
        <v>-19292914</v>
      </c>
      <c r="AA144" s="662" t="s">
        <v>823</v>
      </c>
      <c r="AB144" s="324" t="s">
        <v>553</v>
      </c>
      <c r="AC144" s="663" t="s">
        <v>512</v>
      </c>
      <c r="AD144" s="529" t="s">
        <v>1351</v>
      </c>
    </row>
    <row r="145" spans="1:30" ht="12.75" x14ac:dyDescent="0.2">
      <c r="A145" s="664">
        <v>138</v>
      </c>
      <c r="B145" s="665" t="s">
        <v>157</v>
      </c>
      <c r="C145" s="666" t="s">
        <v>486</v>
      </c>
      <c r="D145" s="667" t="s">
        <v>1218</v>
      </c>
      <c r="E145" s="668" t="s">
        <v>819</v>
      </c>
      <c r="F145" s="129">
        <v>-7157501</v>
      </c>
      <c r="G145" s="129">
        <v>51375394</v>
      </c>
      <c r="H145" s="129">
        <v>-129004</v>
      </c>
      <c r="I145" s="129">
        <v>-5000000</v>
      </c>
      <c r="J145" s="129">
        <v>0</v>
      </c>
      <c r="K145" s="129">
        <v>-10000000</v>
      </c>
      <c r="L145" s="129">
        <v>36246390</v>
      </c>
      <c r="M145" s="129">
        <v>787838</v>
      </c>
      <c r="N145" s="129">
        <v>0</v>
      </c>
      <c r="O145" s="129">
        <v>11447175</v>
      </c>
      <c r="P145" s="129">
        <v>12235013</v>
      </c>
      <c r="Q145" s="129">
        <v>0</v>
      </c>
      <c r="R145" s="129">
        <v>-41417238</v>
      </c>
      <c r="S145" s="129">
        <v>-830011</v>
      </c>
      <c r="T145" s="129">
        <v>-40670526</v>
      </c>
      <c r="U145" s="129">
        <v>0</v>
      </c>
      <c r="V145" s="129">
        <v>-3600000</v>
      </c>
      <c r="W145" s="129">
        <v>0</v>
      </c>
      <c r="X145" s="129">
        <v>-86517775</v>
      </c>
      <c r="Y145" s="129">
        <v>6117157</v>
      </c>
      <c r="Z145" s="129">
        <v>-39076716</v>
      </c>
      <c r="AA145" s="662" t="s">
        <v>819</v>
      </c>
      <c r="AB145" s="324" t="s">
        <v>486</v>
      </c>
      <c r="AC145" s="663" t="s">
        <v>538</v>
      </c>
      <c r="AD145" s="529" t="s">
        <v>1352</v>
      </c>
    </row>
    <row r="146" spans="1:30" ht="12.75" x14ac:dyDescent="0.2">
      <c r="A146" s="664">
        <v>139</v>
      </c>
      <c r="B146" s="665" t="s">
        <v>159</v>
      </c>
      <c r="C146" s="666" t="s">
        <v>1213</v>
      </c>
      <c r="D146" s="667" t="s">
        <v>1214</v>
      </c>
      <c r="E146" s="668" t="s">
        <v>158</v>
      </c>
      <c r="F146" s="129">
        <v>-2267485</v>
      </c>
      <c r="G146" s="129">
        <v>36552160</v>
      </c>
      <c r="H146" s="129">
        <v>-200000</v>
      </c>
      <c r="I146" s="129">
        <v>-4507979</v>
      </c>
      <c r="J146" s="129">
        <v>4104361</v>
      </c>
      <c r="K146" s="129">
        <v>-15518775</v>
      </c>
      <c r="L146" s="129">
        <v>20429767</v>
      </c>
      <c r="M146" s="129">
        <v>0</v>
      </c>
      <c r="N146" s="129">
        <v>0</v>
      </c>
      <c r="O146" s="129">
        <v>3073821</v>
      </c>
      <c r="P146" s="129">
        <v>3073821</v>
      </c>
      <c r="Q146" s="129">
        <v>-68894</v>
      </c>
      <c r="R146" s="129">
        <v>-28437282</v>
      </c>
      <c r="S146" s="129">
        <v>-31884226</v>
      </c>
      <c r="T146" s="129">
        <v>-25852075</v>
      </c>
      <c r="U146" s="129">
        <v>0</v>
      </c>
      <c r="V146" s="129">
        <v>-234417</v>
      </c>
      <c r="W146" s="129">
        <v>0</v>
      </c>
      <c r="X146" s="129">
        <v>-86476894</v>
      </c>
      <c r="Y146" s="129">
        <v>12340076</v>
      </c>
      <c r="Z146" s="129">
        <v>-52900715</v>
      </c>
      <c r="AA146" s="662" t="s">
        <v>158</v>
      </c>
      <c r="AB146" s="324" t="s">
        <v>576</v>
      </c>
      <c r="AC146" s="669" t="s">
        <v>485</v>
      </c>
      <c r="AD146" s="529" t="s">
        <v>1353</v>
      </c>
    </row>
    <row r="147" spans="1:30" ht="12.75" x14ac:dyDescent="0.2">
      <c r="A147" s="664">
        <v>140</v>
      </c>
      <c r="B147" s="665" t="s">
        <v>161</v>
      </c>
      <c r="C147" s="666" t="s">
        <v>1217</v>
      </c>
      <c r="D147" s="667" t="s">
        <v>1218</v>
      </c>
      <c r="E147" s="668" t="s">
        <v>160</v>
      </c>
      <c r="F147" s="129">
        <v>4373730</v>
      </c>
      <c r="G147" s="129">
        <v>56019638</v>
      </c>
      <c r="H147" s="129">
        <v>0</v>
      </c>
      <c r="I147" s="129">
        <v>-3350000</v>
      </c>
      <c r="J147" s="129">
        <v>3074201</v>
      </c>
      <c r="K147" s="129">
        <v>-4900000</v>
      </c>
      <c r="L147" s="129">
        <v>50843839</v>
      </c>
      <c r="M147" s="129">
        <v>0</v>
      </c>
      <c r="N147" s="129">
        <v>0</v>
      </c>
      <c r="O147" s="129">
        <v>0</v>
      </c>
      <c r="P147" s="129">
        <v>0</v>
      </c>
      <c r="Q147" s="129">
        <v>-834061</v>
      </c>
      <c r="R147" s="129">
        <v>-52441214</v>
      </c>
      <c r="S147" s="129">
        <v>-1051977</v>
      </c>
      <c r="T147" s="129">
        <v>-51546891</v>
      </c>
      <c r="U147" s="129">
        <v>-1047501</v>
      </c>
      <c r="V147" s="129">
        <v>0</v>
      </c>
      <c r="W147" s="129">
        <v>-3957550</v>
      </c>
      <c r="X147" s="129">
        <v>-110879194</v>
      </c>
      <c r="Y147" s="129">
        <v>5218339</v>
      </c>
      <c r="Z147" s="129">
        <v>-50443285</v>
      </c>
      <c r="AA147" s="662" t="s">
        <v>160</v>
      </c>
      <c r="AB147" s="324" t="s">
        <v>570</v>
      </c>
      <c r="AC147" s="663" t="s">
        <v>575</v>
      </c>
      <c r="AD147" s="529" t="s">
        <v>1354</v>
      </c>
    </row>
    <row r="148" spans="1:30" ht="12.75" x14ac:dyDescent="0.2">
      <c r="A148" s="664">
        <v>141</v>
      </c>
      <c r="B148" s="665" t="s">
        <v>163</v>
      </c>
      <c r="C148" s="666" t="s">
        <v>1217</v>
      </c>
      <c r="D148" s="667" t="s">
        <v>1204</v>
      </c>
      <c r="E148" s="668" t="s">
        <v>162</v>
      </c>
      <c r="F148" s="129">
        <v>4420023</v>
      </c>
      <c r="G148" s="129">
        <v>35734504</v>
      </c>
      <c r="H148" s="129">
        <v>0</v>
      </c>
      <c r="I148" s="129">
        <v>0</v>
      </c>
      <c r="J148" s="129">
        <v>831029</v>
      </c>
      <c r="K148" s="129">
        <v>-5449205</v>
      </c>
      <c r="L148" s="129">
        <v>31116328</v>
      </c>
      <c r="M148" s="129">
        <v>0</v>
      </c>
      <c r="N148" s="129">
        <v>2644</v>
      </c>
      <c r="O148" s="129">
        <v>0</v>
      </c>
      <c r="P148" s="129">
        <v>2644</v>
      </c>
      <c r="Q148" s="129">
        <v>-297498</v>
      </c>
      <c r="R148" s="129">
        <v>0</v>
      </c>
      <c r="S148" s="129">
        <v>-469460</v>
      </c>
      <c r="T148" s="129">
        <v>-46476540</v>
      </c>
      <c r="U148" s="129">
        <v>-134565</v>
      </c>
      <c r="V148" s="129">
        <v>0</v>
      </c>
      <c r="W148" s="129">
        <v>-4422667</v>
      </c>
      <c r="X148" s="129">
        <v>-51800730</v>
      </c>
      <c r="Y148" s="129">
        <v>3626555</v>
      </c>
      <c r="Z148" s="129">
        <v>-12635180</v>
      </c>
      <c r="AA148" s="662" t="s">
        <v>162</v>
      </c>
      <c r="AB148" s="324" t="s">
        <v>570</v>
      </c>
      <c r="AC148" s="663" t="s">
        <v>571</v>
      </c>
      <c r="AD148" s="529" t="s">
        <v>1355</v>
      </c>
    </row>
    <row r="149" spans="1:30" ht="12.75" x14ac:dyDescent="0.2">
      <c r="A149" s="664">
        <v>142</v>
      </c>
      <c r="B149" s="665" t="s">
        <v>165</v>
      </c>
      <c r="C149" s="666" t="s">
        <v>1257</v>
      </c>
      <c r="D149" s="667" t="s">
        <v>1214</v>
      </c>
      <c r="E149" s="668" t="s">
        <v>164</v>
      </c>
      <c r="F149" s="129">
        <v>8704705</v>
      </c>
      <c r="G149" s="129">
        <v>99030692</v>
      </c>
      <c r="H149" s="129">
        <v>0</v>
      </c>
      <c r="I149" s="129">
        <v>-750000</v>
      </c>
      <c r="J149" s="129">
        <v>6500000</v>
      </c>
      <c r="K149" s="129">
        <v>-14000000</v>
      </c>
      <c r="L149" s="129">
        <v>90780692</v>
      </c>
      <c r="M149" s="129">
        <v>1949272</v>
      </c>
      <c r="N149" s="129">
        <v>0</v>
      </c>
      <c r="O149" s="129">
        <v>0</v>
      </c>
      <c r="P149" s="129">
        <v>1949272</v>
      </c>
      <c r="Q149" s="129">
        <v>0</v>
      </c>
      <c r="R149" s="129">
        <v>-57555056</v>
      </c>
      <c r="S149" s="129">
        <v>-64531427</v>
      </c>
      <c r="T149" s="129">
        <v>-52322778</v>
      </c>
      <c r="U149" s="129">
        <v>-595675</v>
      </c>
      <c r="V149" s="129">
        <v>0</v>
      </c>
      <c r="W149" s="129">
        <v>-11121970</v>
      </c>
      <c r="X149" s="129">
        <v>-186126906</v>
      </c>
      <c r="Y149" s="129">
        <v>0</v>
      </c>
      <c r="Z149" s="129">
        <v>-84692237</v>
      </c>
      <c r="AA149" s="662" t="s">
        <v>164</v>
      </c>
      <c r="AB149" s="324" t="s">
        <v>576</v>
      </c>
      <c r="AC149" s="669" t="s">
        <v>485</v>
      </c>
      <c r="AD149" s="529" t="s">
        <v>1356</v>
      </c>
    </row>
    <row r="150" spans="1:30" ht="12.75" x14ac:dyDescent="0.2">
      <c r="A150" s="664">
        <v>143</v>
      </c>
      <c r="B150" s="665" t="s">
        <v>167</v>
      </c>
      <c r="C150" s="666" t="s">
        <v>1201</v>
      </c>
      <c r="D150" s="667" t="s">
        <v>1204</v>
      </c>
      <c r="E150" s="668" t="s">
        <v>166</v>
      </c>
      <c r="F150" s="129">
        <v>-2712055</v>
      </c>
      <c r="G150" s="129">
        <v>51985349</v>
      </c>
      <c r="H150" s="129">
        <v>-400000</v>
      </c>
      <c r="I150" s="129">
        <v>0</v>
      </c>
      <c r="J150" s="129">
        <v>0</v>
      </c>
      <c r="K150" s="129">
        <v>-4539133</v>
      </c>
      <c r="L150" s="129">
        <v>47046216</v>
      </c>
      <c r="M150" s="129">
        <v>4528</v>
      </c>
      <c r="N150" s="129">
        <v>0</v>
      </c>
      <c r="O150" s="129">
        <v>0</v>
      </c>
      <c r="P150" s="129">
        <v>4528</v>
      </c>
      <c r="Q150" s="129">
        <v>0</v>
      </c>
      <c r="R150" s="129">
        <v>-32211622</v>
      </c>
      <c r="S150" s="129">
        <v>-6442324</v>
      </c>
      <c r="T150" s="129">
        <v>-25769298</v>
      </c>
      <c r="U150" s="129">
        <v>-3025779</v>
      </c>
      <c r="V150" s="129">
        <v>-210405</v>
      </c>
      <c r="W150" s="129">
        <v>-2958397</v>
      </c>
      <c r="X150" s="129">
        <v>-70617825</v>
      </c>
      <c r="Y150" s="129">
        <v>2215966</v>
      </c>
      <c r="Z150" s="129">
        <v>-24063170</v>
      </c>
      <c r="AA150" s="662" t="s">
        <v>166</v>
      </c>
      <c r="AB150" s="324" t="s">
        <v>547</v>
      </c>
      <c r="AC150" s="663" t="s">
        <v>545</v>
      </c>
      <c r="AD150" s="529" t="s">
        <v>1357</v>
      </c>
    </row>
    <row r="151" spans="1:30" ht="12.75" x14ac:dyDescent="0.2">
      <c r="A151" s="664">
        <v>144</v>
      </c>
      <c r="B151" s="665" t="s">
        <v>169</v>
      </c>
      <c r="C151" s="666" t="s">
        <v>1217</v>
      </c>
      <c r="D151" s="667" t="s">
        <v>1218</v>
      </c>
      <c r="E151" s="668" t="s">
        <v>168</v>
      </c>
      <c r="F151" s="129">
        <v>-10402010</v>
      </c>
      <c r="G151" s="129">
        <v>194018176</v>
      </c>
      <c r="H151" s="129">
        <v>0</v>
      </c>
      <c r="I151" s="129">
        <v>-18173000</v>
      </c>
      <c r="J151" s="129">
        <v>5907984</v>
      </c>
      <c r="K151" s="129">
        <v>-29037000</v>
      </c>
      <c r="L151" s="129">
        <v>152716160</v>
      </c>
      <c r="M151" s="129">
        <v>0</v>
      </c>
      <c r="N151" s="129">
        <v>99770</v>
      </c>
      <c r="O151" s="129">
        <v>5501450</v>
      </c>
      <c r="P151" s="129">
        <v>5601220</v>
      </c>
      <c r="Q151" s="129">
        <v>-4331000</v>
      </c>
      <c r="R151" s="129">
        <v>-187411713</v>
      </c>
      <c r="S151" s="129">
        <v>-3748234</v>
      </c>
      <c r="T151" s="129">
        <v>-183663479</v>
      </c>
      <c r="U151" s="129">
        <v>-3640380</v>
      </c>
      <c r="V151" s="129">
        <v>0</v>
      </c>
      <c r="W151" s="129">
        <v>0</v>
      </c>
      <c r="X151" s="129">
        <v>-382794806</v>
      </c>
      <c r="Y151" s="129">
        <v>49916949</v>
      </c>
      <c r="Z151" s="129">
        <v>-184962487</v>
      </c>
      <c r="AA151" s="662" t="s">
        <v>168</v>
      </c>
      <c r="AB151" s="324" t="s">
        <v>570</v>
      </c>
      <c r="AC151" s="663" t="s">
        <v>575</v>
      </c>
      <c r="AD151" s="529" t="s">
        <v>1358</v>
      </c>
    </row>
    <row r="152" spans="1:30" ht="12.75" x14ac:dyDescent="0.2">
      <c r="A152" s="664">
        <v>145</v>
      </c>
      <c r="B152" s="665" t="s">
        <v>171</v>
      </c>
      <c r="C152" s="666" t="s">
        <v>486</v>
      </c>
      <c r="D152" s="667" t="s">
        <v>1206</v>
      </c>
      <c r="E152" s="668" t="s">
        <v>548</v>
      </c>
      <c r="F152" s="129">
        <v>1760488</v>
      </c>
      <c r="G152" s="129">
        <v>63512714</v>
      </c>
      <c r="H152" s="129">
        <v>0</v>
      </c>
      <c r="I152" s="129">
        <v>-2215010</v>
      </c>
      <c r="J152" s="129">
        <v>4725031</v>
      </c>
      <c r="K152" s="129">
        <v>-9488330</v>
      </c>
      <c r="L152" s="129">
        <v>56534405</v>
      </c>
      <c r="M152" s="129">
        <v>1582231</v>
      </c>
      <c r="N152" s="129">
        <v>0</v>
      </c>
      <c r="O152" s="129">
        <v>0</v>
      </c>
      <c r="P152" s="129">
        <v>1582231</v>
      </c>
      <c r="Q152" s="129">
        <v>-267109</v>
      </c>
      <c r="R152" s="129">
        <v>-56956952</v>
      </c>
      <c r="S152" s="129">
        <v>-1139139</v>
      </c>
      <c r="T152" s="129">
        <v>-55817812</v>
      </c>
      <c r="U152" s="129">
        <v>-482689</v>
      </c>
      <c r="V152" s="129">
        <v>0</v>
      </c>
      <c r="W152" s="129">
        <v>-2006366</v>
      </c>
      <c r="X152" s="129">
        <v>-116670067</v>
      </c>
      <c r="Y152" s="129">
        <v>7318979</v>
      </c>
      <c r="Z152" s="129">
        <v>-49473964</v>
      </c>
      <c r="AA152" s="662" t="s">
        <v>548</v>
      </c>
      <c r="AB152" s="324" t="s">
        <v>486</v>
      </c>
      <c r="AC152" s="663" t="s">
        <v>549</v>
      </c>
      <c r="AD152" s="529" t="s">
        <v>1359</v>
      </c>
    </row>
    <row r="153" spans="1:30" ht="12.75" x14ac:dyDescent="0.2">
      <c r="A153" s="664">
        <v>146</v>
      </c>
      <c r="B153" s="665" t="s">
        <v>173</v>
      </c>
      <c r="C153" s="666" t="s">
        <v>1201</v>
      </c>
      <c r="D153" s="667" t="s">
        <v>1202</v>
      </c>
      <c r="E153" s="668" t="s">
        <v>172</v>
      </c>
      <c r="F153" s="129">
        <v>1454854</v>
      </c>
      <c r="G153" s="129">
        <v>15893760</v>
      </c>
      <c r="H153" s="129">
        <v>-15774</v>
      </c>
      <c r="I153" s="129">
        <v>-124527</v>
      </c>
      <c r="J153" s="129">
        <v>0</v>
      </c>
      <c r="K153" s="129">
        <v>-653474</v>
      </c>
      <c r="L153" s="129">
        <v>15099985</v>
      </c>
      <c r="M153" s="129">
        <v>210128</v>
      </c>
      <c r="N153" s="129">
        <v>0</v>
      </c>
      <c r="O153" s="129">
        <v>0</v>
      </c>
      <c r="P153" s="129">
        <v>210128</v>
      </c>
      <c r="Q153" s="129">
        <v>0</v>
      </c>
      <c r="R153" s="129">
        <v>-12079105</v>
      </c>
      <c r="S153" s="129">
        <v>-2499202</v>
      </c>
      <c r="T153" s="129">
        <v>-9996808</v>
      </c>
      <c r="U153" s="129">
        <v>-720911</v>
      </c>
      <c r="V153" s="129">
        <v>-135758</v>
      </c>
      <c r="W153" s="129">
        <v>-153972</v>
      </c>
      <c r="X153" s="129">
        <v>-25585756</v>
      </c>
      <c r="Y153" s="129">
        <v>97350</v>
      </c>
      <c r="Z153" s="129">
        <v>-8723439</v>
      </c>
      <c r="AA153" s="662" t="s">
        <v>172</v>
      </c>
      <c r="AB153" s="324" t="s">
        <v>525</v>
      </c>
      <c r="AC153" s="663" t="s">
        <v>524</v>
      </c>
      <c r="AD153" s="529" t="s">
        <v>1360</v>
      </c>
    </row>
    <row r="154" spans="1:30" ht="12.75" x14ac:dyDescent="0.2">
      <c r="A154" s="664">
        <v>147</v>
      </c>
      <c r="B154" s="665" t="s">
        <v>175</v>
      </c>
      <c r="C154" s="666" t="s">
        <v>1257</v>
      </c>
      <c r="D154" s="667" t="s">
        <v>1214</v>
      </c>
      <c r="E154" s="668" t="s">
        <v>174</v>
      </c>
      <c r="F154" s="129">
        <v>-3467447</v>
      </c>
      <c r="G154" s="129">
        <v>34215452</v>
      </c>
      <c r="H154" s="129">
        <v>0</v>
      </c>
      <c r="I154" s="129">
        <v>-8728012</v>
      </c>
      <c r="J154" s="129">
        <v>0</v>
      </c>
      <c r="K154" s="129">
        <v>-3217095</v>
      </c>
      <c r="L154" s="129">
        <v>22270345</v>
      </c>
      <c r="M154" s="129">
        <v>501599</v>
      </c>
      <c r="N154" s="129">
        <v>0</v>
      </c>
      <c r="O154" s="129">
        <v>2296642</v>
      </c>
      <c r="P154" s="129">
        <v>2798241</v>
      </c>
      <c r="Q154" s="129">
        <v>0</v>
      </c>
      <c r="R154" s="129">
        <v>-21278410</v>
      </c>
      <c r="S154" s="129">
        <v>-23857612</v>
      </c>
      <c r="T154" s="129">
        <v>-19344010</v>
      </c>
      <c r="U154" s="129">
        <v>-303389</v>
      </c>
      <c r="V154" s="129">
        <v>0</v>
      </c>
      <c r="W154" s="129">
        <v>0</v>
      </c>
      <c r="X154" s="129">
        <v>-64783421</v>
      </c>
      <c r="Y154" s="129">
        <v>6669734</v>
      </c>
      <c r="Z154" s="129">
        <v>-36512548</v>
      </c>
      <c r="AA154" s="662" t="s">
        <v>174</v>
      </c>
      <c r="AB154" s="324" t="s">
        <v>576</v>
      </c>
      <c r="AC154" s="669" t="s">
        <v>485</v>
      </c>
      <c r="AD154" s="529" t="s">
        <v>1361</v>
      </c>
    </row>
    <row r="155" spans="1:30" ht="12.75" x14ac:dyDescent="0.2">
      <c r="A155" s="664">
        <v>148</v>
      </c>
      <c r="B155" s="665" t="s">
        <v>177</v>
      </c>
      <c r="C155" s="666" t="s">
        <v>1201</v>
      </c>
      <c r="D155" s="667" t="s">
        <v>1228</v>
      </c>
      <c r="E155" s="668" t="s">
        <v>176</v>
      </c>
      <c r="F155" s="129">
        <v>2681383</v>
      </c>
      <c r="G155" s="129">
        <v>19689355</v>
      </c>
      <c r="H155" s="129">
        <v>-2165604</v>
      </c>
      <c r="I155" s="129">
        <v>0</v>
      </c>
      <c r="J155" s="129">
        <v>0</v>
      </c>
      <c r="K155" s="129">
        <v>-200000</v>
      </c>
      <c r="L155" s="129">
        <v>17323751</v>
      </c>
      <c r="M155" s="129">
        <v>400000</v>
      </c>
      <c r="N155" s="129">
        <v>0</v>
      </c>
      <c r="O155" s="129">
        <v>0</v>
      </c>
      <c r="P155" s="129">
        <v>400000</v>
      </c>
      <c r="Q155" s="129">
        <v>0</v>
      </c>
      <c r="R155" s="129">
        <v>-17302567</v>
      </c>
      <c r="S155" s="129">
        <v>-3460513</v>
      </c>
      <c r="T155" s="129">
        <v>-13842054</v>
      </c>
      <c r="U155" s="129">
        <v>0</v>
      </c>
      <c r="V155" s="129">
        <v>-122000</v>
      </c>
      <c r="W155" s="129">
        <v>-305000</v>
      </c>
      <c r="X155" s="129">
        <v>-35032134</v>
      </c>
      <c r="Y155" s="129">
        <v>2310579</v>
      </c>
      <c r="Z155" s="129">
        <v>-12316421</v>
      </c>
      <c r="AA155" s="662" t="s">
        <v>176</v>
      </c>
      <c r="AB155" s="324" t="s">
        <v>564</v>
      </c>
      <c r="AC155" s="663" t="s">
        <v>1917</v>
      </c>
      <c r="AD155" s="529" t="s">
        <v>1362</v>
      </c>
    </row>
    <row r="156" spans="1:30" ht="12.75" x14ac:dyDescent="0.2">
      <c r="A156" s="664">
        <v>149</v>
      </c>
      <c r="B156" s="665" t="s">
        <v>179</v>
      </c>
      <c r="C156" s="666" t="s">
        <v>1201</v>
      </c>
      <c r="D156" s="667" t="s">
        <v>1206</v>
      </c>
      <c r="E156" s="668" t="s">
        <v>178</v>
      </c>
      <c r="F156" s="129">
        <v>737315</v>
      </c>
      <c r="G156" s="129">
        <v>17346660</v>
      </c>
      <c r="H156" s="129">
        <v>0</v>
      </c>
      <c r="I156" s="129">
        <v>-250000</v>
      </c>
      <c r="J156" s="129">
        <v>649596</v>
      </c>
      <c r="K156" s="129">
        <v>-3334931</v>
      </c>
      <c r="L156" s="129">
        <v>14411325</v>
      </c>
      <c r="M156" s="129">
        <v>0</v>
      </c>
      <c r="N156" s="129">
        <v>0</v>
      </c>
      <c r="O156" s="129">
        <v>0</v>
      </c>
      <c r="P156" s="129">
        <v>0</v>
      </c>
      <c r="Q156" s="129">
        <v>-13658</v>
      </c>
      <c r="R156" s="129">
        <v>0</v>
      </c>
      <c r="S156" s="129">
        <v>-26556491</v>
      </c>
      <c r="T156" s="129">
        <v>-17704327</v>
      </c>
      <c r="U156" s="129">
        <v>-143084</v>
      </c>
      <c r="V156" s="129">
        <v>0</v>
      </c>
      <c r="W156" s="129">
        <v>-802023</v>
      </c>
      <c r="X156" s="129">
        <v>-45219583</v>
      </c>
      <c r="Y156" s="129">
        <v>2405695</v>
      </c>
      <c r="Z156" s="129">
        <v>-27665248</v>
      </c>
      <c r="AA156" s="662" t="s">
        <v>178</v>
      </c>
      <c r="AB156" s="324" t="s">
        <v>552</v>
      </c>
      <c r="AC156" s="663" t="s">
        <v>512</v>
      </c>
      <c r="AD156" s="529" t="s">
        <v>1363</v>
      </c>
    </row>
    <row r="157" spans="1:30" ht="12.75" x14ac:dyDescent="0.2">
      <c r="A157" s="664">
        <v>150</v>
      </c>
      <c r="B157" s="665" t="s">
        <v>181</v>
      </c>
      <c r="C157" s="666" t="s">
        <v>1217</v>
      </c>
      <c r="D157" s="667" t="s">
        <v>1204</v>
      </c>
      <c r="E157" s="668" t="s">
        <v>180</v>
      </c>
      <c r="F157" s="129">
        <v>1395426</v>
      </c>
      <c r="G157" s="129">
        <v>92784932</v>
      </c>
      <c r="H157" s="129">
        <v>0</v>
      </c>
      <c r="I157" s="129">
        <v>-12586308</v>
      </c>
      <c r="J157" s="129">
        <v>4857570</v>
      </c>
      <c r="K157" s="129">
        <v>-9523014</v>
      </c>
      <c r="L157" s="129">
        <v>75533180</v>
      </c>
      <c r="M157" s="129">
        <v>0</v>
      </c>
      <c r="N157" s="129">
        <v>0</v>
      </c>
      <c r="O157" s="129">
        <v>0</v>
      </c>
      <c r="P157" s="129">
        <v>0</v>
      </c>
      <c r="Q157" s="129">
        <v>-275876</v>
      </c>
      <c r="R157" s="129">
        <v>0</v>
      </c>
      <c r="S157" s="129">
        <v>-2040978</v>
      </c>
      <c r="T157" s="129">
        <v>-202056865</v>
      </c>
      <c r="U157" s="129">
        <v>0</v>
      </c>
      <c r="V157" s="129">
        <v>-2054604</v>
      </c>
      <c r="W157" s="129">
        <v>-4162397</v>
      </c>
      <c r="X157" s="129">
        <v>-210590720</v>
      </c>
      <c r="Y157" s="129">
        <v>6687860</v>
      </c>
      <c r="Z157" s="129">
        <v>-126974254</v>
      </c>
      <c r="AA157" s="662" t="s">
        <v>180</v>
      </c>
      <c r="AB157" s="324" t="s">
        <v>570</v>
      </c>
      <c r="AC157" s="663" t="s">
        <v>571</v>
      </c>
      <c r="AD157" s="529" t="s">
        <v>1364</v>
      </c>
    </row>
    <row r="158" spans="1:30" ht="12.75" x14ac:dyDescent="0.2">
      <c r="A158" s="664">
        <v>151</v>
      </c>
      <c r="B158" s="665" t="s">
        <v>183</v>
      </c>
      <c r="C158" s="666" t="s">
        <v>486</v>
      </c>
      <c r="D158" s="667" t="s">
        <v>1211</v>
      </c>
      <c r="E158" s="668" t="s">
        <v>491</v>
      </c>
      <c r="F158" s="129">
        <v>2386311</v>
      </c>
      <c r="G158" s="129">
        <v>44161386</v>
      </c>
      <c r="H158" s="129">
        <v>0</v>
      </c>
      <c r="I158" s="129">
        <v>-1525432</v>
      </c>
      <c r="J158" s="129">
        <v>0</v>
      </c>
      <c r="K158" s="129">
        <v>-2479825</v>
      </c>
      <c r="L158" s="129">
        <v>40156129</v>
      </c>
      <c r="M158" s="129">
        <v>0</v>
      </c>
      <c r="N158" s="129">
        <v>0</v>
      </c>
      <c r="O158" s="129">
        <v>0</v>
      </c>
      <c r="P158" s="129">
        <v>0</v>
      </c>
      <c r="Q158" s="129">
        <v>-317391</v>
      </c>
      <c r="R158" s="129">
        <v>-33626011</v>
      </c>
      <c r="S158" s="129">
        <v>-672520</v>
      </c>
      <c r="T158" s="129">
        <v>-32953491</v>
      </c>
      <c r="U158" s="129">
        <v>-238245</v>
      </c>
      <c r="V158" s="129">
        <v>0</v>
      </c>
      <c r="W158" s="129">
        <v>-5253791</v>
      </c>
      <c r="X158" s="129">
        <v>-73061449</v>
      </c>
      <c r="Y158" s="129">
        <v>1667392</v>
      </c>
      <c r="Z158" s="129">
        <v>-28851617</v>
      </c>
      <c r="AA158" s="662" t="s">
        <v>491</v>
      </c>
      <c r="AB158" s="324" t="s">
        <v>486</v>
      </c>
      <c r="AC158" s="663" t="s">
        <v>492</v>
      </c>
      <c r="AD158" s="529" t="s">
        <v>1365</v>
      </c>
    </row>
    <row r="159" spans="1:30" ht="12.75" x14ac:dyDescent="0.2">
      <c r="A159" s="664">
        <v>152</v>
      </c>
      <c r="B159" s="665" t="s">
        <v>185</v>
      </c>
      <c r="C159" s="666" t="s">
        <v>1201</v>
      </c>
      <c r="D159" s="667" t="s">
        <v>1202</v>
      </c>
      <c r="E159" s="668" t="s">
        <v>184</v>
      </c>
      <c r="F159" s="129">
        <v>-677638</v>
      </c>
      <c r="G159" s="129">
        <v>32460811</v>
      </c>
      <c r="H159" s="129">
        <v>0</v>
      </c>
      <c r="I159" s="129">
        <v>-900000</v>
      </c>
      <c r="J159" s="129">
        <v>0</v>
      </c>
      <c r="K159" s="129">
        <v>-6500000</v>
      </c>
      <c r="L159" s="129">
        <v>25060811</v>
      </c>
      <c r="M159" s="129">
        <v>0</v>
      </c>
      <c r="N159" s="129">
        <v>0</v>
      </c>
      <c r="O159" s="129">
        <v>0</v>
      </c>
      <c r="P159" s="129">
        <v>0</v>
      </c>
      <c r="Q159" s="129">
        <v>-5470</v>
      </c>
      <c r="R159" s="129">
        <v>-28630776</v>
      </c>
      <c r="S159" s="129">
        <v>-5737156</v>
      </c>
      <c r="T159" s="129">
        <v>-22948621</v>
      </c>
      <c r="U159" s="129">
        <v>-144568</v>
      </c>
      <c r="V159" s="129">
        <v>0</v>
      </c>
      <c r="W159" s="129">
        <v>-2949650</v>
      </c>
      <c r="X159" s="129">
        <v>-60416241</v>
      </c>
      <c r="Y159" s="129">
        <v>2926100</v>
      </c>
      <c r="Z159" s="129">
        <v>-33106968</v>
      </c>
      <c r="AA159" s="662" t="s">
        <v>184</v>
      </c>
      <c r="AB159" s="324" t="s">
        <v>543</v>
      </c>
      <c r="AC159" s="663" t="s">
        <v>542</v>
      </c>
      <c r="AD159" s="529" t="s">
        <v>1366</v>
      </c>
    </row>
    <row r="160" spans="1:30" ht="12.75" x14ac:dyDescent="0.2">
      <c r="A160" s="664">
        <v>153</v>
      </c>
      <c r="B160" s="665" t="s">
        <v>187</v>
      </c>
      <c r="C160" s="666" t="s">
        <v>1201</v>
      </c>
      <c r="D160" s="667" t="s">
        <v>1211</v>
      </c>
      <c r="E160" s="668" t="s">
        <v>186</v>
      </c>
      <c r="F160" s="129">
        <v>-992668</v>
      </c>
      <c r="G160" s="129">
        <v>9010449</v>
      </c>
      <c r="H160" s="129">
        <v>0</v>
      </c>
      <c r="I160" s="129">
        <v>241960</v>
      </c>
      <c r="J160" s="129">
        <v>0</v>
      </c>
      <c r="K160" s="129">
        <v>-1394012</v>
      </c>
      <c r="L160" s="129">
        <v>7858397</v>
      </c>
      <c r="M160" s="129">
        <v>32569</v>
      </c>
      <c r="N160" s="129">
        <v>0</v>
      </c>
      <c r="O160" s="129">
        <v>347295</v>
      </c>
      <c r="P160" s="129">
        <v>379864</v>
      </c>
      <c r="Q160" s="129">
        <v>0</v>
      </c>
      <c r="R160" s="129">
        <v>-7003954</v>
      </c>
      <c r="S160" s="129">
        <v>-1400791</v>
      </c>
      <c r="T160" s="129">
        <v>-5603163</v>
      </c>
      <c r="U160" s="129">
        <v>-835744</v>
      </c>
      <c r="V160" s="129">
        <v>0</v>
      </c>
      <c r="W160" s="129">
        <v>0</v>
      </c>
      <c r="X160" s="129">
        <v>-14843652</v>
      </c>
      <c r="Y160" s="129">
        <v>132195</v>
      </c>
      <c r="Z160" s="129">
        <v>-7465864</v>
      </c>
      <c r="AA160" s="662" t="s">
        <v>186</v>
      </c>
      <c r="AB160" s="324" t="s">
        <v>528</v>
      </c>
      <c r="AC160" s="663" t="s">
        <v>1913</v>
      </c>
      <c r="AD160" s="529" t="s">
        <v>1367</v>
      </c>
    </row>
    <row r="161" spans="1:30" ht="12.75" x14ac:dyDescent="0.2">
      <c r="A161" s="664">
        <v>154</v>
      </c>
      <c r="B161" s="665" t="s">
        <v>189</v>
      </c>
      <c r="C161" s="666" t="s">
        <v>1201</v>
      </c>
      <c r="D161" s="667" t="s">
        <v>1228</v>
      </c>
      <c r="E161" s="668" t="s">
        <v>188</v>
      </c>
      <c r="F161" s="129">
        <v>5100896</v>
      </c>
      <c r="G161" s="129">
        <v>6877572</v>
      </c>
      <c r="H161" s="129">
        <v>0</v>
      </c>
      <c r="I161" s="129">
        <v>-50000</v>
      </c>
      <c r="J161" s="129">
        <v>0</v>
      </c>
      <c r="K161" s="129">
        <v>-2207779</v>
      </c>
      <c r="L161" s="129">
        <v>4619793</v>
      </c>
      <c r="M161" s="129">
        <v>168060</v>
      </c>
      <c r="N161" s="129">
        <v>0</v>
      </c>
      <c r="O161" s="129">
        <v>0</v>
      </c>
      <c r="P161" s="129">
        <v>168060</v>
      </c>
      <c r="Q161" s="129">
        <v>0</v>
      </c>
      <c r="R161" s="129">
        <v>-7898517</v>
      </c>
      <c r="S161" s="129">
        <v>-1579503</v>
      </c>
      <c r="T161" s="129">
        <v>-6318813</v>
      </c>
      <c r="U161" s="129">
        <v>0</v>
      </c>
      <c r="V161" s="129">
        <v>0</v>
      </c>
      <c r="W161" s="129">
        <v>-1952964</v>
      </c>
      <c r="X161" s="129">
        <v>-17749797</v>
      </c>
      <c r="Y161" s="129">
        <v>1702201</v>
      </c>
      <c r="Z161" s="129">
        <v>-6158847</v>
      </c>
      <c r="AA161" s="662" t="s">
        <v>188</v>
      </c>
      <c r="AB161" s="324" t="s">
        <v>535</v>
      </c>
      <c r="AC161" s="663" t="s">
        <v>534</v>
      </c>
      <c r="AD161" s="529" t="s">
        <v>1368</v>
      </c>
    </row>
    <row r="162" spans="1:30" ht="12.75" x14ac:dyDescent="0.2">
      <c r="A162" s="664">
        <v>155</v>
      </c>
      <c r="B162" s="665" t="s">
        <v>191</v>
      </c>
      <c r="C162" s="666" t="s">
        <v>1217</v>
      </c>
      <c r="D162" s="667" t="s">
        <v>1204</v>
      </c>
      <c r="E162" s="668" t="s">
        <v>190</v>
      </c>
      <c r="F162" s="129">
        <v>13028030</v>
      </c>
      <c r="G162" s="129">
        <v>230490497</v>
      </c>
      <c r="H162" s="129">
        <v>0</v>
      </c>
      <c r="I162" s="129">
        <v>-22874711</v>
      </c>
      <c r="J162" s="129">
        <v>0</v>
      </c>
      <c r="K162" s="129">
        <v>-42315789</v>
      </c>
      <c r="L162" s="129">
        <v>165299997</v>
      </c>
      <c r="M162" s="129">
        <v>0</v>
      </c>
      <c r="N162" s="129">
        <v>0</v>
      </c>
      <c r="O162" s="129">
        <v>0</v>
      </c>
      <c r="P162" s="129">
        <v>0</v>
      </c>
      <c r="Q162" s="129">
        <v>-1743609</v>
      </c>
      <c r="R162" s="129">
        <v>0</v>
      </c>
      <c r="S162" s="129">
        <v>-3437905</v>
      </c>
      <c r="T162" s="129">
        <v>-340352190</v>
      </c>
      <c r="U162" s="129">
        <v>-576740</v>
      </c>
      <c r="V162" s="129">
        <v>-1123922</v>
      </c>
      <c r="W162" s="129">
        <v>-12201720</v>
      </c>
      <c r="X162" s="129">
        <v>-359436086</v>
      </c>
      <c r="Y162" s="129">
        <v>27635604</v>
      </c>
      <c r="Z162" s="129">
        <v>-153472455</v>
      </c>
      <c r="AA162" s="662" t="s">
        <v>190</v>
      </c>
      <c r="AB162" s="324" t="s">
        <v>570</v>
      </c>
      <c r="AC162" s="663" t="s">
        <v>1915</v>
      </c>
      <c r="AD162" s="529" t="s">
        <v>1369</v>
      </c>
    </row>
    <row r="163" spans="1:30" ht="12.75" x14ac:dyDescent="0.2">
      <c r="A163" s="664">
        <v>156</v>
      </c>
      <c r="B163" s="665" t="s">
        <v>193</v>
      </c>
      <c r="C163" s="666" t="s">
        <v>1201</v>
      </c>
      <c r="D163" s="667" t="s">
        <v>1206</v>
      </c>
      <c r="E163" s="668" t="s">
        <v>192</v>
      </c>
      <c r="F163" s="129">
        <v>608322</v>
      </c>
      <c r="G163" s="129">
        <v>13374792</v>
      </c>
      <c r="H163" s="129">
        <v>0</v>
      </c>
      <c r="I163" s="129">
        <v>-612070</v>
      </c>
      <c r="J163" s="129">
        <v>918031</v>
      </c>
      <c r="K163" s="129">
        <v>-2732078</v>
      </c>
      <c r="L163" s="129">
        <v>10948675</v>
      </c>
      <c r="M163" s="129">
        <v>0</v>
      </c>
      <c r="N163" s="129">
        <v>0</v>
      </c>
      <c r="O163" s="129">
        <v>0</v>
      </c>
      <c r="P163" s="129">
        <v>0</v>
      </c>
      <c r="Q163" s="129">
        <v>-598</v>
      </c>
      <c r="R163" s="129">
        <v>-14486234</v>
      </c>
      <c r="S163" s="129">
        <v>-2897247</v>
      </c>
      <c r="T163" s="129">
        <v>-11588988</v>
      </c>
      <c r="U163" s="129">
        <v>-198338</v>
      </c>
      <c r="V163" s="129">
        <v>0</v>
      </c>
      <c r="W163" s="129">
        <v>-1002276</v>
      </c>
      <c r="X163" s="129">
        <v>-30173681</v>
      </c>
      <c r="Y163" s="129">
        <v>1436442</v>
      </c>
      <c r="Z163" s="129">
        <v>-17180242</v>
      </c>
      <c r="AA163" s="662" t="s">
        <v>192</v>
      </c>
      <c r="AB163" s="324" t="s">
        <v>559</v>
      </c>
      <c r="AC163" s="663" t="s">
        <v>558</v>
      </c>
      <c r="AD163" s="529" t="s">
        <v>1370</v>
      </c>
    </row>
    <row r="164" spans="1:30" ht="14.25" x14ac:dyDescent="0.2">
      <c r="A164" s="664">
        <v>157</v>
      </c>
      <c r="B164" s="665" t="s">
        <v>195</v>
      </c>
      <c r="C164" s="666" t="s">
        <v>486</v>
      </c>
      <c r="D164" s="667" t="s">
        <v>1202</v>
      </c>
      <c r="E164" s="668" t="s">
        <v>1872</v>
      </c>
      <c r="F164" s="129">
        <v>-756933</v>
      </c>
      <c r="G164" s="129">
        <v>60750125</v>
      </c>
      <c r="H164" s="129">
        <v>0</v>
      </c>
      <c r="I164" s="129">
        <v>-409248</v>
      </c>
      <c r="J164" s="129">
        <v>0</v>
      </c>
      <c r="K164" s="129">
        <v>-2877653</v>
      </c>
      <c r="L164" s="129">
        <v>57463224</v>
      </c>
      <c r="M164" s="129">
        <v>0</v>
      </c>
      <c r="N164" s="129">
        <v>0</v>
      </c>
      <c r="O164" s="129">
        <v>0</v>
      </c>
      <c r="P164" s="129">
        <v>0</v>
      </c>
      <c r="Q164" s="129">
        <v>-1777617</v>
      </c>
      <c r="R164" s="129">
        <v>-45718717</v>
      </c>
      <c r="S164" s="129">
        <v>-914374</v>
      </c>
      <c r="T164" s="129">
        <v>-44804342</v>
      </c>
      <c r="U164" s="129">
        <v>-331703</v>
      </c>
      <c r="V164" s="129">
        <v>0</v>
      </c>
      <c r="W164" s="129">
        <v>-2572675</v>
      </c>
      <c r="X164" s="129">
        <v>-96119428</v>
      </c>
      <c r="Y164" s="129">
        <v>2119279</v>
      </c>
      <c r="Z164" s="129">
        <v>-37293858</v>
      </c>
      <c r="AA164" s="662" t="s">
        <v>541</v>
      </c>
      <c r="AB164" s="324" t="s">
        <v>486</v>
      </c>
      <c r="AC164" s="663" t="s">
        <v>542</v>
      </c>
      <c r="AD164" s="529" t="s">
        <v>1371</v>
      </c>
    </row>
    <row r="165" spans="1:30" ht="12.75" x14ac:dyDescent="0.2">
      <c r="A165" s="664">
        <v>158</v>
      </c>
      <c r="B165" s="665" t="s">
        <v>197</v>
      </c>
      <c r="C165" s="666" t="s">
        <v>1201</v>
      </c>
      <c r="D165" s="667" t="s">
        <v>1206</v>
      </c>
      <c r="E165" s="668" t="s">
        <v>196</v>
      </c>
      <c r="F165" s="129">
        <v>-487779</v>
      </c>
      <c r="G165" s="129">
        <v>8635430</v>
      </c>
      <c r="H165" s="129">
        <v>0</v>
      </c>
      <c r="I165" s="129">
        <v>-66388</v>
      </c>
      <c r="J165" s="129">
        <v>1150947</v>
      </c>
      <c r="K165" s="129">
        <v>-968800</v>
      </c>
      <c r="L165" s="129">
        <v>8751189</v>
      </c>
      <c r="M165" s="129">
        <v>26662</v>
      </c>
      <c r="N165" s="129">
        <v>0</v>
      </c>
      <c r="O165" s="129">
        <v>135435</v>
      </c>
      <c r="P165" s="129">
        <v>162097</v>
      </c>
      <c r="Q165" s="129">
        <v>0</v>
      </c>
      <c r="R165" s="129">
        <v>-7715584</v>
      </c>
      <c r="S165" s="129">
        <v>-1543117</v>
      </c>
      <c r="T165" s="129">
        <v>-6172468</v>
      </c>
      <c r="U165" s="129">
        <v>-200666</v>
      </c>
      <c r="V165" s="129">
        <v>0</v>
      </c>
      <c r="W165" s="129">
        <v>0</v>
      </c>
      <c r="X165" s="129">
        <v>-15631835</v>
      </c>
      <c r="Y165" s="129">
        <v>674456</v>
      </c>
      <c r="Z165" s="129">
        <v>-6531872</v>
      </c>
      <c r="AA165" s="662" t="s">
        <v>196</v>
      </c>
      <c r="AB165" s="324" t="s">
        <v>551</v>
      </c>
      <c r="AC165" s="663" t="s">
        <v>549</v>
      </c>
      <c r="AD165" s="529" t="s">
        <v>1372</v>
      </c>
    </row>
    <row r="166" spans="1:30" ht="12.75" x14ac:dyDescent="0.2">
      <c r="A166" s="664">
        <v>159</v>
      </c>
      <c r="B166" s="665" t="s">
        <v>199</v>
      </c>
      <c r="C166" s="666" t="s">
        <v>1201</v>
      </c>
      <c r="D166" s="667" t="s">
        <v>1224</v>
      </c>
      <c r="E166" s="668" t="s">
        <v>198</v>
      </c>
      <c r="F166" s="129">
        <v>196311</v>
      </c>
      <c r="G166" s="129">
        <v>17353063</v>
      </c>
      <c r="H166" s="129">
        <v>0</v>
      </c>
      <c r="I166" s="129">
        <v>-511898</v>
      </c>
      <c r="J166" s="129">
        <v>1124111</v>
      </c>
      <c r="K166" s="129">
        <v>-982211</v>
      </c>
      <c r="L166" s="129">
        <v>16983065</v>
      </c>
      <c r="M166" s="129">
        <v>100022</v>
      </c>
      <c r="N166" s="129">
        <v>0</v>
      </c>
      <c r="O166" s="129">
        <v>0</v>
      </c>
      <c r="P166" s="129">
        <v>100022</v>
      </c>
      <c r="Q166" s="129">
        <v>0</v>
      </c>
      <c r="R166" s="129">
        <v>-18174928</v>
      </c>
      <c r="S166" s="129">
        <v>-3634986</v>
      </c>
      <c r="T166" s="129">
        <v>-14539943</v>
      </c>
      <c r="U166" s="129">
        <v>-280861</v>
      </c>
      <c r="V166" s="129">
        <v>0</v>
      </c>
      <c r="W166" s="129">
        <v>-255838</v>
      </c>
      <c r="X166" s="129">
        <v>-36886556</v>
      </c>
      <c r="Y166" s="129">
        <v>575579</v>
      </c>
      <c r="Z166" s="129">
        <v>-19031579</v>
      </c>
      <c r="AA166" s="662" t="s">
        <v>198</v>
      </c>
      <c r="AB166" s="324" t="s">
        <v>562</v>
      </c>
      <c r="AC166" s="663" t="s">
        <v>519</v>
      </c>
      <c r="AD166" s="529" t="s">
        <v>1373</v>
      </c>
    </row>
    <row r="167" spans="1:30" ht="12.75" x14ac:dyDescent="0.2">
      <c r="A167" s="664">
        <v>160</v>
      </c>
      <c r="B167" s="665" t="s">
        <v>201</v>
      </c>
      <c r="C167" s="666" t="s">
        <v>1213</v>
      </c>
      <c r="D167" s="667" t="s">
        <v>1214</v>
      </c>
      <c r="E167" s="668" t="s">
        <v>200</v>
      </c>
      <c r="F167" s="129">
        <v>-2588757</v>
      </c>
      <c r="G167" s="129">
        <v>45563904</v>
      </c>
      <c r="H167" s="129">
        <v>0</v>
      </c>
      <c r="I167" s="129">
        <v>-4788032</v>
      </c>
      <c r="J167" s="129">
        <v>966901</v>
      </c>
      <c r="K167" s="129">
        <v>-2659857</v>
      </c>
      <c r="L167" s="129">
        <v>39082916</v>
      </c>
      <c r="M167" s="129">
        <v>0</v>
      </c>
      <c r="N167" s="129">
        <v>0</v>
      </c>
      <c r="O167" s="129">
        <v>2818302</v>
      </c>
      <c r="P167" s="129">
        <v>2818302</v>
      </c>
      <c r="Q167" s="129">
        <v>-812652</v>
      </c>
      <c r="R167" s="129">
        <v>-28656712</v>
      </c>
      <c r="S167" s="129">
        <v>-32130253</v>
      </c>
      <c r="T167" s="129">
        <v>-26051556</v>
      </c>
      <c r="U167" s="129">
        <v>-256692</v>
      </c>
      <c r="V167" s="129">
        <v>0</v>
      </c>
      <c r="W167" s="129">
        <v>0</v>
      </c>
      <c r="X167" s="129">
        <v>-87907865</v>
      </c>
      <c r="Y167" s="129">
        <v>3828243</v>
      </c>
      <c r="Z167" s="129">
        <v>-44767161</v>
      </c>
      <c r="AA167" s="662" t="s">
        <v>200</v>
      </c>
      <c r="AB167" s="324" t="s">
        <v>576</v>
      </c>
      <c r="AC167" s="669" t="s">
        <v>485</v>
      </c>
      <c r="AD167" s="529" t="s">
        <v>1374</v>
      </c>
    </row>
    <row r="168" spans="1:30" ht="12.75" x14ac:dyDescent="0.2">
      <c r="A168" s="664">
        <v>161</v>
      </c>
      <c r="B168" s="665" t="s">
        <v>203</v>
      </c>
      <c r="C168" s="666" t="s">
        <v>1201</v>
      </c>
      <c r="D168" s="667" t="s">
        <v>1224</v>
      </c>
      <c r="E168" s="668" t="s">
        <v>202</v>
      </c>
      <c r="F168" s="129">
        <v>209968</v>
      </c>
      <c r="G168" s="129">
        <v>8438613</v>
      </c>
      <c r="H168" s="129">
        <v>0</v>
      </c>
      <c r="I168" s="129">
        <v>-332096</v>
      </c>
      <c r="J168" s="129">
        <v>393653</v>
      </c>
      <c r="K168" s="129">
        <v>-977325</v>
      </c>
      <c r="L168" s="129">
        <v>7522845</v>
      </c>
      <c r="M168" s="129">
        <v>120099</v>
      </c>
      <c r="N168" s="129">
        <v>0</v>
      </c>
      <c r="O168" s="129">
        <v>0</v>
      </c>
      <c r="P168" s="129">
        <v>120099</v>
      </c>
      <c r="Q168" s="129">
        <v>-72849</v>
      </c>
      <c r="R168" s="129">
        <v>-7800205</v>
      </c>
      <c r="S168" s="129">
        <v>-1560041</v>
      </c>
      <c r="T168" s="129">
        <v>-6240164</v>
      </c>
      <c r="U168" s="129">
        <v>-277778</v>
      </c>
      <c r="V168" s="129">
        <v>-110806</v>
      </c>
      <c r="W168" s="129">
        <v>-479520</v>
      </c>
      <c r="X168" s="129">
        <v>-16541363</v>
      </c>
      <c r="Y168" s="129">
        <v>760101</v>
      </c>
      <c r="Z168" s="129">
        <v>-7928350</v>
      </c>
      <c r="AA168" s="662" t="s">
        <v>202</v>
      </c>
      <c r="AB168" s="324" t="s">
        <v>521</v>
      </c>
      <c r="AC168" s="663" t="s">
        <v>519</v>
      </c>
      <c r="AD168" s="529" t="s">
        <v>1375</v>
      </c>
    </row>
    <row r="169" spans="1:30" ht="12.75" x14ac:dyDescent="0.2">
      <c r="A169" s="664">
        <v>162</v>
      </c>
      <c r="B169" s="665" t="s">
        <v>205</v>
      </c>
      <c r="C169" s="666" t="s">
        <v>1201</v>
      </c>
      <c r="D169" s="667" t="s">
        <v>1211</v>
      </c>
      <c r="E169" s="668" t="s">
        <v>204</v>
      </c>
      <c r="F169" s="129">
        <v>-263440</v>
      </c>
      <c r="G169" s="129">
        <v>21652421</v>
      </c>
      <c r="H169" s="129">
        <v>0</v>
      </c>
      <c r="I169" s="129">
        <v>-169695</v>
      </c>
      <c r="J169" s="129">
        <v>531709</v>
      </c>
      <c r="K169" s="129">
        <v>-1686870</v>
      </c>
      <c r="L169" s="129">
        <v>20327565</v>
      </c>
      <c r="M169" s="129">
        <v>0</v>
      </c>
      <c r="N169" s="129">
        <v>0</v>
      </c>
      <c r="O169" s="129">
        <v>0</v>
      </c>
      <c r="P169" s="129">
        <v>0</v>
      </c>
      <c r="Q169" s="129">
        <v>-113656</v>
      </c>
      <c r="R169" s="129">
        <v>-11677882</v>
      </c>
      <c r="S169" s="129">
        <v>-2335576</v>
      </c>
      <c r="T169" s="129">
        <v>-9342305</v>
      </c>
      <c r="U169" s="129">
        <v>-464932</v>
      </c>
      <c r="V169" s="129">
        <v>0</v>
      </c>
      <c r="W169" s="129">
        <v>-124638</v>
      </c>
      <c r="X169" s="129">
        <v>-24058989</v>
      </c>
      <c r="Y169" s="129">
        <v>0</v>
      </c>
      <c r="Z169" s="129">
        <v>-3994864</v>
      </c>
      <c r="AA169" s="662" t="s">
        <v>204</v>
      </c>
      <c r="AB169" s="324" t="s">
        <v>565</v>
      </c>
      <c r="AC169" s="663" t="s">
        <v>512</v>
      </c>
      <c r="AD169" s="529" t="s">
        <v>1376</v>
      </c>
    </row>
    <row r="170" spans="1:30" ht="12.75" x14ac:dyDescent="0.2">
      <c r="A170" s="664">
        <v>163</v>
      </c>
      <c r="B170" s="665" t="s">
        <v>207</v>
      </c>
      <c r="C170" s="666" t="s">
        <v>1201</v>
      </c>
      <c r="D170" s="667" t="s">
        <v>1202</v>
      </c>
      <c r="E170" s="668" t="s">
        <v>206</v>
      </c>
      <c r="F170" s="129">
        <v>1438725</v>
      </c>
      <c r="G170" s="129">
        <v>27138071</v>
      </c>
      <c r="H170" s="129">
        <v>0</v>
      </c>
      <c r="I170" s="129">
        <v>-1529840</v>
      </c>
      <c r="J170" s="129">
        <v>1848817</v>
      </c>
      <c r="K170" s="129">
        <v>-3447694</v>
      </c>
      <c r="L170" s="129">
        <v>24009354</v>
      </c>
      <c r="M170" s="129">
        <v>26715</v>
      </c>
      <c r="N170" s="129">
        <v>0</v>
      </c>
      <c r="O170" s="129">
        <v>717690</v>
      </c>
      <c r="P170" s="129">
        <v>744405</v>
      </c>
      <c r="Q170" s="129">
        <v>0</v>
      </c>
      <c r="R170" s="129">
        <v>-23206466</v>
      </c>
      <c r="S170" s="129">
        <v>-4641293</v>
      </c>
      <c r="T170" s="129">
        <v>-18565173</v>
      </c>
      <c r="U170" s="129">
        <v>-171934</v>
      </c>
      <c r="V170" s="129">
        <v>-2513448</v>
      </c>
      <c r="W170" s="129">
        <v>0</v>
      </c>
      <c r="X170" s="129">
        <v>-49098314</v>
      </c>
      <c r="Y170" s="129">
        <v>2402649</v>
      </c>
      <c r="Z170" s="129">
        <v>-20503182</v>
      </c>
      <c r="AA170" s="662" t="s">
        <v>206</v>
      </c>
      <c r="AB170" s="324" t="s">
        <v>568</v>
      </c>
      <c r="AC170" s="663" t="s">
        <v>512</v>
      </c>
      <c r="AD170" s="529" t="s">
        <v>1377</v>
      </c>
    </row>
    <row r="171" spans="1:30" ht="12.75" x14ac:dyDescent="0.2">
      <c r="A171" s="664">
        <v>164</v>
      </c>
      <c r="B171" s="665" t="s">
        <v>209</v>
      </c>
      <c r="C171" s="666" t="s">
        <v>486</v>
      </c>
      <c r="D171" s="667" t="s">
        <v>1283</v>
      </c>
      <c r="E171" s="668" t="s">
        <v>510</v>
      </c>
      <c r="F171" s="129">
        <v>428601</v>
      </c>
      <c r="G171" s="129">
        <v>15573110</v>
      </c>
      <c r="H171" s="129">
        <v>0</v>
      </c>
      <c r="I171" s="129">
        <v>-2278726</v>
      </c>
      <c r="J171" s="129">
        <v>2297256</v>
      </c>
      <c r="K171" s="129">
        <v>-2454383</v>
      </c>
      <c r="L171" s="129">
        <v>13137257</v>
      </c>
      <c r="M171" s="129">
        <v>1984931</v>
      </c>
      <c r="N171" s="129">
        <v>0</v>
      </c>
      <c r="O171" s="129">
        <v>0</v>
      </c>
      <c r="P171" s="129">
        <v>1984931</v>
      </c>
      <c r="Q171" s="129">
        <v>-1984931</v>
      </c>
      <c r="R171" s="129">
        <v>-17885897</v>
      </c>
      <c r="S171" s="129">
        <v>-357718</v>
      </c>
      <c r="T171" s="129">
        <v>-17528180</v>
      </c>
      <c r="U171" s="129">
        <v>-301818</v>
      </c>
      <c r="V171" s="129">
        <v>-15144</v>
      </c>
      <c r="W171" s="129">
        <v>-221800</v>
      </c>
      <c r="X171" s="129">
        <v>-38295488</v>
      </c>
      <c r="Y171" s="129">
        <v>2466617</v>
      </c>
      <c r="Z171" s="129">
        <v>-20278082</v>
      </c>
      <c r="AA171" s="662" t="s">
        <v>510</v>
      </c>
      <c r="AB171" s="324" t="s">
        <v>486</v>
      </c>
      <c r="AC171" s="663" t="s">
        <v>509</v>
      </c>
      <c r="AD171" s="529" t="s">
        <v>1378</v>
      </c>
    </row>
    <row r="172" spans="1:30" ht="12.75" x14ac:dyDescent="0.2">
      <c r="A172" s="664">
        <v>165</v>
      </c>
      <c r="B172" s="665" t="s">
        <v>210</v>
      </c>
      <c r="C172" s="666" t="s">
        <v>486</v>
      </c>
      <c r="D172" s="667" t="s">
        <v>1202</v>
      </c>
      <c r="E172" s="668" t="s">
        <v>499</v>
      </c>
      <c r="F172" s="129">
        <v>10637514</v>
      </c>
      <c r="G172" s="129">
        <v>108254380</v>
      </c>
      <c r="H172" s="129">
        <v>0</v>
      </c>
      <c r="I172" s="129">
        <v>-362000</v>
      </c>
      <c r="J172" s="129">
        <v>6000000</v>
      </c>
      <c r="K172" s="129">
        <v>-40000000</v>
      </c>
      <c r="L172" s="129">
        <v>73892380</v>
      </c>
      <c r="M172" s="129">
        <v>0</v>
      </c>
      <c r="N172" s="129">
        <v>0</v>
      </c>
      <c r="O172" s="129">
        <v>0</v>
      </c>
      <c r="P172" s="129">
        <v>0</v>
      </c>
      <c r="Q172" s="129">
        <v>-372000</v>
      </c>
      <c r="R172" s="129">
        <v>-81722787</v>
      </c>
      <c r="S172" s="129">
        <v>-1634456</v>
      </c>
      <c r="T172" s="129">
        <v>-80088331</v>
      </c>
      <c r="U172" s="129">
        <v>-680408</v>
      </c>
      <c r="V172" s="129">
        <v>0</v>
      </c>
      <c r="W172" s="129">
        <v>-10652561</v>
      </c>
      <c r="X172" s="129">
        <v>-175150543</v>
      </c>
      <c r="Y172" s="129">
        <v>11183739</v>
      </c>
      <c r="Z172" s="129">
        <v>-79436910</v>
      </c>
      <c r="AA172" s="662" t="s">
        <v>499</v>
      </c>
      <c r="AB172" s="324" t="s">
        <v>486</v>
      </c>
      <c r="AC172" s="663" t="s">
        <v>500</v>
      </c>
      <c r="AD172" s="529" t="s">
        <v>1379</v>
      </c>
    </row>
    <row r="173" spans="1:30" ht="14.25" x14ac:dyDescent="0.2">
      <c r="A173" s="664">
        <v>166</v>
      </c>
      <c r="B173" s="665" t="s">
        <v>212</v>
      </c>
      <c r="C173" s="666" t="s">
        <v>1201</v>
      </c>
      <c r="D173" s="667" t="s">
        <v>1202</v>
      </c>
      <c r="E173" s="668" t="s">
        <v>1865</v>
      </c>
      <c r="F173" s="129">
        <v>1387711</v>
      </c>
      <c r="G173" s="129">
        <v>29348269</v>
      </c>
      <c r="H173" s="129">
        <v>0</v>
      </c>
      <c r="I173" s="129">
        <v>-404881</v>
      </c>
      <c r="J173" s="129">
        <v>571791</v>
      </c>
      <c r="K173" s="129">
        <v>-979640</v>
      </c>
      <c r="L173" s="129">
        <v>28535539</v>
      </c>
      <c r="M173" s="129">
        <v>330096</v>
      </c>
      <c r="N173" s="129">
        <v>0</v>
      </c>
      <c r="O173" s="129">
        <v>0</v>
      </c>
      <c r="P173" s="129">
        <v>330096</v>
      </c>
      <c r="Q173" s="129">
        <v>0</v>
      </c>
      <c r="R173" s="129">
        <v>-22106136</v>
      </c>
      <c r="S173" s="129">
        <v>-4421227</v>
      </c>
      <c r="T173" s="129">
        <v>-17684908</v>
      </c>
      <c r="U173" s="129">
        <v>-150036</v>
      </c>
      <c r="V173" s="129">
        <v>0</v>
      </c>
      <c r="W173" s="129">
        <v>-1330715</v>
      </c>
      <c r="X173" s="129">
        <v>-45693022</v>
      </c>
      <c r="Y173" s="129">
        <v>1390005</v>
      </c>
      <c r="Z173" s="129">
        <v>-14049671</v>
      </c>
      <c r="AA173" s="662" t="s">
        <v>211</v>
      </c>
      <c r="AB173" s="324" t="s">
        <v>566</v>
      </c>
      <c r="AC173" s="663" t="s">
        <v>512</v>
      </c>
      <c r="AD173" s="529" t="s">
        <v>1380</v>
      </c>
    </row>
    <row r="174" spans="1:30" ht="12.75" x14ac:dyDescent="0.2">
      <c r="A174" s="664">
        <v>167</v>
      </c>
      <c r="B174" s="665" t="s">
        <v>214</v>
      </c>
      <c r="C174" s="666" t="s">
        <v>1201</v>
      </c>
      <c r="D174" s="667" t="s">
        <v>1202</v>
      </c>
      <c r="E174" s="668" t="s">
        <v>213</v>
      </c>
      <c r="F174" s="129">
        <v>1241249</v>
      </c>
      <c r="G174" s="129">
        <v>40781512</v>
      </c>
      <c r="H174" s="129">
        <v>0</v>
      </c>
      <c r="I174" s="129">
        <v>-345000</v>
      </c>
      <c r="J174" s="129">
        <v>3865695</v>
      </c>
      <c r="K174" s="129">
        <v>-2165449</v>
      </c>
      <c r="L174" s="129">
        <v>42136758</v>
      </c>
      <c r="M174" s="129">
        <v>0</v>
      </c>
      <c r="N174" s="129">
        <v>0</v>
      </c>
      <c r="O174" s="129">
        <v>0</v>
      </c>
      <c r="P174" s="129">
        <v>0</v>
      </c>
      <c r="Q174" s="129">
        <v>-321325</v>
      </c>
      <c r="R174" s="129">
        <v>-34461438</v>
      </c>
      <c r="S174" s="129">
        <v>-6892288</v>
      </c>
      <c r="T174" s="129">
        <v>-27569150</v>
      </c>
      <c r="U174" s="129">
        <v>-285425</v>
      </c>
      <c r="V174" s="129">
        <v>0</v>
      </c>
      <c r="W174" s="129">
        <v>-2229493</v>
      </c>
      <c r="X174" s="129">
        <v>-71759119</v>
      </c>
      <c r="Y174" s="129">
        <v>144292</v>
      </c>
      <c r="Z174" s="129">
        <v>-28236820</v>
      </c>
      <c r="AA174" s="662" t="s">
        <v>213</v>
      </c>
      <c r="AB174" s="324" t="s">
        <v>532</v>
      </c>
      <c r="AC174" s="663" t="s">
        <v>1914</v>
      </c>
      <c r="AD174" s="529" t="s">
        <v>1381</v>
      </c>
    </row>
    <row r="175" spans="1:30" ht="12.75" x14ac:dyDescent="0.2">
      <c r="A175" s="664">
        <v>168</v>
      </c>
      <c r="B175" s="665" t="s">
        <v>216</v>
      </c>
      <c r="C175" s="666" t="s">
        <v>1201</v>
      </c>
      <c r="D175" s="667" t="s">
        <v>1206</v>
      </c>
      <c r="E175" s="668" t="s">
        <v>215</v>
      </c>
      <c r="F175" s="129">
        <v>5122274</v>
      </c>
      <c r="G175" s="129">
        <v>25692113</v>
      </c>
      <c r="H175" s="129">
        <v>0</v>
      </c>
      <c r="I175" s="129">
        <v>-250000</v>
      </c>
      <c r="J175" s="129">
        <v>959739</v>
      </c>
      <c r="K175" s="129">
        <v>-2279164</v>
      </c>
      <c r="L175" s="129">
        <v>24122688</v>
      </c>
      <c r="M175" s="129">
        <v>298303</v>
      </c>
      <c r="N175" s="129">
        <v>41353</v>
      </c>
      <c r="O175" s="129">
        <v>0</v>
      </c>
      <c r="P175" s="129">
        <v>339656</v>
      </c>
      <c r="Q175" s="129">
        <v>-14198</v>
      </c>
      <c r="R175" s="129">
        <v>-21958481</v>
      </c>
      <c r="S175" s="129">
        <v>-4391697</v>
      </c>
      <c r="T175" s="129">
        <v>-17566786</v>
      </c>
      <c r="U175" s="129">
        <v>-937649</v>
      </c>
      <c r="V175" s="129">
        <v>0</v>
      </c>
      <c r="W175" s="129">
        <v>-2287554</v>
      </c>
      <c r="X175" s="129">
        <v>-47156365</v>
      </c>
      <c r="Y175" s="129">
        <v>1703728</v>
      </c>
      <c r="Z175" s="129">
        <v>-15868019</v>
      </c>
      <c r="AA175" s="662" t="s">
        <v>215</v>
      </c>
      <c r="AB175" s="324" t="s">
        <v>559</v>
      </c>
      <c r="AC175" s="663" t="s">
        <v>558</v>
      </c>
      <c r="AD175" s="529" t="s">
        <v>1382</v>
      </c>
    </row>
    <row r="176" spans="1:30" ht="12.75" x14ac:dyDescent="0.2">
      <c r="A176" s="664">
        <v>169</v>
      </c>
      <c r="B176" s="665" t="s">
        <v>217</v>
      </c>
      <c r="C176" s="666" t="s">
        <v>1217</v>
      </c>
      <c r="D176" s="667" t="s">
        <v>1283</v>
      </c>
      <c r="E176" s="668" t="s">
        <v>795</v>
      </c>
      <c r="F176" s="129">
        <v>1770963</v>
      </c>
      <c r="G176" s="129">
        <v>63820159</v>
      </c>
      <c r="H176" s="129">
        <v>0</v>
      </c>
      <c r="I176" s="129">
        <v>-1498650</v>
      </c>
      <c r="J176" s="129">
        <v>3587475</v>
      </c>
      <c r="K176" s="129">
        <v>-7778050</v>
      </c>
      <c r="L176" s="129">
        <v>58130934</v>
      </c>
      <c r="M176" s="129">
        <v>0</v>
      </c>
      <c r="N176" s="129">
        <v>1484743</v>
      </c>
      <c r="O176" s="129">
        <v>0</v>
      </c>
      <c r="P176" s="129">
        <v>1484743</v>
      </c>
      <c r="Q176" s="129">
        <v>-4119160</v>
      </c>
      <c r="R176" s="129">
        <v>-67988111</v>
      </c>
      <c r="S176" s="129">
        <v>-1359762</v>
      </c>
      <c r="T176" s="129">
        <v>-66628349</v>
      </c>
      <c r="U176" s="129">
        <v>-2474988</v>
      </c>
      <c r="V176" s="129">
        <v>0</v>
      </c>
      <c r="W176" s="129">
        <v>-2068802</v>
      </c>
      <c r="X176" s="129">
        <v>-144639172</v>
      </c>
      <c r="Y176" s="129">
        <v>1464094</v>
      </c>
      <c r="Z176" s="129">
        <v>-81788438</v>
      </c>
      <c r="AA176" s="662" t="s">
        <v>795</v>
      </c>
      <c r="AB176" s="324" t="s">
        <v>570</v>
      </c>
      <c r="AC176" s="663" t="s">
        <v>573</v>
      </c>
      <c r="AD176" s="529" t="s">
        <v>1383</v>
      </c>
    </row>
    <row r="177" spans="1:30" ht="12.75" x14ac:dyDescent="0.2">
      <c r="A177" s="664">
        <v>170</v>
      </c>
      <c r="B177" s="665" t="s">
        <v>219</v>
      </c>
      <c r="C177" s="666" t="s">
        <v>1201</v>
      </c>
      <c r="D177" s="667" t="s">
        <v>1228</v>
      </c>
      <c r="E177" s="668" t="s">
        <v>218</v>
      </c>
      <c r="F177" s="129">
        <v>4930524</v>
      </c>
      <c r="G177" s="129">
        <v>21558444</v>
      </c>
      <c r="H177" s="129">
        <v>0</v>
      </c>
      <c r="I177" s="129">
        <v>-752141</v>
      </c>
      <c r="J177" s="129">
        <v>0</v>
      </c>
      <c r="K177" s="129">
        <v>-210000</v>
      </c>
      <c r="L177" s="129">
        <v>20596303</v>
      </c>
      <c r="M177" s="129">
        <v>83387</v>
      </c>
      <c r="N177" s="129">
        <v>0</v>
      </c>
      <c r="O177" s="129">
        <v>0</v>
      </c>
      <c r="P177" s="129">
        <v>83387</v>
      </c>
      <c r="Q177" s="129">
        <v>0</v>
      </c>
      <c r="R177" s="129">
        <v>-17877524</v>
      </c>
      <c r="S177" s="129">
        <v>-3575404</v>
      </c>
      <c r="T177" s="129">
        <v>-14302019</v>
      </c>
      <c r="U177" s="129">
        <v>0</v>
      </c>
      <c r="V177" s="129">
        <v>0</v>
      </c>
      <c r="W177" s="129">
        <v>-4322485</v>
      </c>
      <c r="X177" s="129">
        <v>-40077432</v>
      </c>
      <c r="Y177" s="129">
        <v>1030277</v>
      </c>
      <c r="Z177" s="129">
        <v>-13436940</v>
      </c>
      <c r="AA177" s="662" t="s">
        <v>218</v>
      </c>
      <c r="AB177" s="324" t="s">
        <v>564</v>
      </c>
      <c r="AC177" s="663" t="s">
        <v>1917</v>
      </c>
      <c r="AD177" s="529" t="s">
        <v>1384</v>
      </c>
    </row>
    <row r="178" spans="1:30" ht="12.75" x14ac:dyDescent="0.2">
      <c r="A178" s="664">
        <v>171</v>
      </c>
      <c r="B178" s="665" t="s">
        <v>221</v>
      </c>
      <c r="C178" s="666" t="s">
        <v>1213</v>
      </c>
      <c r="D178" s="667" t="s">
        <v>1214</v>
      </c>
      <c r="E178" s="668" t="s">
        <v>220</v>
      </c>
      <c r="F178" s="129">
        <v>15282736</v>
      </c>
      <c r="G178" s="129">
        <v>77438393</v>
      </c>
      <c r="H178" s="129">
        <v>0</v>
      </c>
      <c r="I178" s="129">
        <v>-395034</v>
      </c>
      <c r="J178" s="129">
        <v>0</v>
      </c>
      <c r="K178" s="129">
        <v>1820326</v>
      </c>
      <c r="L178" s="129">
        <v>78863685</v>
      </c>
      <c r="M178" s="129">
        <v>422682</v>
      </c>
      <c r="N178" s="129">
        <v>0</v>
      </c>
      <c r="O178" s="129">
        <v>0</v>
      </c>
      <c r="P178" s="129">
        <v>422682</v>
      </c>
      <c r="Q178" s="129">
        <v>0</v>
      </c>
      <c r="R178" s="129">
        <v>-50405509</v>
      </c>
      <c r="S178" s="129">
        <v>-56515268</v>
      </c>
      <c r="T178" s="129">
        <v>-45823190</v>
      </c>
      <c r="U178" s="129">
        <v>-2824116</v>
      </c>
      <c r="V178" s="129">
        <v>0</v>
      </c>
      <c r="W178" s="129">
        <v>-15115976</v>
      </c>
      <c r="X178" s="129">
        <v>-170684059</v>
      </c>
      <c r="Y178" s="129">
        <v>0</v>
      </c>
      <c r="Z178" s="129">
        <v>-76114956</v>
      </c>
      <c r="AA178" s="662" t="s">
        <v>220</v>
      </c>
      <c r="AB178" s="324" t="s">
        <v>576</v>
      </c>
      <c r="AC178" s="669" t="s">
        <v>485</v>
      </c>
      <c r="AD178" s="529" t="s">
        <v>1385</v>
      </c>
    </row>
    <row r="179" spans="1:30" ht="12.75" x14ac:dyDescent="0.2">
      <c r="A179" s="664">
        <v>172</v>
      </c>
      <c r="B179" s="665" t="s">
        <v>223</v>
      </c>
      <c r="C179" s="666" t="s">
        <v>1201</v>
      </c>
      <c r="D179" s="667" t="s">
        <v>1224</v>
      </c>
      <c r="E179" s="668" t="s">
        <v>222</v>
      </c>
      <c r="F179" s="129">
        <v>-114668</v>
      </c>
      <c r="G179" s="129">
        <v>12237426</v>
      </c>
      <c r="H179" s="129">
        <v>0</v>
      </c>
      <c r="I179" s="129">
        <v>-271005</v>
      </c>
      <c r="J179" s="129">
        <v>653063</v>
      </c>
      <c r="K179" s="129">
        <v>-701550</v>
      </c>
      <c r="L179" s="129">
        <v>11917934</v>
      </c>
      <c r="M179" s="129">
        <v>0</v>
      </c>
      <c r="N179" s="129">
        <v>11491</v>
      </c>
      <c r="O179" s="129">
        <v>0</v>
      </c>
      <c r="P179" s="129">
        <v>11491</v>
      </c>
      <c r="Q179" s="129">
        <v>-442574</v>
      </c>
      <c r="R179" s="129">
        <v>-15892175</v>
      </c>
      <c r="S179" s="129">
        <v>-3178434</v>
      </c>
      <c r="T179" s="129">
        <v>-12713739</v>
      </c>
      <c r="U179" s="129">
        <v>-602649</v>
      </c>
      <c r="V179" s="129">
        <v>0</v>
      </c>
      <c r="W179" s="129">
        <v>-142140</v>
      </c>
      <c r="X179" s="129">
        <v>-32971711</v>
      </c>
      <c r="Y179" s="129">
        <v>770168</v>
      </c>
      <c r="Z179" s="129">
        <v>-20386786</v>
      </c>
      <c r="AA179" s="662" t="s">
        <v>222</v>
      </c>
      <c r="AB179" s="324" t="s">
        <v>521</v>
      </c>
      <c r="AC179" s="663" t="s">
        <v>519</v>
      </c>
      <c r="AD179" s="529" t="s">
        <v>1386</v>
      </c>
    </row>
    <row r="180" spans="1:30" ht="12.75" x14ac:dyDescent="0.2">
      <c r="A180" s="664">
        <v>173</v>
      </c>
      <c r="B180" s="665" t="s">
        <v>225</v>
      </c>
      <c r="C180" s="666" t="s">
        <v>1201</v>
      </c>
      <c r="D180" s="667" t="s">
        <v>1206</v>
      </c>
      <c r="E180" s="668" t="s">
        <v>224</v>
      </c>
      <c r="F180" s="129">
        <v>1541598</v>
      </c>
      <c r="G180" s="129">
        <v>11222224</v>
      </c>
      <c r="H180" s="129">
        <v>0</v>
      </c>
      <c r="I180" s="129">
        <v>0</v>
      </c>
      <c r="J180" s="129">
        <v>1049669</v>
      </c>
      <c r="K180" s="129">
        <v>-706230</v>
      </c>
      <c r="L180" s="129">
        <v>11565663</v>
      </c>
      <c r="M180" s="129">
        <v>98482</v>
      </c>
      <c r="N180" s="129">
        <v>0</v>
      </c>
      <c r="O180" s="129">
        <v>0</v>
      </c>
      <c r="P180" s="129">
        <v>98482</v>
      </c>
      <c r="Q180" s="129">
        <v>0</v>
      </c>
      <c r="R180" s="129">
        <v>-8731658</v>
      </c>
      <c r="S180" s="129">
        <v>-1746331</v>
      </c>
      <c r="T180" s="129">
        <v>-6985326</v>
      </c>
      <c r="U180" s="129">
        <v>0</v>
      </c>
      <c r="V180" s="129">
        <v>0</v>
      </c>
      <c r="W180" s="129">
        <v>-1401123</v>
      </c>
      <c r="X180" s="129">
        <v>-18864438</v>
      </c>
      <c r="Y180" s="129">
        <v>374563</v>
      </c>
      <c r="Z180" s="129">
        <v>-5284132</v>
      </c>
      <c r="AA180" s="662" t="s">
        <v>224</v>
      </c>
      <c r="AB180" s="324" t="s">
        <v>516</v>
      </c>
      <c r="AC180" s="663" t="s">
        <v>515</v>
      </c>
      <c r="AD180" s="529" t="s">
        <v>1387</v>
      </c>
    </row>
    <row r="181" spans="1:30" ht="12.75" x14ac:dyDescent="0.2">
      <c r="A181" s="664">
        <v>174</v>
      </c>
      <c r="B181" s="665" t="s">
        <v>227</v>
      </c>
      <c r="C181" s="666" t="s">
        <v>486</v>
      </c>
      <c r="D181" s="667" t="s">
        <v>1218</v>
      </c>
      <c r="E181" s="668" t="s">
        <v>539</v>
      </c>
      <c r="F181" s="129">
        <v>1540993</v>
      </c>
      <c r="G181" s="129">
        <v>41742708</v>
      </c>
      <c r="H181" s="129">
        <v>-417427</v>
      </c>
      <c r="I181" s="129">
        <v>0</v>
      </c>
      <c r="J181" s="129">
        <v>0</v>
      </c>
      <c r="K181" s="129">
        <v>-1123321</v>
      </c>
      <c r="L181" s="129">
        <v>40201960</v>
      </c>
      <c r="M181" s="129">
        <v>0</v>
      </c>
      <c r="N181" s="129">
        <v>0</v>
      </c>
      <c r="O181" s="129">
        <v>0</v>
      </c>
      <c r="P181" s="129">
        <v>0</v>
      </c>
      <c r="Q181" s="129">
        <v>-3196083</v>
      </c>
      <c r="R181" s="129">
        <v>-30473096</v>
      </c>
      <c r="S181" s="129">
        <v>-611528</v>
      </c>
      <c r="T181" s="129">
        <v>-29964877</v>
      </c>
      <c r="U181" s="129">
        <v>-542800</v>
      </c>
      <c r="V181" s="129">
        <v>0</v>
      </c>
      <c r="W181" s="129">
        <v>-1327239</v>
      </c>
      <c r="X181" s="129">
        <v>-66115623</v>
      </c>
      <c r="Y181" s="129">
        <v>1481775</v>
      </c>
      <c r="Z181" s="129">
        <v>-22890895</v>
      </c>
      <c r="AA181" s="662" t="s">
        <v>539</v>
      </c>
      <c r="AB181" s="324" t="s">
        <v>486</v>
      </c>
      <c r="AC181" s="663" t="s">
        <v>538</v>
      </c>
      <c r="AD181" s="529" t="s">
        <v>1388</v>
      </c>
    </row>
    <row r="182" spans="1:30" ht="12.75" x14ac:dyDescent="0.2">
      <c r="A182" s="664">
        <v>175</v>
      </c>
      <c r="B182" s="665" t="s">
        <v>229</v>
      </c>
      <c r="C182" s="666" t="s">
        <v>1201</v>
      </c>
      <c r="D182" s="667" t="s">
        <v>1211</v>
      </c>
      <c r="E182" s="668" t="s">
        <v>228</v>
      </c>
      <c r="F182" s="129">
        <v>1237794</v>
      </c>
      <c r="G182" s="129">
        <v>14009699</v>
      </c>
      <c r="H182" s="129">
        <v>-138721</v>
      </c>
      <c r="I182" s="129">
        <v>-288149</v>
      </c>
      <c r="J182" s="129">
        <v>474500</v>
      </c>
      <c r="K182" s="129">
        <v>2129658</v>
      </c>
      <c r="L182" s="129">
        <v>16186987</v>
      </c>
      <c r="M182" s="129">
        <v>70021</v>
      </c>
      <c r="N182" s="129">
        <v>0</v>
      </c>
      <c r="O182" s="129">
        <v>644793</v>
      </c>
      <c r="P182" s="129">
        <v>714814</v>
      </c>
      <c r="Q182" s="129">
        <v>-110019</v>
      </c>
      <c r="R182" s="129">
        <v>-19722079</v>
      </c>
      <c r="S182" s="129">
        <v>-3944416</v>
      </c>
      <c r="T182" s="129">
        <v>-15777663</v>
      </c>
      <c r="U182" s="129">
        <v>-207405</v>
      </c>
      <c r="V182" s="129">
        <v>0</v>
      </c>
      <c r="W182" s="129">
        <v>0</v>
      </c>
      <c r="X182" s="129">
        <v>-39761582</v>
      </c>
      <c r="Y182" s="129">
        <v>2078587</v>
      </c>
      <c r="Z182" s="129">
        <v>-19543400</v>
      </c>
      <c r="AA182" s="662" t="s">
        <v>228</v>
      </c>
      <c r="AB182" s="324" t="s">
        <v>536</v>
      </c>
      <c r="AC182" s="663" t="s">
        <v>512</v>
      </c>
      <c r="AD182" s="529" t="s">
        <v>1389</v>
      </c>
    </row>
    <row r="183" spans="1:30" ht="12.75" x14ac:dyDescent="0.2">
      <c r="A183" s="664">
        <v>176</v>
      </c>
      <c r="B183" s="665" t="s">
        <v>231</v>
      </c>
      <c r="C183" s="666" t="s">
        <v>1201</v>
      </c>
      <c r="D183" s="667" t="s">
        <v>1206</v>
      </c>
      <c r="E183" s="668" t="s">
        <v>230</v>
      </c>
      <c r="F183" s="129">
        <v>462826</v>
      </c>
      <c r="G183" s="129">
        <v>20596023</v>
      </c>
      <c r="H183" s="129">
        <v>0</v>
      </c>
      <c r="I183" s="129">
        <v>-422673</v>
      </c>
      <c r="J183" s="129">
        <v>880714</v>
      </c>
      <c r="K183" s="129">
        <v>-1488687</v>
      </c>
      <c r="L183" s="129">
        <v>19565377</v>
      </c>
      <c r="M183" s="129">
        <v>30977</v>
      </c>
      <c r="N183" s="129">
        <v>0</v>
      </c>
      <c r="O183" s="129">
        <v>0</v>
      </c>
      <c r="P183" s="129">
        <v>30977</v>
      </c>
      <c r="Q183" s="129">
        <v>-381977</v>
      </c>
      <c r="R183" s="129">
        <v>-13665237</v>
      </c>
      <c r="S183" s="129">
        <v>-2733047</v>
      </c>
      <c r="T183" s="129">
        <v>-10932190</v>
      </c>
      <c r="U183" s="129">
        <v>-2029676</v>
      </c>
      <c r="V183" s="129">
        <v>0</v>
      </c>
      <c r="W183" s="129">
        <v>-596161</v>
      </c>
      <c r="X183" s="129">
        <v>-30338288</v>
      </c>
      <c r="Y183" s="129">
        <v>656467</v>
      </c>
      <c r="Z183" s="129">
        <v>-9622641</v>
      </c>
      <c r="AA183" s="662" t="s">
        <v>230</v>
      </c>
      <c r="AB183" s="324" t="s">
        <v>552</v>
      </c>
      <c r="AC183" s="663" t="s">
        <v>512</v>
      </c>
      <c r="AD183" s="529" t="s">
        <v>1390</v>
      </c>
    </row>
    <row r="184" spans="1:30" ht="12.75" x14ac:dyDescent="0.2">
      <c r="A184" s="664">
        <v>177</v>
      </c>
      <c r="B184" s="665" t="s">
        <v>233</v>
      </c>
      <c r="C184" s="666" t="s">
        <v>486</v>
      </c>
      <c r="D184" s="667" t="s">
        <v>1218</v>
      </c>
      <c r="E184" s="668" t="s">
        <v>540</v>
      </c>
      <c r="F184" s="129">
        <v>2272786</v>
      </c>
      <c r="G184" s="129">
        <v>68351781</v>
      </c>
      <c r="H184" s="129">
        <v>-401846</v>
      </c>
      <c r="I184" s="129">
        <v>-1469500</v>
      </c>
      <c r="J184" s="129">
        <v>5499252</v>
      </c>
      <c r="K184" s="129">
        <v>-9054995</v>
      </c>
      <c r="L184" s="129">
        <v>62924692</v>
      </c>
      <c r="M184" s="129">
        <v>0</v>
      </c>
      <c r="N184" s="129">
        <v>0</v>
      </c>
      <c r="O184" s="129">
        <v>0</v>
      </c>
      <c r="P184" s="129">
        <v>0</v>
      </c>
      <c r="Q184" s="129">
        <v>-2426092</v>
      </c>
      <c r="R184" s="129">
        <v>-38127793</v>
      </c>
      <c r="S184" s="129">
        <v>-762556</v>
      </c>
      <c r="T184" s="129">
        <v>-37365237</v>
      </c>
      <c r="U184" s="129">
        <v>-8218302</v>
      </c>
      <c r="V184" s="129">
        <v>-239383</v>
      </c>
      <c r="W184" s="129">
        <v>-1713051</v>
      </c>
      <c r="X184" s="129">
        <v>-88852414</v>
      </c>
      <c r="Y184" s="129">
        <v>3761105</v>
      </c>
      <c r="Z184" s="129">
        <v>-19893831</v>
      </c>
      <c r="AA184" s="662" t="s">
        <v>540</v>
      </c>
      <c r="AB184" s="324" t="s">
        <v>486</v>
      </c>
      <c r="AC184" s="663" t="s">
        <v>538</v>
      </c>
      <c r="AD184" s="529" t="s">
        <v>1391</v>
      </c>
    </row>
    <row r="185" spans="1:30" ht="12.75" x14ac:dyDescent="0.2">
      <c r="A185" s="664">
        <v>178</v>
      </c>
      <c r="B185" s="665" t="s">
        <v>235</v>
      </c>
      <c r="C185" s="666" t="s">
        <v>1201</v>
      </c>
      <c r="D185" s="667" t="s">
        <v>1211</v>
      </c>
      <c r="E185" s="668" t="s">
        <v>234</v>
      </c>
      <c r="F185" s="129">
        <v>6027213</v>
      </c>
      <c r="G185" s="129">
        <v>11252712</v>
      </c>
      <c r="H185" s="129">
        <v>0</v>
      </c>
      <c r="I185" s="129">
        <v>-138378</v>
      </c>
      <c r="J185" s="129">
        <v>702061</v>
      </c>
      <c r="K185" s="129">
        <v>-88803</v>
      </c>
      <c r="L185" s="129">
        <v>11727592</v>
      </c>
      <c r="M185" s="129">
        <v>704406</v>
      </c>
      <c r="N185" s="129">
        <v>0</v>
      </c>
      <c r="O185" s="129">
        <v>0</v>
      </c>
      <c r="P185" s="129">
        <v>704406</v>
      </c>
      <c r="Q185" s="129">
        <v>-19419</v>
      </c>
      <c r="R185" s="129">
        <v>-12837744</v>
      </c>
      <c r="S185" s="129">
        <v>-2630466</v>
      </c>
      <c r="T185" s="129">
        <v>-10521866</v>
      </c>
      <c r="U185" s="129">
        <v>-911908</v>
      </c>
      <c r="V185" s="129">
        <v>-119634</v>
      </c>
      <c r="W185" s="129">
        <v>-3889560</v>
      </c>
      <c r="X185" s="129">
        <v>-30930597</v>
      </c>
      <c r="Y185" s="129">
        <v>0</v>
      </c>
      <c r="Z185" s="129">
        <v>-12471386</v>
      </c>
      <c r="AA185" s="662" t="s">
        <v>234</v>
      </c>
      <c r="AB185" s="324" t="s">
        <v>553</v>
      </c>
      <c r="AC185" s="663" t="s">
        <v>512</v>
      </c>
      <c r="AD185" s="529" t="s">
        <v>1392</v>
      </c>
    </row>
    <row r="186" spans="1:30" ht="12.75" x14ac:dyDescent="0.2">
      <c r="A186" s="664">
        <v>179</v>
      </c>
      <c r="B186" s="665" t="s">
        <v>1125</v>
      </c>
      <c r="C186" s="666" t="s">
        <v>486</v>
      </c>
      <c r="D186" s="667" t="s">
        <v>1206</v>
      </c>
      <c r="E186" s="668" t="s">
        <v>1092</v>
      </c>
      <c r="F186" s="129">
        <v>5388020</v>
      </c>
      <c r="G186" s="129">
        <v>92884687</v>
      </c>
      <c r="H186" s="129">
        <v>0</v>
      </c>
      <c r="I186" s="129">
        <v>-1144779</v>
      </c>
      <c r="J186" s="129">
        <v>3049386</v>
      </c>
      <c r="K186" s="129">
        <v>-3931686</v>
      </c>
      <c r="L186" s="129">
        <v>90857608</v>
      </c>
      <c r="M186" s="129">
        <v>200000</v>
      </c>
      <c r="N186" s="129">
        <v>0</v>
      </c>
      <c r="O186" s="129">
        <v>0</v>
      </c>
      <c r="P186" s="129">
        <v>200000</v>
      </c>
      <c r="Q186" s="129">
        <v>-314000</v>
      </c>
      <c r="R186" s="129">
        <v>-68386005</v>
      </c>
      <c r="S186" s="129">
        <v>-13677210</v>
      </c>
      <c r="T186" s="129">
        <v>-54708803</v>
      </c>
      <c r="U186" s="129">
        <v>-1259102</v>
      </c>
      <c r="V186" s="129">
        <v>0</v>
      </c>
      <c r="W186" s="129">
        <v>-7018531</v>
      </c>
      <c r="X186" s="129">
        <v>-145363651</v>
      </c>
      <c r="Y186" s="129">
        <v>2347795</v>
      </c>
      <c r="Z186" s="129">
        <v>-46570228</v>
      </c>
      <c r="AA186" s="662" t="s">
        <v>1092</v>
      </c>
      <c r="AB186" s="324" t="s">
        <v>486</v>
      </c>
      <c r="AC186" s="663" t="s">
        <v>1026</v>
      </c>
      <c r="AD186" s="529" t="s">
        <v>1540</v>
      </c>
    </row>
    <row r="187" spans="1:30" ht="12.75" x14ac:dyDescent="0.2">
      <c r="A187" s="664">
        <v>180</v>
      </c>
      <c r="B187" s="665" t="s">
        <v>237</v>
      </c>
      <c r="C187" s="666" t="s">
        <v>486</v>
      </c>
      <c r="D187" s="667" t="s">
        <v>1224</v>
      </c>
      <c r="E187" s="668" t="s">
        <v>490</v>
      </c>
      <c r="F187" s="129">
        <v>1711901</v>
      </c>
      <c r="G187" s="129">
        <v>32369530</v>
      </c>
      <c r="H187" s="129">
        <v>0</v>
      </c>
      <c r="I187" s="129">
        <v>-849023</v>
      </c>
      <c r="J187" s="129">
        <v>2101170</v>
      </c>
      <c r="K187" s="129">
        <v>-2754286</v>
      </c>
      <c r="L187" s="129">
        <v>30867391</v>
      </c>
      <c r="M187" s="129">
        <v>0</v>
      </c>
      <c r="N187" s="129">
        <v>424751</v>
      </c>
      <c r="O187" s="129">
        <v>0</v>
      </c>
      <c r="P187" s="129">
        <v>424751</v>
      </c>
      <c r="Q187" s="129">
        <v>-236691</v>
      </c>
      <c r="R187" s="129">
        <v>-29461199</v>
      </c>
      <c r="S187" s="129">
        <v>-589224</v>
      </c>
      <c r="T187" s="129">
        <v>-28871975</v>
      </c>
      <c r="U187" s="129">
        <v>-1070838</v>
      </c>
      <c r="V187" s="129">
        <v>0</v>
      </c>
      <c r="W187" s="129">
        <v>-1289537</v>
      </c>
      <c r="X187" s="129">
        <v>-61519464</v>
      </c>
      <c r="Y187" s="129">
        <v>578889</v>
      </c>
      <c r="Z187" s="129">
        <v>-27936532</v>
      </c>
      <c r="AA187" s="662" t="s">
        <v>490</v>
      </c>
      <c r="AB187" s="324" t="s">
        <v>486</v>
      </c>
      <c r="AC187" s="663" t="s">
        <v>487</v>
      </c>
      <c r="AD187" s="529" t="s">
        <v>1393</v>
      </c>
    </row>
    <row r="188" spans="1:30" ht="12.75" x14ac:dyDescent="0.2">
      <c r="A188" s="664">
        <v>181</v>
      </c>
      <c r="B188" s="665" t="s">
        <v>239</v>
      </c>
      <c r="C188" s="666" t="s">
        <v>1217</v>
      </c>
      <c r="D188" s="667" t="s">
        <v>1283</v>
      </c>
      <c r="E188" s="668" t="s">
        <v>238</v>
      </c>
      <c r="F188" s="129">
        <v>-2008504</v>
      </c>
      <c r="G188" s="129">
        <v>30195614</v>
      </c>
      <c r="H188" s="129">
        <v>0</v>
      </c>
      <c r="I188" s="129">
        <v>-450000</v>
      </c>
      <c r="J188" s="129">
        <v>1845384</v>
      </c>
      <c r="K188" s="129">
        <v>-4055384</v>
      </c>
      <c r="L188" s="129">
        <v>27535614</v>
      </c>
      <c r="M188" s="129">
        <v>0</v>
      </c>
      <c r="N188" s="129">
        <v>0</v>
      </c>
      <c r="O188" s="129">
        <v>1337063</v>
      </c>
      <c r="P188" s="129">
        <v>1337063</v>
      </c>
      <c r="Q188" s="129">
        <v>-286817</v>
      </c>
      <c r="R188" s="129">
        <v>-29217296</v>
      </c>
      <c r="S188" s="129">
        <v>-584346</v>
      </c>
      <c r="T188" s="129">
        <v>-28632951</v>
      </c>
      <c r="U188" s="129">
        <v>-155514</v>
      </c>
      <c r="V188" s="129">
        <v>-231034</v>
      </c>
      <c r="W188" s="129">
        <v>0</v>
      </c>
      <c r="X188" s="129">
        <v>-59107958</v>
      </c>
      <c r="Y188" s="129">
        <v>2870202</v>
      </c>
      <c r="Z188" s="129">
        <v>-29373583</v>
      </c>
      <c r="AA188" s="662" t="s">
        <v>238</v>
      </c>
      <c r="AB188" s="324" t="s">
        <v>570</v>
      </c>
      <c r="AC188" s="663" t="s">
        <v>573</v>
      </c>
      <c r="AD188" s="529" t="s">
        <v>1394</v>
      </c>
    </row>
    <row r="189" spans="1:30" ht="12.75" x14ac:dyDescent="0.2">
      <c r="A189" s="664">
        <v>182</v>
      </c>
      <c r="B189" s="665" t="s">
        <v>241</v>
      </c>
      <c r="C189" s="666" t="s">
        <v>1201</v>
      </c>
      <c r="D189" s="667" t="s">
        <v>1228</v>
      </c>
      <c r="E189" s="668" t="s">
        <v>240</v>
      </c>
      <c r="F189" s="129">
        <v>12047710</v>
      </c>
      <c r="G189" s="129">
        <v>46360630</v>
      </c>
      <c r="H189" s="129">
        <v>0</v>
      </c>
      <c r="I189" s="129">
        <v>-1000000</v>
      </c>
      <c r="J189" s="129">
        <v>0</v>
      </c>
      <c r="K189" s="129">
        <v>-3350000</v>
      </c>
      <c r="L189" s="129">
        <v>42010630</v>
      </c>
      <c r="M189" s="129">
        <v>10064</v>
      </c>
      <c r="N189" s="129">
        <v>0</v>
      </c>
      <c r="O189" s="129">
        <v>0</v>
      </c>
      <c r="P189" s="129">
        <v>10064</v>
      </c>
      <c r="Q189" s="129">
        <v>-10064</v>
      </c>
      <c r="R189" s="129">
        <v>-25871948</v>
      </c>
      <c r="S189" s="129">
        <v>-5174390</v>
      </c>
      <c r="T189" s="129">
        <v>-20697558</v>
      </c>
      <c r="U189" s="129">
        <v>-110539</v>
      </c>
      <c r="V189" s="129">
        <v>0</v>
      </c>
      <c r="W189" s="129">
        <v>-5808269</v>
      </c>
      <c r="X189" s="129">
        <v>-57672768</v>
      </c>
      <c r="Y189" s="129">
        <v>1111359</v>
      </c>
      <c r="Z189" s="129">
        <v>-2493005</v>
      </c>
      <c r="AA189" s="662" t="s">
        <v>240</v>
      </c>
      <c r="AB189" s="324" t="s">
        <v>567</v>
      </c>
      <c r="AC189" s="663" t="s">
        <v>512</v>
      </c>
      <c r="AD189" s="529" t="s">
        <v>1395</v>
      </c>
    </row>
    <row r="190" spans="1:30" ht="12.75" x14ac:dyDescent="0.2">
      <c r="A190" s="664">
        <v>183</v>
      </c>
      <c r="B190" s="665" t="s">
        <v>247</v>
      </c>
      <c r="C190" s="666" t="s">
        <v>1201</v>
      </c>
      <c r="D190" s="667" t="s">
        <v>1206</v>
      </c>
      <c r="E190" s="668" t="s">
        <v>246</v>
      </c>
      <c r="F190" s="129">
        <v>-1496563</v>
      </c>
      <c r="G190" s="129">
        <v>60648789</v>
      </c>
      <c r="H190" s="129">
        <v>0</v>
      </c>
      <c r="I190" s="129">
        <v>-1906354</v>
      </c>
      <c r="J190" s="129">
        <v>1500459</v>
      </c>
      <c r="K190" s="129">
        <v>-4395067</v>
      </c>
      <c r="L190" s="129">
        <v>55847827</v>
      </c>
      <c r="M190" s="129">
        <v>118450</v>
      </c>
      <c r="N190" s="129">
        <v>17243</v>
      </c>
      <c r="O190" s="129">
        <v>1072365</v>
      </c>
      <c r="P190" s="129">
        <v>1208058</v>
      </c>
      <c r="Q190" s="129">
        <v>0</v>
      </c>
      <c r="R190" s="129">
        <v>-34544238</v>
      </c>
      <c r="S190" s="129">
        <v>-6908848</v>
      </c>
      <c r="T190" s="129">
        <v>-27635391</v>
      </c>
      <c r="U190" s="129">
        <v>-323555</v>
      </c>
      <c r="V190" s="129">
        <v>0</v>
      </c>
      <c r="W190" s="129">
        <v>0</v>
      </c>
      <c r="X190" s="129">
        <v>-69412032</v>
      </c>
      <c r="Y190" s="129">
        <v>1077577</v>
      </c>
      <c r="Z190" s="129">
        <v>-12775133</v>
      </c>
      <c r="AA190" s="662" t="s">
        <v>246</v>
      </c>
      <c r="AB190" s="324" t="s">
        <v>551</v>
      </c>
      <c r="AC190" s="663" t="s">
        <v>549</v>
      </c>
      <c r="AD190" s="529" t="s">
        <v>1396</v>
      </c>
    </row>
    <row r="191" spans="1:30" ht="12.75" x14ac:dyDescent="0.2">
      <c r="A191" s="664">
        <v>184</v>
      </c>
      <c r="B191" s="665" t="s">
        <v>249</v>
      </c>
      <c r="C191" s="666" t="s">
        <v>486</v>
      </c>
      <c r="D191" s="667" t="s">
        <v>1283</v>
      </c>
      <c r="E191" s="668" t="s">
        <v>248</v>
      </c>
      <c r="F191" s="129">
        <v>-467728</v>
      </c>
      <c r="G191" s="129">
        <v>48933842</v>
      </c>
      <c r="H191" s="129">
        <v>0</v>
      </c>
      <c r="I191" s="129">
        <v>-2501478</v>
      </c>
      <c r="J191" s="129">
        <v>0</v>
      </c>
      <c r="K191" s="129">
        <v>-3816440</v>
      </c>
      <c r="L191" s="129">
        <v>42615924</v>
      </c>
      <c r="M191" s="129">
        <v>1060202</v>
      </c>
      <c r="N191" s="129">
        <v>0</v>
      </c>
      <c r="O191" s="129">
        <v>0</v>
      </c>
      <c r="P191" s="129">
        <v>1060202</v>
      </c>
      <c r="Q191" s="129">
        <v>0</v>
      </c>
      <c r="R191" s="129">
        <v>-40425543</v>
      </c>
      <c r="S191" s="129">
        <v>0</v>
      </c>
      <c r="T191" s="129">
        <v>-40509258</v>
      </c>
      <c r="U191" s="129">
        <v>-3527826</v>
      </c>
      <c r="V191" s="129">
        <v>-1021453</v>
      </c>
      <c r="W191" s="129">
        <v>-229917</v>
      </c>
      <c r="X191" s="129">
        <v>-85713997</v>
      </c>
      <c r="Y191" s="129">
        <v>1367917</v>
      </c>
      <c r="Z191" s="129">
        <v>-41137682</v>
      </c>
      <c r="AA191" s="662" t="s">
        <v>248</v>
      </c>
      <c r="AB191" s="324" t="s">
        <v>486</v>
      </c>
      <c r="AC191" s="663" t="s">
        <v>512</v>
      </c>
      <c r="AD191" s="529" t="s">
        <v>1397</v>
      </c>
    </row>
    <row r="192" spans="1:30" ht="12.75" x14ac:dyDescent="0.2">
      <c r="A192" s="664">
        <v>185</v>
      </c>
      <c r="B192" s="665" t="s">
        <v>251</v>
      </c>
      <c r="C192" s="666" t="s">
        <v>1201</v>
      </c>
      <c r="D192" s="667" t="s">
        <v>1211</v>
      </c>
      <c r="E192" s="668" t="s">
        <v>250</v>
      </c>
      <c r="F192" s="129">
        <v>2444832</v>
      </c>
      <c r="G192" s="129">
        <v>32988812</v>
      </c>
      <c r="H192" s="129">
        <v>0</v>
      </c>
      <c r="I192" s="129">
        <v>-2299321</v>
      </c>
      <c r="J192" s="129">
        <v>2690519</v>
      </c>
      <c r="K192" s="129">
        <v>-1540018</v>
      </c>
      <c r="L192" s="129">
        <v>31839992</v>
      </c>
      <c r="M192" s="129">
        <v>0</v>
      </c>
      <c r="N192" s="129">
        <v>0</v>
      </c>
      <c r="O192" s="129">
        <v>0</v>
      </c>
      <c r="P192" s="129">
        <v>0</v>
      </c>
      <c r="Q192" s="129">
        <v>-784010</v>
      </c>
      <c r="R192" s="129">
        <v>-37931117</v>
      </c>
      <c r="S192" s="129">
        <v>-7586223</v>
      </c>
      <c r="T192" s="129">
        <v>-30344894</v>
      </c>
      <c r="U192" s="129">
        <v>0</v>
      </c>
      <c r="V192" s="129">
        <v>-271166</v>
      </c>
      <c r="W192" s="129">
        <v>-2063285</v>
      </c>
      <c r="X192" s="129">
        <v>-78980695</v>
      </c>
      <c r="Y192" s="129">
        <v>1438951</v>
      </c>
      <c r="Z192" s="129">
        <v>-43256920</v>
      </c>
      <c r="AA192" s="662" t="s">
        <v>250</v>
      </c>
      <c r="AB192" s="324" t="s">
        <v>553</v>
      </c>
      <c r="AC192" s="663" t="s">
        <v>512</v>
      </c>
      <c r="AD192" s="529" t="s">
        <v>1398</v>
      </c>
    </row>
    <row r="193" spans="1:30" ht="12.75" x14ac:dyDescent="0.2">
      <c r="A193" s="664">
        <v>186</v>
      </c>
      <c r="B193" s="665" t="s">
        <v>253</v>
      </c>
      <c r="C193" s="666" t="s">
        <v>486</v>
      </c>
      <c r="D193" s="667" t="s">
        <v>1206</v>
      </c>
      <c r="E193" s="668" t="s">
        <v>557</v>
      </c>
      <c r="F193" s="129">
        <v>1654913</v>
      </c>
      <c r="G193" s="129">
        <v>73295473</v>
      </c>
      <c r="H193" s="129">
        <v>0</v>
      </c>
      <c r="I193" s="129">
        <v>-1500000</v>
      </c>
      <c r="J193" s="129">
        <v>2397018</v>
      </c>
      <c r="K193" s="129">
        <v>-2397018</v>
      </c>
      <c r="L193" s="129">
        <v>71795473</v>
      </c>
      <c r="M193" s="129">
        <v>222370</v>
      </c>
      <c r="N193" s="129">
        <v>0</v>
      </c>
      <c r="O193" s="129">
        <v>0</v>
      </c>
      <c r="P193" s="129">
        <v>222370</v>
      </c>
      <c r="Q193" s="129">
        <v>0</v>
      </c>
      <c r="R193" s="129">
        <v>-68792789</v>
      </c>
      <c r="S193" s="129">
        <v>-1375856</v>
      </c>
      <c r="T193" s="129">
        <v>-67416933</v>
      </c>
      <c r="U193" s="129">
        <v>-481943</v>
      </c>
      <c r="V193" s="129">
        <v>0</v>
      </c>
      <c r="W193" s="129">
        <v>-5351646</v>
      </c>
      <c r="X193" s="129">
        <v>-143419167</v>
      </c>
      <c r="Y193" s="129">
        <v>1971699</v>
      </c>
      <c r="Z193" s="129">
        <v>-67774712</v>
      </c>
      <c r="AA193" s="662" t="s">
        <v>557</v>
      </c>
      <c r="AB193" s="324" t="s">
        <v>486</v>
      </c>
      <c r="AC193" s="663" t="s">
        <v>558</v>
      </c>
      <c r="AD193" s="529" t="s">
        <v>1399</v>
      </c>
    </row>
    <row r="194" spans="1:30" ht="12.75" x14ac:dyDescent="0.2">
      <c r="A194" s="664">
        <v>187</v>
      </c>
      <c r="B194" s="665" t="s">
        <v>255</v>
      </c>
      <c r="C194" s="666" t="s">
        <v>1201</v>
      </c>
      <c r="D194" s="667" t="s">
        <v>1228</v>
      </c>
      <c r="E194" s="668" t="s">
        <v>254</v>
      </c>
      <c r="F194" s="129">
        <v>553828</v>
      </c>
      <c r="G194" s="129">
        <v>22896357</v>
      </c>
      <c r="H194" s="129">
        <v>-193587</v>
      </c>
      <c r="I194" s="129">
        <v>-606413</v>
      </c>
      <c r="J194" s="129">
        <v>0</v>
      </c>
      <c r="K194" s="129">
        <v>-2000000</v>
      </c>
      <c r="L194" s="129">
        <v>20096357</v>
      </c>
      <c r="M194" s="129">
        <v>0</v>
      </c>
      <c r="N194" s="129">
        <v>0</v>
      </c>
      <c r="O194" s="129">
        <v>0</v>
      </c>
      <c r="P194" s="129">
        <v>0</v>
      </c>
      <c r="Q194" s="129">
        <v>-74500</v>
      </c>
      <c r="R194" s="129">
        <v>-3444550</v>
      </c>
      <c r="S194" s="129">
        <v>-17222750</v>
      </c>
      <c r="T194" s="129">
        <v>-13778200</v>
      </c>
      <c r="U194" s="129">
        <v>-129348</v>
      </c>
      <c r="V194" s="129">
        <v>0</v>
      </c>
      <c r="W194" s="129">
        <v>-300735</v>
      </c>
      <c r="X194" s="129">
        <v>-34950083</v>
      </c>
      <c r="Y194" s="129">
        <v>1898857</v>
      </c>
      <c r="Z194" s="129">
        <v>-12401042</v>
      </c>
      <c r="AA194" s="662" t="s">
        <v>254</v>
      </c>
      <c r="AB194" s="324" t="s">
        <v>567</v>
      </c>
      <c r="AC194" s="663" t="s">
        <v>512</v>
      </c>
      <c r="AD194" s="529" t="s">
        <v>1400</v>
      </c>
    </row>
    <row r="195" spans="1:30" ht="12.75" x14ac:dyDescent="0.2">
      <c r="A195" s="664">
        <v>188</v>
      </c>
      <c r="B195" s="665" t="s">
        <v>257</v>
      </c>
      <c r="C195" s="666" t="s">
        <v>1201</v>
      </c>
      <c r="D195" s="667" t="s">
        <v>1206</v>
      </c>
      <c r="E195" s="668" t="s">
        <v>256</v>
      </c>
      <c r="F195" s="129">
        <v>230638</v>
      </c>
      <c r="G195" s="129">
        <v>6594373</v>
      </c>
      <c r="H195" s="129">
        <v>-152862</v>
      </c>
      <c r="I195" s="129">
        <v>-75000</v>
      </c>
      <c r="J195" s="129">
        <v>600000</v>
      </c>
      <c r="K195" s="129">
        <v>-250000</v>
      </c>
      <c r="L195" s="129">
        <v>6716511</v>
      </c>
      <c r="M195" s="129">
        <v>66519</v>
      </c>
      <c r="N195" s="129">
        <v>0</v>
      </c>
      <c r="O195" s="129">
        <v>34496</v>
      </c>
      <c r="P195" s="129">
        <v>101015</v>
      </c>
      <c r="Q195" s="129">
        <v>-26843</v>
      </c>
      <c r="R195" s="129">
        <v>-6371301</v>
      </c>
      <c r="S195" s="129">
        <v>-1146834</v>
      </c>
      <c r="T195" s="129">
        <v>-5097040</v>
      </c>
      <c r="U195" s="129">
        <v>-63834</v>
      </c>
      <c r="V195" s="129">
        <v>0</v>
      </c>
      <c r="W195" s="129">
        <v>0</v>
      </c>
      <c r="X195" s="129">
        <v>-12705852</v>
      </c>
      <c r="Y195" s="129">
        <v>227477</v>
      </c>
      <c r="Z195" s="129">
        <v>-5430211</v>
      </c>
      <c r="AA195" s="662" t="s">
        <v>256</v>
      </c>
      <c r="AB195" s="324" t="s">
        <v>551</v>
      </c>
      <c r="AC195" s="663" t="s">
        <v>549</v>
      </c>
      <c r="AD195" s="529" t="s">
        <v>1401</v>
      </c>
    </row>
    <row r="196" spans="1:30" ht="12.75" x14ac:dyDescent="0.2">
      <c r="A196" s="664">
        <v>189</v>
      </c>
      <c r="B196" s="665" t="s">
        <v>259</v>
      </c>
      <c r="C196" s="666" t="s">
        <v>1217</v>
      </c>
      <c r="D196" s="667" t="s">
        <v>1204</v>
      </c>
      <c r="E196" s="668" t="s">
        <v>258</v>
      </c>
      <c r="F196" s="129">
        <v>3111700</v>
      </c>
      <c r="G196" s="129">
        <v>32355094</v>
      </c>
      <c r="H196" s="129">
        <v>0</v>
      </c>
      <c r="I196" s="129">
        <v>-2521000</v>
      </c>
      <c r="J196" s="129">
        <v>0</v>
      </c>
      <c r="K196" s="129">
        <v>-2750000</v>
      </c>
      <c r="L196" s="129">
        <v>27084094</v>
      </c>
      <c r="M196" s="129">
        <v>0</v>
      </c>
      <c r="N196" s="129">
        <v>0</v>
      </c>
      <c r="O196" s="129">
        <v>0</v>
      </c>
      <c r="P196" s="129">
        <v>0</v>
      </c>
      <c r="Q196" s="129">
        <v>-856402</v>
      </c>
      <c r="R196" s="129">
        <v>0</v>
      </c>
      <c r="S196" s="129">
        <v>-539757</v>
      </c>
      <c r="T196" s="129">
        <v>-53435905</v>
      </c>
      <c r="U196" s="129">
        <v>-295441</v>
      </c>
      <c r="V196" s="129">
        <v>0</v>
      </c>
      <c r="W196" s="129">
        <v>-1060496</v>
      </c>
      <c r="X196" s="129">
        <v>-56188001</v>
      </c>
      <c r="Y196" s="129">
        <v>2554880</v>
      </c>
      <c r="Z196" s="129">
        <v>-23437327</v>
      </c>
      <c r="AA196" s="662" t="s">
        <v>258</v>
      </c>
      <c r="AB196" s="324" t="s">
        <v>570</v>
      </c>
      <c r="AC196" s="663" t="s">
        <v>1915</v>
      </c>
      <c r="AD196" s="529" t="s">
        <v>1402</v>
      </c>
    </row>
    <row r="197" spans="1:30" ht="12.75" x14ac:dyDescent="0.2">
      <c r="A197" s="664">
        <v>190</v>
      </c>
      <c r="B197" s="665" t="s">
        <v>261</v>
      </c>
      <c r="C197" s="666" t="s">
        <v>1201</v>
      </c>
      <c r="D197" s="667" t="s">
        <v>1202</v>
      </c>
      <c r="E197" s="668" t="s">
        <v>260</v>
      </c>
      <c r="F197" s="129">
        <v>-707540</v>
      </c>
      <c r="G197" s="129">
        <v>49553251</v>
      </c>
      <c r="H197" s="129">
        <v>-314473</v>
      </c>
      <c r="I197" s="129">
        <v>-67144</v>
      </c>
      <c r="J197" s="129">
        <v>3200118</v>
      </c>
      <c r="K197" s="129">
        <v>-10895485</v>
      </c>
      <c r="L197" s="129">
        <v>41476267</v>
      </c>
      <c r="M197" s="129">
        <v>525261</v>
      </c>
      <c r="N197" s="129">
        <v>0</v>
      </c>
      <c r="O197" s="129">
        <v>74174</v>
      </c>
      <c r="P197" s="129">
        <v>599435</v>
      </c>
      <c r="Q197" s="129">
        <v>0</v>
      </c>
      <c r="R197" s="129">
        <v>-51504456</v>
      </c>
      <c r="S197" s="129">
        <v>-10300891</v>
      </c>
      <c r="T197" s="129">
        <v>-41203565</v>
      </c>
      <c r="U197" s="129">
        <v>-244937</v>
      </c>
      <c r="V197" s="129">
        <v>0</v>
      </c>
      <c r="W197" s="129">
        <v>0</v>
      </c>
      <c r="X197" s="129">
        <v>-103253849</v>
      </c>
      <c r="Y197" s="129">
        <v>3893318</v>
      </c>
      <c r="Z197" s="129">
        <v>-57992369</v>
      </c>
      <c r="AA197" s="662" t="s">
        <v>260</v>
      </c>
      <c r="AB197" s="324" t="s">
        <v>560</v>
      </c>
      <c r="AC197" s="663" t="s">
        <v>512</v>
      </c>
      <c r="AD197" s="529" t="s">
        <v>1403</v>
      </c>
    </row>
    <row r="198" spans="1:30" ht="12.75" x14ac:dyDescent="0.2">
      <c r="A198" s="664">
        <v>191</v>
      </c>
      <c r="B198" s="665" t="s">
        <v>263</v>
      </c>
      <c r="C198" s="666" t="s">
        <v>1201</v>
      </c>
      <c r="D198" s="667" t="s">
        <v>1204</v>
      </c>
      <c r="E198" s="668" t="s">
        <v>262</v>
      </c>
      <c r="F198" s="129">
        <v>2486039</v>
      </c>
      <c r="G198" s="129">
        <v>9203653</v>
      </c>
      <c r="H198" s="129">
        <v>-198336</v>
      </c>
      <c r="I198" s="129">
        <v>-200000</v>
      </c>
      <c r="J198" s="129">
        <v>0</v>
      </c>
      <c r="K198" s="129">
        <v>-1519000</v>
      </c>
      <c r="L198" s="129">
        <v>7286317</v>
      </c>
      <c r="M198" s="129">
        <v>90513</v>
      </c>
      <c r="N198" s="129">
        <v>0</v>
      </c>
      <c r="O198" s="129">
        <v>0</v>
      </c>
      <c r="P198" s="129">
        <v>90513</v>
      </c>
      <c r="Q198" s="129">
        <v>0</v>
      </c>
      <c r="R198" s="129">
        <v>-9399988</v>
      </c>
      <c r="S198" s="129">
        <v>-1879998</v>
      </c>
      <c r="T198" s="129">
        <v>-7519991</v>
      </c>
      <c r="U198" s="129">
        <v>-130837</v>
      </c>
      <c r="V198" s="129">
        <v>0</v>
      </c>
      <c r="W198" s="129">
        <v>-1804771</v>
      </c>
      <c r="X198" s="129">
        <v>-20735585</v>
      </c>
      <c r="Y198" s="129">
        <v>1965753</v>
      </c>
      <c r="Z198" s="129">
        <v>-8906963</v>
      </c>
      <c r="AA198" s="662" t="s">
        <v>262</v>
      </c>
      <c r="AB198" s="324" t="s">
        <v>547</v>
      </c>
      <c r="AC198" s="663" t="s">
        <v>545</v>
      </c>
      <c r="AD198" s="529" t="s">
        <v>1404</v>
      </c>
    </row>
    <row r="199" spans="1:30" ht="12.75" x14ac:dyDescent="0.2">
      <c r="A199" s="664">
        <v>192</v>
      </c>
      <c r="B199" s="665" t="s">
        <v>264</v>
      </c>
      <c r="C199" s="666" t="s">
        <v>486</v>
      </c>
      <c r="D199" s="667" t="s">
        <v>1211</v>
      </c>
      <c r="E199" s="668" t="s">
        <v>501</v>
      </c>
      <c r="F199" s="129">
        <v>4360083</v>
      </c>
      <c r="G199" s="129">
        <v>60990780</v>
      </c>
      <c r="H199" s="129">
        <v>0</v>
      </c>
      <c r="I199" s="129">
        <v>-4780636</v>
      </c>
      <c r="J199" s="129">
        <v>3193875</v>
      </c>
      <c r="K199" s="129">
        <v>-6123867</v>
      </c>
      <c r="L199" s="129">
        <v>53280152</v>
      </c>
      <c r="M199" s="129">
        <v>77741</v>
      </c>
      <c r="N199" s="129">
        <v>0</v>
      </c>
      <c r="O199" s="129">
        <v>0</v>
      </c>
      <c r="P199" s="129">
        <v>77741</v>
      </c>
      <c r="Q199" s="129">
        <v>-1373788</v>
      </c>
      <c r="R199" s="129">
        <v>-48408048</v>
      </c>
      <c r="S199" s="129">
        <v>-968161</v>
      </c>
      <c r="T199" s="129">
        <v>-47439888</v>
      </c>
      <c r="U199" s="129">
        <v>-617463</v>
      </c>
      <c r="V199" s="129">
        <v>0</v>
      </c>
      <c r="W199" s="129">
        <v>-4778764</v>
      </c>
      <c r="X199" s="129">
        <v>-103586112</v>
      </c>
      <c r="Y199" s="129">
        <v>2809890</v>
      </c>
      <c r="Z199" s="129">
        <v>-43058246</v>
      </c>
      <c r="AA199" s="662" t="s">
        <v>501</v>
      </c>
      <c r="AB199" s="324" t="s">
        <v>486</v>
      </c>
      <c r="AC199" s="663" t="s">
        <v>502</v>
      </c>
      <c r="AD199" s="529" t="s">
        <v>1405</v>
      </c>
    </row>
    <row r="200" spans="1:30" ht="12.75" x14ac:dyDescent="0.2">
      <c r="A200" s="664">
        <v>193</v>
      </c>
      <c r="B200" s="665" t="s">
        <v>266</v>
      </c>
      <c r="C200" s="666" t="s">
        <v>486</v>
      </c>
      <c r="D200" s="667" t="s">
        <v>1224</v>
      </c>
      <c r="E200" s="668" t="s">
        <v>518</v>
      </c>
      <c r="F200" s="129">
        <v>-2298356</v>
      </c>
      <c r="G200" s="129">
        <v>42520366</v>
      </c>
      <c r="H200" s="129">
        <v>-279296</v>
      </c>
      <c r="I200" s="129">
        <v>-656666</v>
      </c>
      <c r="J200" s="129">
        <v>2310591</v>
      </c>
      <c r="K200" s="129">
        <v>-4568007</v>
      </c>
      <c r="L200" s="129">
        <v>39326988</v>
      </c>
      <c r="M200" s="129">
        <v>0</v>
      </c>
      <c r="N200" s="129">
        <v>0</v>
      </c>
      <c r="O200" s="129">
        <v>1804050</v>
      </c>
      <c r="P200" s="129">
        <v>1804050</v>
      </c>
      <c r="Q200" s="129">
        <v>0</v>
      </c>
      <c r="R200" s="129">
        <v>-45365333</v>
      </c>
      <c r="S200" s="129">
        <v>-907524</v>
      </c>
      <c r="T200" s="129">
        <v>-44468663</v>
      </c>
      <c r="U200" s="129">
        <v>-544300</v>
      </c>
      <c r="V200" s="129">
        <v>0</v>
      </c>
      <c r="W200" s="129">
        <v>0</v>
      </c>
      <c r="X200" s="129">
        <v>-91285820</v>
      </c>
      <c r="Y200" s="129">
        <v>3872035</v>
      </c>
      <c r="Z200" s="129">
        <v>-48581103</v>
      </c>
      <c r="AA200" s="662" t="s">
        <v>518</v>
      </c>
      <c r="AB200" s="324" t="s">
        <v>486</v>
      </c>
      <c r="AC200" s="663" t="s">
        <v>519</v>
      </c>
      <c r="AD200" s="529" t="s">
        <v>1406</v>
      </c>
    </row>
    <row r="201" spans="1:30" ht="12.75" x14ac:dyDescent="0.2">
      <c r="A201" s="664">
        <v>194</v>
      </c>
      <c r="B201" s="665" t="s">
        <v>267</v>
      </c>
      <c r="C201" s="666" t="s">
        <v>486</v>
      </c>
      <c r="D201" s="667" t="s">
        <v>1202</v>
      </c>
      <c r="E201" s="668" t="s">
        <v>530</v>
      </c>
      <c r="F201" s="129">
        <v>1875355</v>
      </c>
      <c r="G201" s="129">
        <v>43316522</v>
      </c>
      <c r="H201" s="129">
        <v>-2082300</v>
      </c>
      <c r="I201" s="129">
        <v>0</v>
      </c>
      <c r="J201" s="129">
        <v>359594</v>
      </c>
      <c r="K201" s="129">
        <v>-8325115</v>
      </c>
      <c r="L201" s="129">
        <v>33268701</v>
      </c>
      <c r="M201" s="129">
        <v>0</v>
      </c>
      <c r="N201" s="129">
        <v>0</v>
      </c>
      <c r="O201" s="129">
        <v>0</v>
      </c>
      <c r="P201" s="129">
        <v>0</v>
      </c>
      <c r="Q201" s="129">
        <v>-490946</v>
      </c>
      <c r="R201" s="129">
        <v>-42529905</v>
      </c>
      <c r="S201" s="129">
        <v>-850598</v>
      </c>
      <c r="T201" s="129">
        <v>-41679307</v>
      </c>
      <c r="U201" s="129">
        <v>-272658</v>
      </c>
      <c r="V201" s="129">
        <v>0</v>
      </c>
      <c r="W201" s="129">
        <v>-1239375</v>
      </c>
      <c r="X201" s="129">
        <v>-87062789</v>
      </c>
      <c r="Y201" s="129">
        <v>5567377</v>
      </c>
      <c r="Z201" s="129">
        <v>-46351356</v>
      </c>
      <c r="AA201" s="662" t="s">
        <v>530</v>
      </c>
      <c r="AB201" s="324" t="s">
        <v>486</v>
      </c>
      <c r="AC201" s="663" t="s">
        <v>1914</v>
      </c>
      <c r="AD201" s="529" t="s">
        <v>1407</v>
      </c>
    </row>
    <row r="202" spans="1:30" ht="12.75" x14ac:dyDescent="0.2">
      <c r="A202" s="664">
        <v>195</v>
      </c>
      <c r="B202" s="665" t="s">
        <v>269</v>
      </c>
      <c r="C202" s="666" t="s">
        <v>1201</v>
      </c>
      <c r="D202" s="667" t="s">
        <v>1204</v>
      </c>
      <c r="E202" s="668" t="s">
        <v>268</v>
      </c>
      <c r="F202" s="129">
        <v>1138501</v>
      </c>
      <c r="G202" s="129">
        <v>28424901</v>
      </c>
      <c r="H202" s="129">
        <v>0</v>
      </c>
      <c r="I202" s="129">
        <v>-2105368</v>
      </c>
      <c r="J202" s="129">
        <v>1331890</v>
      </c>
      <c r="K202" s="129">
        <v>-5913379</v>
      </c>
      <c r="L202" s="129">
        <v>21738044</v>
      </c>
      <c r="M202" s="129">
        <v>0</v>
      </c>
      <c r="N202" s="129">
        <v>0</v>
      </c>
      <c r="O202" s="129">
        <v>116095</v>
      </c>
      <c r="P202" s="129">
        <v>116095</v>
      </c>
      <c r="Q202" s="129">
        <v>-2811832</v>
      </c>
      <c r="R202" s="129">
        <v>-26924254</v>
      </c>
      <c r="S202" s="129">
        <v>-5384851</v>
      </c>
      <c r="T202" s="129">
        <v>-21539403</v>
      </c>
      <c r="U202" s="129">
        <v>-263615</v>
      </c>
      <c r="V202" s="129">
        <v>0</v>
      </c>
      <c r="W202" s="129">
        <v>0</v>
      </c>
      <c r="X202" s="129">
        <v>-56923955</v>
      </c>
      <c r="Y202" s="129">
        <v>3196689</v>
      </c>
      <c r="Z202" s="129">
        <v>-30734625</v>
      </c>
      <c r="AA202" s="662" t="s">
        <v>268</v>
      </c>
      <c r="AB202" s="324" t="s">
        <v>547</v>
      </c>
      <c r="AC202" s="663" t="s">
        <v>545</v>
      </c>
      <c r="AD202" s="529" t="s">
        <v>1408</v>
      </c>
    </row>
    <row r="203" spans="1:30" ht="12.75" x14ac:dyDescent="0.2">
      <c r="A203" s="664">
        <v>196</v>
      </c>
      <c r="B203" s="665" t="s">
        <v>270</v>
      </c>
      <c r="C203" s="666" t="s">
        <v>486</v>
      </c>
      <c r="D203" s="667" t="s">
        <v>1202</v>
      </c>
      <c r="E203" s="668" t="s">
        <v>496</v>
      </c>
      <c r="F203" s="129">
        <v>14910632</v>
      </c>
      <c r="G203" s="129">
        <v>81264153</v>
      </c>
      <c r="H203" s="129">
        <v>0</v>
      </c>
      <c r="I203" s="129">
        <v>-2681418</v>
      </c>
      <c r="J203" s="129">
        <v>0</v>
      </c>
      <c r="K203" s="129">
        <v>-2082081</v>
      </c>
      <c r="L203" s="129">
        <v>76500654</v>
      </c>
      <c r="M203" s="129">
        <v>0</v>
      </c>
      <c r="N203" s="129">
        <v>0</v>
      </c>
      <c r="O203" s="129">
        <v>0</v>
      </c>
      <c r="P203" s="129">
        <v>0</v>
      </c>
      <c r="Q203" s="129">
        <v>-216518</v>
      </c>
      <c r="R203" s="129">
        <v>-69919501</v>
      </c>
      <c r="S203" s="129">
        <v>-1398390</v>
      </c>
      <c r="T203" s="129">
        <v>-68521110</v>
      </c>
      <c r="U203" s="129">
        <v>-288133</v>
      </c>
      <c r="V203" s="129">
        <v>0</v>
      </c>
      <c r="W203" s="129">
        <v>-11027641</v>
      </c>
      <c r="X203" s="129">
        <v>-151371293</v>
      </c>
      <c r="Y203" s="129">
        <v>5134514</v>
      </c>
      <c r="Z203" s="129">
        <v>-54825493</v>
      </c>
      <c r="AA203" s="662" t="s">
        <v>496</v>
      </c>
      <c r="AB203" s="324" t="s">
        <v>486</v>
      </c>
      <c r="AC203" s="663" t="s">
        <v>494</v>
      </c>
      <c r="AD203" s="529" t="s">
        <v>1409</v>
      </c>
    </row>
    <row r="204" spans="1:30" ht="12.75" x14ac:dyDescent="0.2">
      <c r="A204" s="664">
        <v>197</v>
      </c>
      <c r="B204" s="665" t="s">
        <v>272</v>
      </c>
      <c r="C204" s="666" t="s">
        <v>1213</v>
      </c>
      <c r="D204" s="667" t="s">
        <v>1214</v>
      </c>
      <c r="E204" s="668" t="s">
        <v>271</v>
      </c>
      <c r="F204" s="129">
        <v>5204498</v>
      </c>
      <c r="G204" s="129">
        <v>23966612</v>
      </c>
      <c r="H204" s="129">
        <v>0</v>
      </c>
      <c r="I204" s="129">
        <v>-478887</v>
      </c>
      <c r="J204" s="129">
        <v>228180</v>
      </c>
      <c r="K204" s="129">
        <v>-1576774</v>
      </c>
      <c r="L204" s="129">
        <v>22139131</v>
      </c>
      <c r="M204" s="129">
        <v>699421</v>
      </c>
      <c r="N204" s="129">
        <v>0</v>
      </c>
      <c r="O204" s="129">
        <v>0</v>
      </c>
      <c r="P204" s="129">
        <v>699421</v>
      </c>
      <c r="Q204" s="129">
        <v>0</v>
      </c>
      <c r="R204" s="129">
        <v>-18442698</v>
      </c>
      <c r="S204" s="129">
        <v>-20678177</v>
      </c>
      <c r="T204" s="129">
        <v>-16766089</v>
      </c>
      <c r="U204" s="129">
        <v>-276494</v>
      </c>
      <c r="V204" s="129">
        <v>0</v>
      </c>
      <c r="W204" s="129">
        <v>-3680235</v>
      </c>
      <c r="X204" s="129">
        <v>-59843693</v>
      </c>
      <c r="Y204" s="129">
        <v>783050</v>
      </c>
      <c r="Z204" s="129">
        <v>-31017593</v>
      </c>
      <c r="AA204" s="662" t="s">
        <v>271</v>
      </c>
      <c r="AB204" s="324" t="s">
        <v>576</v>
      </c>
      <c r="AC204" s="669" t="s">
        <v>485</v>
      </c>
      <c r="AD204" s="529" t="s">
        <v>1410</v>
      </c>
    </row>
    <row r="205" spans="1:30" ht="12.75" x14ac:dyDescent="0.2">
      <c r="A205" s="664">
        <v>198</v>
      </c>
      <c r="B205" s="665" t="s">
        <v>274</v>
      </c>
      <c r="C205" s="666" t="s">
        <v>486</v>
      </c>
      <c r="D205" s="667" t="s">
        <v>1283</v>
      </c>
      <c r="E205" s="668" t="s">
        <v>818</v>
      </c>
      <c r="F205" s="129">
        <v>-620583</v>
      </c>
      <c r="G205" s="129">
        <v>26049000</v>
      </c>
      <c r="H205" s="129">
        <v>0</v>
      </c>
      <c r="I205" s="129">
        <v>-580000</v>
      </c>
      <c r="J205" s="129">
        <v>1437000</v>
      </c>
      <c r="K205" s="129">
        <v>-1117000</v>
      </c>
      <c r="L205" s="129">
        <v>25789000</v>
      </c>
      <c r="M205" s="129">
        <v>0</v>
      </c>
      <c r="N205" s="129">
        <v>0</v>
      </c>
      <c r="O205" s="129">
        <v>0</v>
      </c>
      <c r="P205" s="129">
        <v>0</v>
      </c>
      <c r="Q205" s="129">
        <v>-904000</v>
      </c>
      <c r="R205" s="129">
        <v>-18552000</v>
      </c>
      <c r="S205" s="129">
        <v>-377000</v>
      </c>
      <c r="T205" s="129">
        <v>-18814000</v>
      </c>
      <c r="U205" s="129">
        <v>-2092000</v>
      </c>
      <c r="V205" s="129">
        <v>-159425</v>
      </c>
      <c r="W205" s="129">
        <v>-137922</v>
      </c>
      <c r="X205" s="129">
        <v>-41036347</v>
      </c>
      <c r="Y205" s="129">
        <v>1508276</v>
      </c>
      <c r="Z205" s="129">
        <v>-14359654</v>
      </c>
      <c r="AA205" s="662" t="s">
        <v>818</v>
      </c>
      <c r="AB205" s="324" t="s">
        <v>486</v>
      </c>
      <c r="AC205" s="663" t="s">
        <v>509</v>
      </c>
      <c r="AD205" s="529" t="s">
        <v>1411</v>
      </c>
    </row>
    <row r="206" spans="1:30" ht="12.75" x14ac:dyDescent="0.2">
      <c r="A206" s="664">
        <v>199</v>
      </c>
      <c r="B206" s="665" t="s">
        <v>276</v>
      </c>
      <c r="C206" s="666" t="s">
        <v>1201</v>
      </c>
      <c r="D206" s="667" t="s">
        <v>1228</v>
      </c>
      <c r="E206" s="668" t="s">
        <v>275</v>
      </c>
      <c r="F206" s="129">
        <v>5290763</v>
      </c>
      <c r="G206" s="129">
        <v>19858153</v>
      </c>
      <c r="H206" s="129">
        <v>0</v>
      </c>
      <c r="I206" s="129">
        <v>391123</v>
      </c>
      <c r="J206" s="129">
        <v>0</v>
      </c>
      <c r="K206" s="129">
        <v>-4375478</v>
      </c>
      <c r="L206" s="129">
        <v>15873798</v>
      </c>
      <c r="M206" s="129">
        <v>0</v>
      </c>
      <c r="N206" s="129">
        <v>0</v>
      </c>
      <c r="O206" s="129">
        <v>0</v>
      </c>
      <c r="P206" s="129">
        <v>0</v>
      </c>
      <c r="Q206" s="129">
        <v>-574201</v>
      </c>
      <c r="R206" s="129">
        <v>-16722152</v>
      </c>
      <c r="S206" s="129">
        <v>-3344430</v>
      </c>
      <c r="T206" s="129">
        <v>-13377721</v>
      </c>
      <c r="U206" s="129">
        <v>-105514</v>
      </c>
      <c r="V206" s="129">
        <v>0</v>
      </c>
      <c r="W206" s="129">
        <v>-2778239</v>
      </c>
      <c r="X206" s="129">
        <v>-36902257</v>
      </c>
      <c r="Y206" s="129">
        <v>2943081</v>
      </c>
      <c r="Z206" s="129">
        <v>-12794616</v>
      </c>
      <c r="AA206" s="662" t="s">
        <v>275</v>
      </c>
      <c r="AB206" s="324" t="s">
        <v>535</v>
      </c>
      <c r="AC206" s="663" t="s">
        <v>534</v>
      </c>
      <c r="AD206" s="529" t="s">
        <v>1412</v>
      </c>
    </row>
    <row r="207" spans="1:30" ht="12.75" x14ac:dyDescent="0.2">
      <c r="A207" s="664">
        <v>200</v>
      </c>
      <c r="B207" s="665" t="s">
        <v>278</v>
      </c>
      <c r="C207" s="666" t="s">
        <v>1201</v>
      </c>
      <c r="D207" s="667" t="s">
        <v>1202</v>
      </c>
      <c r="E207" s="668" t="s">
        <v>277</v>
      </c>
      <c r="F207" s="129">
        <v>-4871475</v>
      </c>
      <c r="G207" s="129">
        <v>30980545</v>
      </c>
      <c r="H207" s="129">
        <v>0</v>
      </c>
      <c r="I207" s="129">
        <v>-154916</v>
      </c>
      <c r="J207" s="129">
        <v>0</v>
      </c>
      <c r="K207" s="129">
        <v>-2430637</v>
      </c>
      <c r="L207" s="129">
        <v>28394992</v>
      </c>
      <c r="M207" s="129">
        <v>75830</v>
      </c>
      <c r="N207" s="129">
        <v>0</v>
      </c>
      <c r="O207" s="129">
        <v>3738709</v>
      </c>
      <c r="P207" s="129">
        <v>3814539</v>
      </c>
      <c r="Q207" s="129">
        <v>0</v>
      </c>
      <c r="R207" s="129">
        <v>-25961355</v>
      </c>
      <c r="S207" s="129">
        <v>-5192271</v>
      </c>
      <c r="T207" s="129">
        <v>-20769084</v>
      </c>
      <c r="U207" s="129">
        <v>0</v>
      </c>
      <c r="V207" s="129">
        <v>0</v>
      </c>
      <c r="W207" s="129">
        <v>0</v>
      </c>
      <c r="X207" s="129">
        <v>-51922710</v>
      </c>
      <c r="Y207" s="129">
        <v>2895846</v>
      </c>
      <c r="Z207" s="129">
        <v>-21688808</v>
      </c>
      <c r="AA207" s="662" t="s">
        <v>277</v>
      </c>
      <c r="AB207" s="324" t="s">
        <v>566</v>
      </c>
      <c r="AC207" s="663" t="s">
        <v>512</v>
      </c>
      <c r="AD207" s="529" t="s">
        <v>1413</v>
      </c>
    </row>
    <row r="208" spans="1:30" ht="12.75" x14ac:dyDescent="0.2">
      <c r="A208" s="664">
        <v>201</v>
      </c>
      <c r="B208" s="665" t="s">
        <v>280</v>
      </c>
      <c r="C208" s="666" t="s">
        <v>1201</v>
      </c>
      <c r="D208" s="667" t="s">
        <v>1204</v>
      </c>
      <c r="E208" s="668" t="s">
        <v>279</v>
      </c>
      <c r="F208" s="129">
        <v>320048</v>
      </c>
      <c r="G208" s="129">
        <v>8767956</v>
      </c>
      <c r="H208" s="129">
        <v>0</v>
      </c>
      <c r="I208" s="129">
        <v>-200000</v>
      </c>
      <c r="J208" s="129">
        <v>524774</v>
      </c>
      <c r="K208" s="129">
        <v>-616755</v>
      </c>
      <c r="L208" s="129">
        <v>8475975</v>
      </c>
      <c r="M208" s="129">
        <v>16015</v>
      </c>
      <c r="N208" s="129">
        <v>123112</v>
      </c>
      <c r="O208" s="129">
        <v>0</v>
      </c>
      <c r="P208" s="129">
        <v>139127</v>
      </c>
      <c r="Q208" s="129">
        <v>0</v>
      </c>
      <c r="R208" s="129">
        <v>-7641398</v>
      </c>
      <c r="S208" s="129">
        <v>-1528280</v>
      </c>
      <c r="T208" s="129">
        <v>-6113118</v>
      </c>
      <c r="U208" s="129">
        <v>-310067</v>
      </c>
      <c r="V208" s="129">
        <v>-3820</v>
      </c>
      <c r="W208" s="129">
        <v>-455984</v>
      </c>
      <c r="X208" s="129">
        <v>-16052667</v>
      </c>
      <c r="Y208" s="129">
        <v>357466</v>
      </c>
      <c r="Z208" s="129">
        <v>-6760051</v>
      </c>
      <c r="AA208" s="662" t="s">
        <v>279</v>
      </c>
      <c r="AB208" s="324" t="s">
        <v>547</v>
      </c>
      <c r="AC208" s="663" t="s">
        <v>545</v>
      </c>
      <c r="AD208" s="529" t="s">
        <v>1414</v>
      </c>
    </row>
    <row r="209" spans="1:30" ht="12.75" x14ac:dyDescent="0.2">
      <c r="A209" s="664">
        <v>202</v>
      </c>
      <c r="B209" s="665" t="s">
        <v>282</v>
      </c>
      <c r="C209" s="666" t="s">
        <v>1213</v>
      </c>
      <c r="D209" s="667" t="s">
        <v>1214</v>
      </c>
      <c r="E209" s="668" t="s">
        <v>281</v>
      </c>
      <c r="F209" s="129">
        <v>-3268234</v>
      </c>
      <c r="G209" s="129">
        <v>42461291</v>
      </c>
      <c r="H209" s="129">
        <v>0</v>
      </c>
      <c r="I209" s="129">
        <v>-5800000</v>
      </c>
      <c r="J209" s="129">
        <v>208000</v>
      </c>
      <c r="K209" s="129">
        <v>-1496000</v>
      </c>
      <c r="L209" s="129">
        <v>35373291</v>
      </c>
      <c r="M209" s="129">
        <v>0</v>
      </c>
      <c r="N209" s="129">
        <v>0</v>
      </c>
      <c r="O209" s="129">
        <v>893702</v>
      </c>
      <c r="P209" s="129">
        <v>893702</v>
      </c>
      <c r="Q209" s="129">
        <v>-181853</v>
      </c>
      <c r="R209" s="129">
        <v>-30175567</v>
      </c>
      <c r="S209" s="129">
        <v>-33833211</v>
      </c>
      <c r="T209" s="129">
        <v>-27432334</v>
      </c>
      <c r="U209" s="129">
        <v>0</v>
      </c>
      <c r="V209" s="129">
        <v>-277381</v>
      </c>
      <c r="W209" s="129">
        <v>0</v>
      </c>
      <c r="X209" s="129">
        <v>-91900346</v>
      </c>
      <c r="Y209" s="129">
        <v>6307582</v>
      </c>
      <c r="Z209" s="129">
        <v>-52594005</v>
      </c>
      <c r="AA209" s="662" t="s">
        <v>281</v>
      </c>
      <c r="AB209" s="324" t="s">
        <v>576</v>
      </c>
      <c r="AC209" s="669" t="s">
        <v>485</v>
      </c>
      <c r="AD209" s="529" t="s">
        <v>1415</v>
      </c>
    </row>
    <row r="210" spans="1:30" ht="12.75" x14ac:dyDescent="0.2">
      <c r="A210" s="664">
        <v>203</v>
      </c>
      <c r="B210" s="665" t="s">
        <v>284</v>
      </c>
      <c r="C210" s="666" t="s">
        <v>1201</v>
      </c>
      <c r="D210" s="667" t="s">
        <v>1218</v>
      </c>
      <c r="E210" s="668" t="s">
        <v>283</v>
      </c>
      <c r="F210" s="129">
        <v>414420</v>
      </c>
      <c r="G210" s="129">
        <v>6169420</v>
      </c>
      <c r="H210" s="129">
        <v>0</v>
      </c>
      <c r="I210" s="129">
        <v>-46799</v>
      </c>
      <c r="J210" s="129">
        <v>610407</v>
      </c>
      <c r="K210" s="129">
        <v>-489869</v>
      </c>
      <c r="L210" s="129">
        <v>6243159</v>
      </c>
      <c r="M210" s="129">
        <v>181412</v>
      </c>
      <c r="N210" s="129">
        <v>0</v>
      </c>
      <c r="O210" s="129">
        <v>17266</v>
      </c>
      <c r="P210" s="129">
        <v>198678</v>
      </c>
      <c r="Q210" s="129">
        <v>-38004</v>
      </c>
      <c r="R210" s="129">
        <v>-7107478</v>
      </c>
      <c r="S210" s="129">
        <v>-1421496</v>
      </c>
      <c r="T210" s="129">
        <v>-5685982</v>
      </c>
      <c r="U210" s="129">
        <v>0</v>
      </c>
      <c r="V210" s="129">
        <v>-99032</v>
      </c>
      <c r="W210" s="129">
        <v>0</v>
      </c>
      <c r="X210" s="129">
        <v>-14351992</v>
      </c>
      <c r="Y210" s="129">
        <v>799139</v>
      </c>
      <c r="Z210" s="129">
        <v>-6696596</v>
      </c>
      <c r="AA210" s="662" t="s">
        <v>283</v>
      </c>
      <c r="AB210" s="324" t="s">
        <v>556</v>
      </c>
      <c r="AC210" s="663" t="s">
        <v>555</v>
      </c>
      <c r="AD210" s="529" t="s">
        <v>1416</v>
      </c>
    </row>
    <row r="211" spans="1:30" ht="12.75" x14ac:dyDescent="0.2">
      <c r="A211" s="664">
        <v>204</v>
      </c>
      <c r="B211" s="665" t="s">
        <v>286</v>
      </c>
      <c r="C211" s="666" t="s">
        <v>1217</v>
      </c>
      <c r="D211" s="667" t="s">
        <v>1204</v>
      </c>
      <c r="E211" s="668" t="s">
        <v>285</v>
      </c>
      <c r="F211" s="129">
        <v>1868813</v>
      </c>
      <c r="G211" s="129">
        <v>43343265</v>
      </c>
      <c r="H211" s="129">
        <v>0</v>
      </c>
      <c r="I211" s="129">
        <v>-2532000</v>
      </c>
      <c r="J211" s="129">
        <v>3284000</v>
      </c>
      <c r="K211" s="129">
        <v>-3932000</v>
      </c>
      <c r="L211" s="129">
        <v>40163265</v>
      </c>
      <c r="M211" s="129">
        <v>0</v>
      </c>
      <c r="N211" s="129">
        <v>0</v>
      </c>
      <c r="O211" s="129">
        <v>0</v>
      </c>
      <c r="P211" s="129">
        <v>0</v>
      </c>
      <c r="Q211" s="129">
        <v>-369713</v>
      </c>
      <c r="R211" s="129">
        <v>0</v>
      </c>
      <c r="S211" s="129">
        <v>-639350</v>
      </c>
      <c r="T211" s="129">
        <v>-63295650</v>
      </c>
      <c r="U211" s="129">
        <v>-889794</v>
      </c>
      <c r="V211" s="129">
        <v>0</v>
      </c>
      <c r="W211" s="129">
        <v>-1103000</v>
      </c>
      <c r="X211" s="129">
        <v>-66297507</v>
      </c>
      <c r="Y211" s="129">
        <v>2471459</v>
      </c>
      <c r="Z211" s="129">
        <v>-21793970</v>
      </c>
      <c r="AA211" s="662" t="s">
        <v>285</v>
      </c>
      <c r="AB211" s="324" t="s">
        <v>570</v>
      </c>
      <c r="AC211" s="663" t="s">
        <v>1915</v>
      </c>
      <c r="AD211" s="529" t="s">
        <v>1417</v>
      </c>
    </row>
    <row r="212" spans="1:30" ht="12.75" x14ac:dyDescent="0.2">
      <c r="A212" s="664">
        <v>205</v>
      </c>
      <c r="B212" s="665" t="s">
        <v>288</v>
      </c>
      <c r="C212" s="666" t="s">
        <v>1201</v>
      </c>
      <c r="D212" s="667" t="s">
        <v>1211</v>
      </c>
      <c r="E212" s="668" t="s">
        <v>287</v>
      </c>
      <c r="F212" s="129">
        <v>-565142</v>
      </c>
      <c r="G212" s="129">
        <v>9264921</v>
      </c>
      <c r="H212" s="129">
        <v>0</v>
      </c>
      <c r="I212" s="129">
        <v>-367817</v>
      </c>
      <c r="J212" s="129">
        <v>700040</v>
      </c>
      <c r="K212" s="129">
        <v>-2089702</v>
      </c>
      <c r="L212" s="129">
        <v>7507442</v>
      </c>
      <c r="M212" s="129">
        <v>5128</v>
      </c>
      <c r="N212" s="129">
        <v>0</v>
      </c>
      <c r="O212" s="129">
        <v>13586</v>
      </c>
      <c r="P212" s="129">
        <v>18714</v>
      </c>
      <c r="Q212" s="129">
        <v>-25246</v>
      </c>
      <c r="R212" s="129">
        <v>-8272003</v>
      </c>
      <c r="S212" s="129">
        <v>-1654401</v>
      </c>
      <c r="T212" s="129">
        <v>-6617603</v>
      </c>
      <c r="U212" s="129">
        <v>-144008</v>
      </c>
      <c r="V212" s="129">
        <v>0</v>
      </c>
      <c r="W212" s="129">
        <v>0</v>
      </c>
      <c r="X212" s="129">
        <v>-16713261</v>
      </c>
      <c r="Y212" s="129">
        <v>1225483</v>
      </c>
      <c r="Z212" s="129">
        <v>-8526765</v>
      </c>
      <c r="AA212" s="662" t="s">
        <v>287</v>
      </c>
      <c r="AB212" s="324" t="s">
        <v>528</v>
      </c>
      <c r="AC212" s="663" t="s">
        <v>1913</v>
      </c>
      <c r="AD212" s="529" t="s">
        <v>1418</v>
      </c>
    </row>
    <row r="213" spans="1:30" ht="12.75" x14ac:dyDescent="0.2">
      <c r="A213" s="664">
        <v>206</v>
      </c>
      <c r="B213" s="665" t="s">
        <v>290</v>
      </c>
      <c r="C213" s="666" t="s">
        <v>1201</v>
      </c>
      <c r="D213" s="667" t="s">
        <v>1204</v>
      </c>
      <c r="E213" s="668" t="s">
        <v>289</v>
      </c>
      <c r="F213" s="129">
        <v>883895</v>
      </c>
      <c r="G213" s="129">
        <v>6554803</v>
      </c>
      <c r="H213" s="129">
        <v>0</v>
      </c>
      <c r="I213" s="129">
        <v>-600000</v>
      </c>
      <c r="J213" s="129">
        <v>0</v>
      </c>
      <c r="K213" s="129">
        <v>-760845</v>
      </c>
      <c r="L213" s="129">
        <v>5193958</v>
      </c>
      <c r="M213" s="129">
        <v>211736</v>
      </c>
      <c r="N213" s="129">
        <v>0</v>
      </c>
      <c r="O213" s="129">
        <v>0</v>
      </c>
      <c r="P213" s="129">
        <v>211736</v>
      </c>
      <c r="Q213" s="129">
        <v>-186237</v>
      </c>
      <c r="R213" s="129">
        <v>-6117894</v>
      </c>
      <c r="S213" s="129">
        <v>-1223579</v>
      </c>
      <c r="T213" s="129">
        <v>-4894316</v>
      </c>
      <c r="U213" s="129">
        <v>0</v>
      </c>
      <c r="V213" s="129">
        <v>-322146</v>
      </c>
      <c r="W213" s="129">
        <v>-329598</v>
      </c>
      <c r="X213" s="129">
        <v>-13073770</v>
      </c>
      <c r="Y213" s="129">
        <v>1442838</v>
      </c>
      <c r="Z213" s="129">
        <v>-5341343</v>
      </c>
      <c r="AA213" s="662" t="s">
        <v>289</v>
      </c>
      <c r="AB213" s="324" t="s">
        <v>547</v>
      </c>
      <c r="AC213" s="663" t="s">
        <v>545</v>
      </c>
      <c r="AD213" s="529" t="s">
        <v>1419</v>
      </c>
    </row>
    <row r="214" spans="1:30" ht="12.75" x14ac:dyDescent="0.2">
      <c r="A214" s="664">
        <v>207</v>
      </c>
      <c r="B214" s="665" t="s">
        <v>292</v>
      </c>
      <c r="C214" s="666" t="s">
        <v>1201</v>
      </c>
      <c r="D214" s="667" t="s">
        <v>1202</v>
      </c>
      <c r="E214" s="668" t="s">
        <v>291</v>
      </c>
      <c r="F214" s="129">
        <v>1452404</v>
      </c>
      <c r="G214" s="129">
        <v>8156376</v>
      </c>
      <c r="H214" s="129">
        <v>0</v>
      </c>
      <c r="I214" s="129">
        <v>-190000</v>
      </c>
      <c r="J214" s="129">
        <v>0</v>
      </c>
      <c r="K214" s="129">
        <v>-1001846</v>
      </c>
      <c r="L214" s="129">
        <v>6964530</v>
      </c>
      <c r="M214" s="129">
        <v>0</v>
      </c>
      <c r="N214" s="129">
        <v>0</v>
      </c>
      <c r="O214" s="129">
        <v>0</v>
      </c>
      <c r="P214" s="129">
        <v>0</v>
      </c>
      <c r="Q214" s="129">
        <v>-62282</v>
      </c>
      <c r="R214" s="129">
        <v>-8946081</v>
      </c>
      <c r="S214" s="129">
        <v>-1789216</v>
      </c>
      <c r="T214" s="129">
        <v>-7156864</v>
      </c>
      <c r="U214" s="129">
        <v>-152709</v>
      </c>
      <c r="V214" s="129">
        <v>0</v>
      </c>
      <c r="W214" s="129">
        <v>-1837771</v>
      </c>
      <c r="X214" s="129">
        <v>-19944923</v>
      </c>
      <c r="Y214" s="129">
        <v>277709</v>
      </c>
      <c r="Z214" s="129">
        <v>-11250279</v>
      </c>
      <c r="AA214" s="662" t="s">
        <v>291</v>
      </c>
      <c r="AB214" s="324" t="s">
        <v>525</v>
      </c>
      <c r="AC214" s="663" t="s">
        <v>524</v>
      </c>
      <c r="AD214" s="529" t="s">
        <v>1420</v>
      </c>
    </row>
    <row r="215" spans="1:30" ht="12.75" x14ac:dyDescent="0.2">
      <c r="A215" s="664">
        <v>208</v>
      </c>
      <c r="B215" s="665" t="s">
        <v>294</v>
      </c>
      <c r="C215" s="666" t="s">
        <v>1217</v>
      </c>
      <c r="D215" s="667" t="s">
        <v>1218</v>
      </c>
      <c r="E215" s="668" t="s">
        <v>293</v>
      </c>
      <c r="F215" s="129">
        <v>1310787</v>
      </c>
      <c r="G215" s="129">
        <v>45938778</v>
      </c>
      <c r="H215" s="129">
        <v>0</v>
      </c>
      <c r="I215" s="129">
        <v>-1221774</v>
      </c>
      <c r="J215" s="129">
        <v>1489790</v>
      </c>
      <c r="K215" s="129">
        <v>-2148584</v>
      </c>
      <c r="L215" s="129">
        <v>44058210</v>
      </c>
      <c r="M215" s="129">
        <v>0</v>
      </c>
      <c r="N215" s="129">
        <v>0</v>
      </c>
      <c r="O215" s="129">
        <v>0</v>
      </c>
      <c r="P215" s="129">
        <v>0</v>
      </c>
      <c r="Q215" s="129">
        <v>-1666227</v>
      </c>
      <c r="R215" s="129">
        <v>-36961076</v>
      </c>
      <c r="S215" s="129">
        <v>-742370</v>
      </c>
      <c r="T215" s="129">
        <v>-36376117</v>
      </c>
      <c r="U215" s="129">
        <v>-1178129</v>
      </c>
      <c r="V215" s="129">
        <v>-232157</v>
      </c>
      <c r="W215" s="129">
        <v>-1785005</v>
      </c>
      <c r="X215" s="129">
        <v>-78941081</v>
      </c>
      <c r="Y215" s="129">
        <v>0</v>
      </c>
      <c r="Z215" s="129">
        <v>-33572084</v>
      </c>
      <c r="AA215" s="662" t="s">
        <v>293</v>
      </c>
      <c r="AB215" s="324" t="s">
        <v>570</v>
      </c>
      <c r="AC215" s="663" t="s">
        <v>572</v>
      </c>
      <c r="AD215" s="529" t="s">
        <v>1421</v>
      </c>
    </row>
    <row r="216" spans="1:30" ht="12.75" x14ac:dyDescent="0.2">
      <c r="A216" s="664">
        <v>209</v>
      </c>
      <c r="B216" s="665" t="s">
        <v>296</v>
      </c>
      <c r="C216" s="666" t="s">
        <v>1201</v>
      </c>
      <c r="D216" s="667" t="s">
        <v>1228</v>
      </c>
      <c r="E216" s="668" t="s">
        <v>295</v>
      </c>
      <c r="F216" s="129">
        <v>-1785296</v>
      </c>
      <c r="G216" s="129">
        <v>38266029</v>
      </c>
      <c r="H216" s="129">
        <v>0</v>
      </c>
      <c r="I216" s="129">
        <v>-342815</v>
      </c>
      <c r="J216" s="129">
        <v>1476415</v>
      </c>
      <c r="K216" s="129">
        <v>-5367834</v>
      </c>
      <c r="L216" s="129">
        <v>34031795</v>
      </c>
      <c r="M216" s="129">
        <v>0</v>
      </c>
      <c r="N216" s="129">
        <v>0</v>
      </c>
      <c r="O216" s="129">
        <v>1834894</v>
      </c>
      <c r="P216" s="129">
        <v>1834894</v>
      </c>
      <c r="Q216" s="129">
        <v>-350007</v>
      </c>
      <c r="R216" s="129">
        <v>-25888747</v>
      </c>
      <c r="S216" s="129">
        <v>-20710997</v>
      </c>
      <c r="T216" s="129">
        <v>-5177749</v>
      </c>
      <c r="U216" s="129">
        <v>-134284</v>
      </c>
      <c r="V216" s="129">
        <v>0</v>
      </c>
      <c r="W216" s="129">
        <v>0</v>
      </c>
      <c r="X216" s="129">
        <v>-52261784</v>
      </c>
      <c r="Y216" s="129">
        <v>1716061</v>
      </c>
      <c r="Z216" s="129">
        <v>-16464330</v>
      </c>
      <c r="AA216" s="662" t="s">
        <v>295</v>
      </c>
      <c r="AB216" s="324" t="s">
        <v>567</v>
      </c>
      <c r="AC216" s="663" t="s">
        <v>512</v>
      </c>
      <c r="AD216" s="529" t="s">
        <v>1422</v>
      </c>
    </row>
    <row r="217" spans="1:30" ht="14.25" x14ac:dyDescent="0.2">
      <c r="A217" s="664">
        <v>210</v>
      </c>
      <c r="B217" s="665" t="s">
        <v>298</v>
      </c>
      <c r="C217" s="666" t="s">
        <v>1201</v>
      </c>
      <c r="D217" s="667" t="s">
        <v>1202</v>
      </c>
      <c r="E217" s="668" t="s">
        <v>1869</v>
      </c>
      <c r="F217" s="129">
        <v>2989037</v>
      </c>
      <c r="G217" s="129">
        <v>41823403</v>
      </c>
      <c r="H217" s="129">
        <v>-300000</v>
      </c>
      <c r="I217" s="129">
        <v>-55000</v>
      </c>
      <c r="J217" s="129">
        <v>0</v>
      </c>
      <c r="K217" s="129">
        <v>-450000</v>
      </c>
      <c r="L217" s="129">
        <v>41018403</v>
      </c>
      <c r="M217" s="129">
        <v>0</v>
      </c>
      <c r="N217" s="129">
        <v>0</v>
      </c>
      <c r="O217" s="129">
        <v>4470437</v>
      </c>
      <c r="P217" s="129">
        <v>4470437</v>
      </c>
      <c r="Q217" s="129">
        <v>0</v>
      </c>
      <c r="R217" s="129">
        <v>-29906423</v>
      </c>
      <c r="S217" s="129">
        <v>-5981285</v>
      </c>
      <c r="T217" s="129">
        <v>-24000000</v>
      </c>
      <c r="U217" s="129">
        <v>-131600</v>
      </c>
      <c r="V217" s="129">
        <v>0</v>
      </c>
      <c r="W217" s="129">
        <v>0</v>
      </c>
      <c r="X217" s="129">
        <v>-60019308</v>
      </c>
      <c r="Y217" s="129">
        <v>1682450</v>
      </c>
      <c r="Z217" s="129">
        <v>-9858981</v>
      </c>
      <c r="AA217" s="662" t="s">
        <v>297</v>
      </c>
      <c r="AB217" s="324" t="s">
        <v>566</v>
      </c>
      <c r="AC217" s="663" t="s">
        <v>512</v>
      </c>
      <c r="AD217" s="529" t="s">
        <v>1423</v>
      </c>
    </row>
    <row r="218" spans="1:30" ht="12.75" x14ac:dyDescent="0.2">
      <c r="A218" s="664">
        <v>211</v>
      </c>
      <c r="B218" s="665" t="s">
        <v>300</v>
      </c>
      <c r="C218" s="666" t="s">
        <v>1201</v>
      </c>
      <c r="D218" s="667" t="s">
        <v>1206</v>
      </c>
      <c r="E218" s="668" t="s">
        <v>299</v>
      </c>
      <c r="F218" s="129">
        <v>165440</v>
      </c>
      <c r="G218" s="129">
        <v>23727520</v>
      </c>
      <c r="H218" s="129">
        <v>0</v>
      </c>
      <c r="I218" s="129">
        <v>-120000</v>
      </c>
      <c r="J218" s="129">
        <v>1852820</v>
      </c>
      <c r="K218" s="129">
        <v>-3692249</v>
      </c>
      <c r="L218" s="129">
        <v>21768091</v>
      </c>
      <c r="M218" s="129">
        <v>0</v>
      </c>
      <c r="N218" s="129">
        <v>0</v>
      </c>
      <c r="O218" s="129">
        <v>0</v>
      </c>
      <c r="P218" s="129">
        <v>0</v>
      </c>
      <c r="Q218" s="129">
        <v>-3739871</v>
      </c>
      <c r="R218" s="129">
        <v>-13632849</v>
      </c>
      <c r="S218" s="129">
        <v>-2726570</v>
      </c>
      <c r="T218" s="129">
        <v>-10906280</v>
      </c>
      <c r="U218" s="129">
        <v>-573508</v>
      </c>
      <c r="V218" s="129">
        <v>0</v>
      </c>
      <c r="W218" s="129">
        <v>-355817</v>
      </c>
      <c r="X218" s="129">
        <v>-31934895</v>
      </c>
      <c r="Y218" s="129">
        <v>0</v>
      </c>
      <c r="Z218" s="129">
        <v>-10001364</v>
      </c>
      <c r="AA218" s="662" t="s">
        <v>299</v>
      </c>
      <c r="AB218" s="324" t="s">
        <v>559</v>
      </c>
      <c r="AC218" s="663" t="s">
        <v>558</v>
      </c>
      <c r="AD218" s="529" t="s">
        <v>1424</v>
      </c>
    </row>
    <row r="219" spans="1:30" ht="12.75" x14ac:dyDescent="0.2">
      <c r="A219" s="664">
        <v>212</v>
      </c>
      <c r="B219" s="665" t="s">
        <v>302</v>
      </c>
      <c r="C219" s="666" t="s">
        <v>1201</v>
      </c>
      <c r="D219" s="667" t="s">
        <v>1202</v>
      </c>
      <c r="E219" s="668" t="s">
        <v>301</v>
      </c>
      <c r="F219" s="129">
        <v>-2797220</v>
      </c>
      <c r="G219" s="129">
        <v>24673470</v>
      </c>
      <c r="H219" s="129">
        <v>0</v>
      </c>
      <c r="I219" s="129">
        <v>0</v>
      </c>
      <c r="J219" s="129">
        <v>0</v>
      </c>
      <c r="K219" s="129">
        <v>0</v>
      </c>
      <c r="L219" s="129">
        <v>24673470</v>
      </c>
      <c r="M219" s="129">
        <v>0</v>
      </c>
      <c r="N219" s="129">
        <v>0</v>
      </c>
      <c r="O219" s="129">
        <v>925772</v>
      </c>
      <c r="P219" s="129">
        <v>925772</v>
      </c>
      <c r="Q219" s="129">
        <v>0</v>
      </c>
      <c r="R219" s="129">
        <v>-19994132</v>
      </c>
      <c r="S219" s="129">
        <v>-4998533</v>
      </c>
      <c r="T219" s="129">
        <v>-24992665</v>
      </c>
      <c r="U219" s="129">
        <v>0</v>
      </c>
      <c r="V219" s="129">
        <v>0</v>
      </c>
      <c r="W219" s="129">
        <v>0</v>
      </c>
      <c r="X219" s="129">
        <v>-49985330</v>
      </c>
      <c r="Y219" s="129">
        <v>1115438</v>
      </c>
      <c r="Z219" s="129">
        <v>-26067870</v>
      </c>
      <c r="AA219" s="662" t="s">
        <v>301</v>
      </c>
      <c r="AB219" s="324" t="s">
        <v>532</v>
      </c>
      <c r="AC219" s="663" t="s">
        <v>1914</v>
      </c>
      <c r="AD219" s="529" t="s">
        <v>1425</v>
      </c>
    </row>
    <row r="220" spans="1:30" ht="12.75" x14ac:dyDescent="0.2">
      <c r="A220" s="664">
        <v>213</v>
      </c>
      <c r="B220" s="665" t="s">
        <v>303</v>
      </c>
      <c r="C220" s="666" t="s">
        <v>486</v>
      </c>
      <c r="D220" s="667" t="s">
        <v>1206</v>
      </c>
      <c r="E220" s="668" t="s">
        <v>550</v>
      </c>
      <c r="F220" s="129">
        <v>-201697</v>
      </c>
      <c r="G220" s="129">
        <v>7264790</v>
      </c>
      <c r="H220" s="129">
        <v>-30576</v>
      </c>
      <c r="I220" s="129">
        <v>60086</v>
      </c>
      <c r="J220" s="129">
        <v>44284</v>
      </c>
      <c r="K220" s="129">
        <v>-643065</v>
      </c>
      <c r="L220" s="129">
        <v>6695519</v>
      </c>
      <c r="M220" s="129">
        <v>232227</v>
      </c>
      <c r="N220" s="129">
        <v>0</v>
      </c>
      <c r="O220" s="129">
        <v>253756</v>
      </c>
      <c r="P220" s="129">
        <v>485983</v>
      </c>
      <c r="Q220" s="129">
        <v>0</v>
      </c>
      <c r="R220" s="129">
        <v>-5671729</v>
      </c>
      <c r="S220" s="129">
        <v>-113435</v>
      </c>
      <c r="T220" s="129">
        <v>-5558294</v>
      </c>
      <c r="U220" s="129">
        <v>-96893</v>
      </c>
      <c r="V220" s="129">
        <v>0</v>
      </c>
      <c r="W220" s="129">
        <v>0</v>
      </c>
      <c r="X220" s="129">
        <v>-11440351</v>
      </c>
      <c r="Y220" s="129">
        <v>2137</v>
      </c>
      <c r="Z220" s="129">
        <v>-4458409</v>
      </c>
      <c r="AA220" s="662" t="s">
        <v>550</v>
      </c>
      <c r="AB220" s="324" t="s">
        <v>486</v>
      </c>
      <c r="AC220" s="663" t="s">
        <v>549</v>
      </c>
      <c r="AD220" s="529" t="s">
        <v>1426</v>
      </c>
    </row>
    <row r="221" spans="1:30" ht="12.75" x14ac:dyDescent="0.2">
      <c r="A221" s="664">
        <v>214</v>
      </c>
      <c r="B221" s="665" t="s">
        <v>305</v>
      </c>
      <c r="C221" s="666" t="s">
        <v>1201</v>
      </c>
      <c r="D221" s="667" t="s">
        <v>1218</v>
      </c>
      <c r="E221" s="668" t="s">
        <v>304</v>
      </c>
      <c r="F221" s="129">
        <v>929509</v>
      </c>
      <c r="G221" s="129">
        <v>10446013</v>
      </c>
      <c r="H221" s="129">
        <v>0</v>
      </c>
      <c r="I221" s="129">
        <v>-111437</v>
      </c>
      <c r="J221" s="129">
        <v>793432</v>
      </c>
      <c r="K221" s="129">
        <v>-888886</v>
      </c>
      <c r="L221" s="129">
        <v>10239122</v>
      </c>
      <c r="M221" s="129">
        <v>8210</v>
      </c>
      <c r="N221" s="129">
        <v>0</v>
      </c>
      <c r="O221" s="129">
        <v>0</v>
      </c>
      <c r="P221" s="129">
        <v>8210</v>
      </c>
      <c r="Q221" s="129">
        <v>-74777</v>
      </c>
      <c r="R221" s="129">
        <v>-8814106</v>
      </c>
      <c r="S221" s="129">
        <v>-1762821</v>
      </c>
      <c r="T221" s="129">
        <v>-7051285</v>
      </c>
      <c r="U221" s="129">
        <v>-131451</v>
      </c>
      <c r="V221" s="129">
        <v>0</v>
      </c>
      <c r="W221" s="129">
        <v>-827568</v>
      </c>
      <c r="X221" s="129">
        <v>-18662008</v>
      </c>
      <c r="Y221" s="129">
        <v>61607</v>
      </c>
      <c r="Z221" s="129">
        <v>-7423560</v>
      </c>
      <c r="AA221" s="662" t="s">
        <v>304</v>
      </c>
      <c r="AB221" s="324" t="s">
        <v>556</v>
      </c>
      <c r="AC221" s="663" t="s">
        <v>555</v>
      </c>
      <c r="AD221" s="529" t="s">
        <v>1427</v>
      </c>
    </row>
    <row r="222" spans="1:30" ht="12.75" x14ac:dyDescent="0.2">
      <c r="A222" s="664">
        <v>215</v>
      </c>
      <c r="B222" s="665" t="s">
        <v>307</v>
      </c>
      <c r="C222" s="666" t="s">
        <v>1217</v>
      </c>
      <c r="D222" s="667" t="s">
        <v>1204</v>
      </c>
      <c r="E222" s="668" t="s">
        <v>306</v>
      </c>
      <c r="F222" s="129">
        <v>1991380</v>
      </c>
      <c r="G222" s="129">
        <v>58182233</v>
      </c>
      <c r="H222" s="129">
        <v>0</v>
      </c>
      <c r="I222" s="129">
        <v>-8166532</v>
      </c>
      <c r="J222" s="129">
        <v>6529201</v>
      </c>
      <c r="K222" s="129">
        <v>-15275925</v>
      </c>
      <c r="L222" s="129">
        <v>41268977</v>
      </c>
      <c r="M222" s="129">
        <v>0</v>
      </c>
      <c r="N222" s="129">
        <v>0</v>
      </c>
      <c r="O222" s="129">
        <v>0</v>
      </c>
      <c r="P222" s="129">
        <v>0</v>
      </c>
      <c r="Q222" s="129">
        <v>-279344</v>
      </c>
      <c r="R222" s="129">
        <v>0</v>
      </c>
      <c r="S222" s="129">
        <v>-909595</v>
      </c>
      <c r="T222" s="129">
        <v>-90049910</v>
      </c>
      <c r="U222" s="129">
        <v>-441676</v>
      </c>
      <c r="V222" s="129">
        <v>0</v>
      </c>
      <c r="W222" s="129">
        <v>-2001857</v>
      </c>
      <c r="X222" s="129">
        <v>-93682382</v>
      </c>
      <c r="Y222" s="129">
        <v>12848736</v>
      </c>
      <c r="Z222" s="129">
        <v>-37573289</v>
      </c>
      <c r="AA222" s="662" t="s">
        <v>306</v>
      </c>
      <c r="AB222" s="324" t="s">
        <v>570</v>
      </c>
      <c r="AC222" s="663" t="s">
        <v>1915</v>
      </c>
      <c r="AD222" s="529" t="s">
        <v>1428</v>
      </c>
    </row>
    <row r="223" spans="1:30" ht="12.75" x14ac:dyDescent="0.2">
      <c r="A223" s="664">
        <v>216</v>
      </c>
      <c r="B223" s="665" t="s">
        <v>309</v>
      </c>
      <c r="C223" s="666" t="s">
        <v>1217</v>
      </c>
      <c r="D223" s="667" t="s">
        <v>1228</v>
      </c>
      <c r="E223" s="668" t="s">
        <v>308</v>
      </c>
      <c r="F223" s="129">
        <v>-6572156</v>
      </c>
      <c r="G223" s="129">
        <v>65652612</v>
      </c>
      <c r="H223" s="129">
        <v>0</v>
      </c>
      <c r="I223" s="129">
        <v>-1513024</v>
      </c>
      <c r="J223" s="129">
        <v>0</v>
      </c>
      <c r="K223" s="129">
        <v>-2277899</v>
      </c>
      <c r="L223" s="129">
        <v>61861689</v>
      </c>
      <c r="M223" s="129">
        <v>0</v>
      </c>
      <c r="N223" s="129">
        <v>0</v>
      </c>
      <c r="O223" s="129">
        <v>38730</v>
      </c>
      <c r="P223" s="129">
        <v>38730</v>
      </c>
      <c r="Q223" s="129">
        <v>-715099</v>
      </c>
      <c r="R223" s="129">
        <v>0</v>
      </c>
      <c r="S223" s="129">
        <v>-1008143</v>
      </c>
      <c r="T223" s="129">
        <v>-99806138</v>
      </c>
      <c r="U223" s="129">
        <v>-429531</v>
      </c>
      <c r="V223" s="129">
        <v>0</v>
      </c>
      <c r="W223" s="129">
        <v>0</v>
      </c>
      <c r="X223" s="129">
        <v>-101958911</v>
      </c>
      <c r="Y223" s="129">
        <v>3805957</v>
      </c>
      <c r="Z223" s="129">
        <v>-42824692</v>
      </c>
      <c r="AA223" s="662" t="s">
        <v>308</v>
      </c>
      <c r="AB223" s="324" t="s">
        <v>570</v>
      </c>
      <c r="AC223" s="663" t="s">
        <v>574</v>
      </c>
      <c r="AD223" s="529" t="s">
        <v>1429</v>
      </c>
    </row>
    <row r="224" spans="1:30" ht="12.75" x14ac:dyDescent="0.2">
      <c r="A224" s="664">
        <v>217</v>
      </c>
      <c r="B224" s="665" t="s">
        <v>311</v>
      </c>
      <c r="C224" s="666" t="s">
        <v>1201</v>
      </c>
      <c r="D224" s="667" t="s">
        <v>1218</v>
      </c>
      <c r="E224" s="668" t="s">
        <v>310</v>
      </c>
      <c r="F224" s="129">
        <v>2103628</v>
      </c>
      <c r="G224" s="129">
        <v>15029416</v>
      </c>
      <c r="H224" s="129">
        <v>0</v>
      </c>
      <c r="I224" s="129">
        <v>-400000</v>
      </c>
      <c r="J224" s="129">
        <v>0</v>
      </c>
      <c r="K224" s="129">
        <v>-2225000</v>
      </c>
      <c r="L224" s="129">
        <v>12404416</v>
      </c>
      <c r="M224" s="129">
        <v>211009</v>
      </c>
      <c r="N224" s="129">
        <v>0</v>
      </c>
      <c r="O224" s="129">
        <v>0</v>
      </c>
      <c r="P224" s="129">
        <v>211009</v>
      </c>
      <c r="Q224" s="129">
        <v>0</v>
      </c>
      <c r="R224" s="129">
        <v>-17226814</v>
      </c>
      <c r="S224" s="129">
        <v>-3445362</v>
      </c>
      <c r="T224" s="129">
        <v>-13781451</v>
      </c>
      <c r="U224" s="129">
        <v>-272799</v>
      </c>
      <c r="V224" s="129">
        <v>0</v>
      </c>
      <c r="W224" s="129">
        <v>-1597410</v>
      </c>
      <c r="X224" s="129">
        <v>-36323836</v>
      </c>
      <c r="Y224" s="129">
        <v>0</v>
      </c>
      <c r="Z224" s="129">
        <v>-21604783</v>
      </c>
      <c r="AA224" s="662" t="s">
        <v>310</v>
      </c>
      <c r="AB224" s="324" t="s">
        <v>556</v>
      </c>
      <c r="AC224" s="663" t="s">
        <v>555</v>
      </c>
      <c r="AD224" s="529" t="s">
        <v>1430</v>
      </c>
    </row>
    <row r="225" spans="1:30" ht="12.75" x14ac:dyDescent="0.2">
      <c r="A225" s="664">
        <v>218</v>
      </c>
      <c r="B225" s="665" t="s">
        <v>313</v>
      </c>
      <c r="C225" s="666" t="s">
        <v>1201</v>
      </c>
      <c r="D225" s="667" t="s">
        <v>1224</v>
      </c>
      <c r="E225" s="668" t="s">
        <v>312</v>
      </c>
      <c r="F225" s="129">
        <v>3563422</v>
      </c>
      <c r="G225" s="129">
        <v>23830239</v>
      </c>
      <c r="H225" s="129">
        <v>-102606</v>
      </c>
      <c r="I225" s="129">
        <v>-366922</v>
      </c>
      <c r="J225" s="129">
        <v>1748180</v>
      </c>
      <c r="K225" s="129">
        <v>-1536957</v>
      </c>
      <c r="L225" s="129">
        <v>23571934</v>
      </c>
      <c r="M225" s="129">
        <v>0</v>
      </c>
      <c r="N225" s="129">
        <v>4296</v>
      </c>
      <c r="O225" s="129">
        <v>0</v>
      </c>
      <c r="P225" s="129">
        <v>4296</v>
      </c>
      <c r="Q225" s="129">
        <v>-674932</v>
      </c>
      <c r="R225" s="129">
        <v>-21744467</v>
      </c>
      <c r="S225" s="129">
        <v>-4348893</v>
      </c>
      <c r="T225" s="129">
        <v>-17395574</v>
      </c>
      <c r="U225" s="129">
        <v>-399369</v>
      </c>
      <c r="V225" s="129">
        <v>0</v>
      </c>
      <c r="W225" s="129">
        <v>-3806577</v>
      </c>
      <c r="X225" s="129">
        <v>-48369812</v>
      </c>
      <c r="Y225" s="129">
        <v>1474812</v>
      </c>
      <c r="Z225" s="129">
        <v>-19755348</v>
      </c>
      <c r="AA225" s="662" t="s">
        <v>312</v>
      </c>
      <c r="AB225" s="324" t="s">
        <v>562</v>
      </c>
      <c r="AC225" s="663" t="s">
        <v>519</v>
      </c>
      <c r="AD225" s="529" t="s">
        <v>1431</v>
      </c>
    </row>
    <row r="226" spans="1:30" ht="12.75" x14ac:dyDescent="0.2">
      <c r="A226" s="664">
        <v>219</v>
      </c>
      <c r="B226" s="665" t="s">
        <v>315</v>
      </c>
      <c r="C226" s="666" t="s">
        <v>1217</v>
      </c>
      <c r="D226" s="667" t="s">
        <v>1204</v>
      </c>
      <c r="E226" s="668" t="s">
        <v>314</v>
      </c>
      <c r="F226" s="129">
        <v>1746006</v>
      </c>
      <c r="G226" s="129">
        <v>30927710</v>
      </c>
      <c r="H226" s="129">
        <v>0</v>
      </c>
      <c r="I226" s="129">
        <v>-4700000</v>
      </c>
      <c r="J226" s="129">
        <v>2503395</v>
      </c>
      <c r="K226" s="129">
        <v>-5020000</v>
      </c>
      <c r="L226" s="129">
        <v>23711105</v>
      </c>
      <c r="M226" s="129">
        <v>0</v>
      </c>
      <c r="N226" s="129">
        <v>0</v>
      </c>
      <c r="O226" s="129">
        <v>0</v>
      </c>
      <c r="P226" s="129">
        <v>0</v>
      </c>
      <c r="Q226" s="129">
        <v>-202687</v>
      </c>
      <c r="R226" s="129">
        <v>0</v>
      </c>
      <c r="S226" s="129">
        <v>-668378</v>
      </c>
      <c r="T226" s="129">
        <v>-66169445</v>
      </c>
      <c r="U226" s="129">
        <v>-305270</v>
      </c>
      <c r="V226" s="129">
        <v>0</v>
      </c>
      <c r="W226" s="129">
        <v>-616080</v>
      </c>
      <c r="X226" s="129">
        <v>-67961860</v>
      </c>
      <c r="Y226" s="129">
        <v>3298399</v>
      </c>
      <c r="Z226" s="129">
        <v>-39206350</v>
      </c>
      <c r="AA226" s="662" t="s">
        <v>314</v>
      </c>
      <c r="AB226" s="324" t="s">
        <v>570</v>
      </c>
      <c r="AC226" s="663" t="s">
        <v>571</v>
      </c>
      <c r="AD226" s="529" t="s">
        <v>1432</v>
      </c>
    </row>
    <row r="227" spans="1:30" ht="12.75" x14ac:dyDescent="0.2">
      <c r="A227" s="664">
        <v>220</v>
      </c>
      <c r="B227" s="665" t="s">
        <v>317</v>
      </c>
      <c r="C227" s="666" t="s">
        <v>1201</v>
      </c>
      <c r="D227" s="667" t="s">
        <v>1218</v>
      </c>
      <c r="E227" s="668" t="s">
        <v>316</v>
      </c>
      <c r="F227" s="129">
        <v>-892357</v>
      </c>
      <c r="G227" s="129">
        <v>32317617</v>
      </c>
      <c r="H227" s="129">
        <v>0</v>
      </c>
      <c r="I227" s="129">
        <v>-1498056</v>
      </c>
      <c r="J227" s="129">
        <v>1288850</v>
      </c>
      <c r="K227" s="129">
        <v>-1688928</v>
      </c>
      <c r="L227" s="129">
        <v>30419483</v>
      </c>
      <c r="M227" s="129">
        <v>85607</v>
      </c>
      <c r="N227" s="129">
        <v>0</v>
      </c>
      <c r="O227" s="129">
        <v>0</v>
      </c>
      <c r="P227" s="129">
        <v>85607</v>
      </c>
      <c r="Q227" s="129">
        <v>-920913</v>
      </c>
      <c r="R227" s="129">
        <v>-14173089</v>
      </c>
      <c r="S227" s="129">
        <v>-2834618</v>
      </c>
      <c r="T227" s="129">
        <v>-11338471</v>
      </c>
      <c r="U227" s="129">
        <v>-9129612</v>
      </c>
      <c r="V227" s="129">
        <v>0</v>
      </c>
      <c r="W227" s="129">
        <v>-3418</v>
      </c>
      <c r="X227" s="129">
        <v>-38400121</v>
      </c>
      <c r="Y227" s="129">
        <v>890095</v>
      </c>
      <c r="Z227" s="129">
        <v>-7897293</v>
      </c>
      <c r="AA227" s="662" t="s">
        <v>316</v>
      </c>
      <c r="AB227" s="324" t="s">
        <v>556</v>
      </c>
      <c r="AC227" s="663" t="s">
        <v>555</v>
      </c>
      <c r="AD227" s="529" t="s">
        <v>1433</v>
      </c>
    </row>
    <row r="228" spans="1:30" ht="12.75" x14ac:dyDescent="0.2">
      <c r="A228" s="664">
        <v>221</v>
      </c>
      <c r="B228" s="665" t="s">
        <v>319</v>
      </c>
      <c r="C228" s="666" t="s">
        <v>1201</v>
      </c>
      <c r="D228" s="667" t="s">
        <v>1202</v>
      </c>
      <c r="E228" s="668" t="s">
        <v>318</v>
      </c>
      <c r="F228" s="129">
        <v>553188</v>
      </c>
      <c r="G228" s="129">
        <v>20527055</v>
      </c>
      <c r="H228" s="129">
        <v>0</v>
      </c>
      <c r="I228" s="129">
        <v>0</v>
      </c>
      <c r="J228" s="129">
        <v>453569</v>
      </c>
      <c r="K228" s="129">
        <v>-2150000</v>
      </c>
      <c r="L228" s="129">
        <v>18830624</v>
      </c>
      <c r="M228" s="129">
        <v>86678</v>
      </c>
      <c r="N228" s="129">
        <v>0</v>
      </c>
      <c r="O228" s="129">
        <v>0</v>
      </c>
      <c r="P228" s="129">
        <v>86678</v>
      </c>
      <c r="Q228" s="129">
        <v>-188144</v>
      </c>
      <c r="R228" s="129">
        <v>-17978625</v>
      </c>
      <c r="S228" s="129">
        <v>-3595724</v>
      </c>
      <c r="T228" s="129">
        <v>-14382899</v>
      </c>
      <c r="U228" s="129">
        <v>-162528</v>
      </c>
      <c r="V228" s="129">
        <v>0</v>
      </c>
      <c r="W228" s="129">
        <v>-584945</v>
      </c>
      <c r="X228" s="129">
        <v>-36892865</v>
      </c>
      <c r="Y228" s="129">
        <v>535789</v>
      </c>
      <c r="Z228" s="129">
        <v>-16886585</v>
      </c>
      <c r="AA228" s="662" t="s">
        <v>318</v>
      </c>
      <c r="AB228" s="324" t="s">
        <v>543</v>
      </c>
      <c r="AC228" s="663" t="s">
        <v>542</v>
      </c>
      <c r="AD228" s="529" t="s">
        <v>1434</v>
      </c>
    </row>
    <row r="229" spans="1:30" ht="12.75" x14ac:dyDescent="0.2">
      <c r="A229" s="664">
        <v>222</v>
      </c>
      <c r="B229" s="665" t="s">
        <v>321</v>
      </c>
      <c r="C229" s="666" t="s">
        <v>1217</v>
      </c>
      <c r="D229" s="667" t="s">
        <v>1218</v>
      </c>
      <c r="E229" s="668" t="s">
        <v>320</v>
      </c>
      <c r="F229" s="129">
        <v>34104498</v>
      </c>
      <c r="G229" s="129">
        <v>100674262</v>
      </c>
      <c r="H229" s="129">
        <v>0</v>
      </c>
      <c r="I229" s="129">
        <v>-2150000</v>
      </c>
      <c r="J229" s="129">
        <v>0</v>
      </c>
      <c r="K229" s="129">
        <v>-4850000</v>
      </c>
      <c r="L229" s="129">
        <v>93674262</v>
      </c>
      <c r="M229" s="129">
        <v>0</v>
      </c>
      <c r="N229" s="129">
        <v>0</v>
      </c>
      <c r="O229" s="129">
        <v>0</v>
      </c>
      <c r="P229" s="129">
        <v>0</v>
      </c>
      <c r="Q229" s="129">
        <v>-3681596</v>
      </c>
      <c r="R229" s="129">
        <v>-103518239</v>
      </c>
      <c r="S229" s="129">
        <v>-2070365</v>
      </c>
      <c r="T229" s="129">
        <v>-101447874</v>
      </c>
      <c r="U229" s="129">
        <v>-3751825</v>
      </c>
      <c r="V229" s="129">
        <v>0</v>
      </c>
      <c r="W229" s="129">
        <v>-9063602</v>
      </c>
      <c r="X229" s="129">
        <v>-223533501</v>
      </c>
      <c r="Y229" s="129">
        <v>4136302</v>
      </c>
      <c r="Z229" s="129">
        <v>-91618439</v>
      </c>
      <c r="AA229" s="662" t="s">
        <v>320</v>
      </c>
      <c r="AB229" s="324" t="s">
        <v>570</v>
      </c>
      <c r="AC229" s="663" t="s">
        <v>572</v>
      </c>
      <c r="AD229" s="529" t="s">
        <v>1435</v>
      </c>
    </row>
    <row r="230" spans="1:30" ht="12.75" x14ac:dyDescent="0.2">
      <c r="A230" s="664">
        <v>223</v>
      </c>
      <c r="B230" s="665" t="s">
        <v>324</v>
      </c>
      <c r="C230" s="666" t="s">
        <v>486</v>
      </c>
      <c r="D230" s="667" t="s">
        <v>1228</v>
      </c>
      <c r="E230" s="668" t="s">
        <v>323</v>
      </c>
      <c r="F230" s="129">
        <v>580004</v>
      </c>
      <c r="G230" s="129">
        <v>41937404</v>
      </c>
      <c r="H230" s="129">
        <v>0</v>
      </c>
      <c r="I230" s="129">
        <v>-454481</v>
      </c>
      <c r="J230" s="129">
        <v>2235810</v>
      </c>
      <c r="K230" s="129">
        <v>-3690674</v>
      </c>
      <c r="L230" s="129">
        <v>40028059</v>
      </c>
      <c r="M230" s="129">
        <v>523738</v>
      </c>
      <c r="N230" s="129">
        <v>0</v>
      </c>
      <c r="O230" s="129">
        <v>0</v>
      </c>
      <c r="P230" s="129">
        <v>523738</v>
      </c>
      <c r="Q230" s="129">
        <v>0</v>
      </c>
      <c r="R230" s="129">
        <v>-41559742</v>
      </c>
      <c r="S230" s="129">
        <v>-831195</v>
      </c>
      <c r="T230" s="129">
        <v>-40728547</v>
      </c>
      <c r="U230" s="129">
        <v>-1544817</v>
      </c>
      <c r="V230" s="129">
        <v>0</v>
      </c>
      <c r="W230" s="129">
        <v>-445990</v>
      </c>
      <c r="X230" s="129">
        <v>-85110291</v>
      </c>
      <c r="Y230" s="129">
        <v>686182</v>
      </c>
      <c r="Z230" s="129">
        <v>-43292308</v>
      </c>
      <c r="AA230" s="662" t="s">
        <v>323</v>
      </c>
      <c r="AB230" s="324" t="s">
        <v>486</v>
      </c>
      <c r="AC230" s="663" t="s">
        <v>561</v>
      </c>
      <c r="AD230" s="529" t="s">
        <v>1436</v>
      </c>
    </row>
    <row r="231" spans="1:30" ht="12.75" x14ac:dyDescent="0.2">
      <c r="A231" s="664">
        <v>224</v>
      </c>
      <c r="B231" s="665" t="s">
        <v>325</v>
      </c>
      <c r="C231" s="666" t="s">
        <v>486</v>
      </c>
      <c r="D231" s="667" t="s">
        <v>1202</v>
      </c>
      <c r="E231" s="668" t="s">
        <v>497</v>
      </c>
      <c r="F231" s="129">
        <v>-5192505</v>
      </c>
      <c r="G231" s="129">
        <v>74628631</v>
      </c>
      <c r="H231" s="129">
        <v>0</v>
      </c>
      <c r="I231" s="129">
        <v>-3016136</v>
      </c>
      <c r="J231" s="129">
        <v>715591</v>
      </c>
      <c r="K231" s="129">
        <v>-2000000</v>
      </c>
      <c r="L231" s="129">
        <v>70328086</v>
      </c>
      <c r="M231" s="129">
        <v>0</v>
      </c>
      <c r="N231" s="129">
        <v>0</v>
      </c>
      <c r="O231" s="129">
        <v>0</v>
      </c>
      <c r="P231" s="129">
        <v>0</v>
      </c>
      <c r="Q231" s="129">
        <v>-984574</v>
      </c>
      <c r="R231" s="129">
        <v>-53181120</v>
      </c>
      <c r="S231" s="129">
        <v>-1063622</v>
      </c>
      <c r="T231" s="129">
        <v>-52117497</v>
      </c>
      <c r="U231" s="129">
        <v>0</v>
      </c>
      <c r="V231" s="129">
        <v>0</v>
      </c>
      <c r="W231" s="129">
        <v>-1930902</v>
      </c>
      <c r="X231" s="129">
        <v>-109277715</v>
      </c>
      <c r="Y231" s="129">
        <v>4352992</v>
      </c>
      <c r="Z231" s="129">
        <v>-39789142</v>
      </c>
      <c r="AA231" s="662" t="s">
        <v>497</v>
      </c>
      <c r="AB231" s="324" t="s">
        <v>486</v>
      </c>
      <c r="AC231" s="663" t="s">
        <v>494</v>
      </c>
      <c r="AD231" s="529" t="s">
        <v>1437</v>
      </c>
    </row>
    <row r="232" spans="1:30" ht="12.75" x14ac:dyDescent="0.2">
      <c r="A232" s="664">
        <v>225</v>
      </c>
      <c r="B232" s="665" t="s">
        <v>327</v>
      </c>
      <c r="C232" s="666" t="s">
        <v>1217</v>
      </c>
      <c r="D232" s="667" t="s">
        <v>1228</v>
      </c>
      <c r="E232" s="668" t="s">
        <v>326</v>
      </c>
      <c r="F232" s="129">
        <v>6048145</v>
      </c>
      <c r="G232" s="129">
        <v>61827954</v>
      </c>
      <c r="H232" s="129">
        <v>0</v>
      </c>
      <c r="I232" s="129">
        <v>-1863070</v>
      </c>
      <c r="J232" s="129">
        <v>5350833</v>
      </c>
      <c r="K232" s="129">
        <v>-7280119</v>
      </c>
      <c r="L232" s="129">
        <v>58035598</v>
      </c>
      <c r="M232" s="129">
        <v>0</v>
      </c>
      <c r="N232" s="129">
        <v>0</v>
      </c>
      <c r="O232" s="129">
        <v>0</v>
      </c>
      <c r="P232" s="129">
        <v>0</v>
      </c>
      <c r="Q232" s="129">
        <v>-2480193</v>
      </c>
      <c r="R232" s="129">
        <v>0</v>
      </c>
      <c r="S232" s="129">
        <v>-1198330</v>
      </c>
      <c r="T232" s="129">
        <v>-118634712</v>
      </c>
      <c r="U232" s="129">
        <v>-251048</v>
      </c>
      <c r="V232" s="129">
        <v>0</v>
      </c>
      <c r="W232" s="129">
        <v>-5126232</v>
      </c>
      <c r="X232" s="129">
        <v>-127690515</v>
      </c>
      <c r="Y232" s="129">
        <v>7162373</v>
      </c>
      <c r="Z232" s="129">
        <v>-56444399</v>
      </c>
      <c r="AA232" s="662" t="s">
        <v>326</v>
      </c>
      <c r="AB232" s="324" t="s">
        <v>570</v>
      </c>
      <c r="AC232" s="663" t="s">
        <v>574</v>
      </c>
      <c r="AD232" s="529" t="s">
        <v>1438</v>
      </c>
    </row>
    <row r="233" spans="1:30" ht="12.75" x14ac:dyDescent="0.2">
      <c r="A233" s="664">
        <v>226</v>
      </c>
      <c r="B233" s="665" t="s">
        <v>1023</v>
      </c>
      <c r="C233" s="666" t="s">
        <v>1201</v>
      </c>
      <c r="D233" s="667" t="s">
        <v>1224</v>
      </c>
      <c r="E233" s="668" t="s">
        <v>1022</v>
      </c>
      <c r="F233" s="129">
        <v>4337919</v>
      </c>
      <c r="G233" s="129">
        <v>21980593</v>
      </c>
      <c r="H233" s="129">
        <v>0</v>
      </c>
      <c r="I233" s="129">
        <v>-1081605</v>
      </c>
      <c r="J233" s="129">
        <v>1355821</v>
      </c>
      <c r="K233" s="129">
        <v>-1787371</v>
      </c>
      <c r="L233" s="129">
        <v>20467438</v>
      </c>
      <c r="M233" s="129">
        <v>0</v>
      </c>
      <c r="N233" s="129">
        <v>0</v>
      </c>
      <c r="O233" s="129">
        <v>0</v>
      </c>
      <c r="P233" s="129">
        <v>0</v>
      </c>
      <c r="Q233" s="129">
        <v>-283485</v>
      </c>
      <c r="R233" s="129">
        <v>-28754397</v>
      </c>
      <c r="S233" s="129">
        <v>-5750880</v>
      </c>
      <c r="T233" s="129">
        <v>-23003518</v>
      </c>
      <c r="U233" s="129">
        <v>-455080</v>
      </c>
      <c r="V233" s="129">
        <v>0</v>
      </c>
      <c r="W233" s="129">
        <v>-4580963</v>
      </c>
      <c r="X233" s="129">
        <v>-62828323</v>
      </c>
      <c r="Y233" s="129">
        <v>6656698</v>
      </c>
      <c r="Z233" s="129">
        <v>-31366268</v>
      </c>
      <c r="AA233" s="662" t="s">
        <v>1022</v>
      </c>
      <c r="AB233" s="324" t="s">
        <v>562</v>
      </c>
      <c r="AC233" s="663" t="s">
        <v>519</v>
      </c>
      <c r="AD233" s="529" t="s">
        <v>1439</v>
      </c>
    </row>
    <row r="234" spans="1:30" ht="12.75" x14ac:dyDescent="0.2">
      <c r="A234" s="664">
        <v>227</v>
      </c>
      <c r="B234" s="665" t="s">
        <v>329</v>
      </c>
      <c r="C234" s="666" t="s">
        <v>1201</v>
      </c>
      <c r="D234" s="667" t="s">
        <v>1211</v>
      </c>
      <c r="E234" s="668" t="s">
        <v>328</v>
      </c>
      <c r="F234" s="129">
        <v>-1755939</v>
      </c>
      <c r="G234" s="129">
        <v>73809964</v>
      </c>
      <c r="H234" s="129">
        <v>0</v>
      </c>
      <c r="I234" s="129">
        <v>-152313</v>
      </c>
      <c r="J234" s="129">
        <v>430204</v>
      </c>
      <c r="K234" s="129">
        <v>-1198615</v>
      </c>
      <c r="L234" s="129">
        <v>72889240</v>
      </c>
      <c r="M234" s="129">
        <v>0</v>
      </c>
      <c r="N234" s="129">
        <v>0</v>
      </c>
      <c r="O234" s="129">
        <v>0</v>
      </c>
      <c r="P234" s="129">
        <v>0</v>
      </c>
      <c r="Q234" s="129">
        <v>-509491</v>
      </c>
      <c r="R234" s="129">
        <v>-44684517</v>
      </c>
      <c r="S234" s="129">
        <v>-8936903</v>
      </c>
      <c r="T234" s="129">
        <v>-35747614</v>
      </c>
      <c r="U234" s="129">
        <v>-1750976</v>
      </c>
      <c r="V234" s="129">
        <v>0</v>
      </c>
      <c r="W234" s="129">
        <v>-766582</v>
      </c>
      <c r="X234" s="129">
        <v>-92396083</v>
      </c>
      <c r="Y234" s="129">
        <v>1821939</v>
      </c>
      <c r="Z234" s="129">
        <v>-19440843</v>
      </c>
      <c r="AA234" s="662" t="s">
        <v>328</v>
      </c>
      <c r="AB234" s="324" t="s">
        <v>503</v>
      </c>
      <c r="AC234" s="663" t="s">
        <v>502</v>
      </c>
      <c r="AD234" s="529" t="s">
        <v>1440</v>
      </c>
    </row>
    <row r="235" spans="1:30" ht="12.75" x14ac:dyDescent="0.2">
      <c r="A235" s="664">
        <v>228</v>
      </c>
      <c r="B235" s="665" t="s">
        <v>331</v>
      </c>
      <c r="C235" s="666" t="s">
        <v>1201</v>
      </c>
      <c r="D235" s="667" t="s">
        <v>1206</v>
      </c>
      <c r="E235" s="668" t="s">
        <v>330</v>
      </c>
      <c r="F235" s="129">
        <v>1154917</v>
      </c>
      <c r="G235" s="129">
        <v>20002137</v>
      </c>
      <c r="H235" s="129">
        <v>0</v>
      </c>
      <c r="I235" s="129">
        <v>-353852</v>
      </c>
      <c r="J235" s="129">
        <v>97935</v>
      </c>
      <c r="K235" s="129">
        <v>-740109</v>
      </c>
      <c r="L235" s="129">
        <v>19006111</v>
      </c>
      <c r="M235" s="129">
        <v>456026</v>
      </c>
      <c r="N235" s="129">
        <v>0</v>
      </c>
      <c r="O235" s="129">
        <v>0</v>
      </c>
      <c r="P235" s="129">
        <v>456026</v>
      </c>
      <c r="Q235" s="129">
        <v>0</v>
      </c>
      <c r="R235" s="129">
        <v>-13861851</v>
      </c>
      <c r="S235" s="129">
        <v>-2772370</v>
      </c>
      <c r="T235" s="129">
        <v>-11089480</v>
      </c>
      <c r="U235" s="129">
        <v>0</v>
      </c>
      <c r="V235" s="129">
        <v>-92542</v>
      </c>
      <c r="W235" s="129">
        <v>-23525</v>
      </c>
      <c r="X235" s="129">
        <v>-27839768</v>
      </c>
      <c r="Y235" s="129">
        <v>1319466</v>
      </c>
      <c r="Z235" s="129">
        <v>-5903248</v>
      </c>
      <c r="AA235" s="662" t="s">
        <v>330</v>
      </c>
      <c r="AB235" s="324" t="s">
        <v>516</v>
      </c>
      <c r="AC235" s="663" t="s">
        <v>515</v>
      </c>
      <c r="AD235" s="529" t="s">
        <v>1441</v>
      </c>
    </row>
    <row r="236" spans="1:30" ht="12.75" x14ac:dyDescent="0.2">
      <c r="A236" s="664">
        <v>229</v>
      </c>
      <c r="B236" s="665" t="s">
        <v>333</v>
      </c>
      <c r="C236" s="666" t="s">
        <v>486</v>
      </c>
      <c r="D236" s="667" t="s">
        <v>1224</v>
      </c>
      <c r="E236" s="668" t="s">
        <v>489</v>
      </c>
      <c r="F236" s="129">
        <v>-2653212</v>
      </c>
      <c r="G236" s="129">
        <v>85364829</v>
      </c>
      <c r="H236" s="129">
        <v>0</v>
      </c>
      <c r="I236" s="129">
        <v>-920601</v>
      </c>
      <c r="J236" s="129">
        <v>7419746</v>
      </c>
      <c r="K236" s="129">
        <v>-11669358</v>
      </c>
      <c r="L236" s="129">
        <v>80194616</v>
      </c>
      <c r="M236" s="129">
        <v>0</v>
      </c>
      <c r="N236" s="129">
        <v>0</v>
      </c>
      <c r="O236" s="129">
        <v>2472755</v>
      </c>
      <c r="P236" s="129">
        <v>2472755</v>
      </c>
      <c r="Q236" s="129">
        <v>-612065</v>
      </c>
      <c r="R236" s="129">
        <v>0</v>
      </c>
      <c r="S236" s="129">
        <v>-7634767</v>
      </c>
      <c r="T236" s="129">
        <v>-119611350</v>
      </c>
      <c r="U236" s="129">
        <v>-16862253</v>
      </c>
      <c r="V236" s="129">
        <v>0</v>
      </c>
      <c r="W236" s="129">
        <v>0</v>
      </c>
      <c r="X236" s="129">
        <v>-144720435</v>
      </c>
      <c r="Y236" s="129">
        <v>0</v>
      </c>
      <c r="Z236" s="129">
        <v>-64706276</v>
      </c>
      <c r="AA236" s="662" t="s">
        <v>489</v>
      </c>
      <c r="AB236" s="324" t="s">
        <v>486</v>
      </c>
      <c r="AC236" s="663" t="s">
        <v>487</v>
      </c>
      <c r="AD236" s="529" t="s">
        <v>1442</v>
      </c>
    </row>
    <row r="237" spans="1:30" ht="12.75" x14ac:dyDescent="0.2">
      <c r="A237" s="664">
        <v>230</v>
      </c>
      <c r="B237" s="665" t="s">
        <v>335</v>
      </c>
      <c r="C237" s="666" t="s">
        <v>1201</v>
      </c>
      <c r="D237" s="667" t="s">
        <v>1224</v>
      </c>
      <c r="E237" s="668" t="s">
        <v>334</v>
      </c>
      <c r="F237" s="129">
        <v>62736</v>
      </c>
      <c r="G237" s="129">
        <v>16150124</v>
      </c>
      <c r="H237" s="129">
        <v>0</v>
      </c>
      <c r="I237" s="129">
        <v>-75009</v>
      </c>
      <c r="J237" s="129">
        <v>529076</v>
      </c>
      <c r="K237" s="129">
        <v>-876201</v>
      </c>
      <c r="L237" s="129">
        <v>15727990</v>
      </c>
      <c r="M237" s="129">
        <v>271275</v>
      </c>
      <c r="N237" s="129">
        <v>0</v>
      </c>
      <c r="O237" s="129">
        <v>0</v>
      </c>
      <c r="P237" s="129">
        <v>271275</v>
      </c>
      <c r="Q237" s="129">
        <v>-655732</v>
      </c>
      <c r="R237" s="129">
        <v>-14243628</v>
      </c>
      <c r="S237" s="129">
        <v>-2848726</v>
      </c>
      <c r="T237" s="129">
        <v>-11394903</v>
      </c>
      <c r="U237" s="129">
        <v>-206320</v>
      </c>
      <c r="V237" s="129">
        <v>0</v>
      </c>
      <c r="W237" s="129">
        <v>-2035067</v>
      </c>
      <c r="X237" s="129">
        <v>-31384376</v>
      </c>
      <c r="Y237" s="129">
        <v>137584</v>
      </c>
      <c r="Z237" s="129">
        <v>-15184791</v>
      </c>
      <c r="AA237" s="662" t="s">
        <v>334</v>
      </c>
      <c r="AB237" s="324" t="s">
        <v>521</v>
      </c>
      <c r="AC237" s="663" t="s">
        <v>519</v>
      </c>
      <c r="AD237" s="529" t="s">
        <v>1443</v>
      </c>
    </row>
    <row r="238" spans="1:30" ht="12.75" x14ac:dyDescent="0.2">
      <c r="A238" s="664">
        <v>231</v>
      </c>
      <c r="B238" s="665" t="s">
        <v>337</v>
      </c>
      <c r="C238" s="666" t="s">
        <v>1201</v>
      </c>
      <c r="D238" s="667" t="s">
        <v>1206</v>
      </c>
      <c r="E238" s="668" t="s">
        <v>336</v>
      </c>
      <c r="F238" s="129">
        <v>-563482</v>
      </c>
      <c r="G238" s="129">
        <v>19006338</v>
      </c>
      <c r="H238" s="129">
        <v>0</v>
      </c>
      <c r="I238" s="129">
        <v>-193966</v>
      </c>
      <c r="J238" s="129">
        <v>769115</v>
      </c>
      <c r="K238" s="129">
        <v>-171115</v>
      </c>
      <c r="L238" s="129">
        <v>19410372</v>
      </c>
      <c r="M238" s="129">
        <v>0</v>
      </c>
      <c r="N238" s="129">
        <v>0</v>
      </c>
      <c r="O238" s="129">
        <v>1062851</v>
      </c>
      <c r="P238" s="129">
        <v>1062851</v>
      </c>
      <c r="Q238" s="129">
        <v>-2536538</v>
      </c>
      <c r="R238" s="129">
        <v>-12248352</v>
      </c>
      <c r="S238" s="129">
        <v>-2449671</v>
      </c>
      <c r="T238" s="129">
        <v>-9798682</v>
      </c>
      <c r="U238" s="129">
        <v>-460918</v>
      </c>
      <c r="V238" s="129">
        <v>0</v>
      </c>
      <c r="W238" s="129">
        <v>0</v>
      </c>
      <c r="X238" s="129">
        <v>-27494161</v>
      </c>
      <c r="Y238" s="129">
        <v>188328</v>
      </c>
      <c r="Z238" s="129">
        <v>-7396092</v>
      </c>
      <c r="AA238" s="662" t="s">
        <v>336</v>
      </c>
      <c r="AB238" s="324" t="s">
        <v>552</v>
      </c>
      <c r="AC238" s="663" t="s">
        <v>512</v>
      </c>
      <c r="AD238" s="529" t="s">
        <v>1444</v>
      </c>
    </row>
    <row r="239" spans="1:30" ht="12.75" x14ac:dyDescent="0.2">
      <c r="A239" s="664">
        <v>232</v>
      </c>
      <c r="B239" s="665" t="s">
        <v>339</v>
      </c>
      <c r="C239" s="666" t="s">
        <v>1201</v>
      </c>
      <c r="D239" s="667" t="s">
        <v>1206</v>
      </c>
      <c r="E239" s="668" t="s">
        <v>338</v>
      </c>
      <c r="F239" s="129">
        <v>113003</v>
      </c>
      <c r="G239" s="129">
        <v>22428732</v>
      </c>
      <c r="H239" s="129">
        <v>-200000</v>
      </c>
      <c r="I239" s="129">
        <v>-365000</v>
      </c>
      <c r="J239" s="129">
        <v>41610</v>
      </c>
      <c r="K239" s="129">
        <v>-1794299</v>
      </c>
      <c r="L239" s="129">
        <v>20111043</v>
      </c>
      <c r="M239" s="129">
        <v>111319</v>
      </c>
      <c r="N239" s="129">
        <v>0</v>
      </c>
      <c r="O239" s="129">
        <v>0</v>
      </c>
      <c r="P239" s="129">
        <v>111319</v>
      </c>
      <c r="Q239" s="129">
        <v>-318463</v>
      </c>
      <c r="R239" s="129">
        <v>-20861849</v>
      </c>
      <c r="S239" s="129">
        <v>-4172370</v>
      </c>
      <c r="T239" s="129">
        <v>-16689480</v>
      </c>
      <c r="U239" s="129">
        <v>-404585</v>
      </c>
      <c r="V239" s="129">
        <v>0</v>
      </c>
      <c r="W239" s="129">
        <v>-1942268</v>
      </c>
      <c r="X239" s="129">
        <v>-44389015</v>
      </c>
      <c r="Y239" s="129">
        <v>1564521</v>
      </c>
      <c r="Z239" s="129">
        <v>-22489129</v>
      </c>
      <c r="AA239" s="662" t="s">
        <v>338</v>
      </c>
      <c r="AB239" s="324" t="s">
        <v>552</v>
      </c>
      <c r="AC239" s="663" t="s">
        <v>512</v>
      </c>
      <c r="AD239" s="529" t="s">
        <v>1445</v>
      </c>
    </row>
    <row r="240" spans="1:30" ht="12.75" x14ac:dyDescent="0.2">
      <c r="A240" s="664">
        <v>233</v>
      </c>
      <c r="B240" s="665" t="s">
        <v>341</v>
      </c>
      <c r="C240" s="666" t="s">
        <v>1201</v>
      </c>
      <c r="D240" s="667" t="s">
        <v>1204</v>
      </c>
      <c r="E240" s="668" t="s">
        <v>340</v>
      </c>
      <c r="F240" s="129">
        <v>2537610</v>
      </c>
      <c r="G240" s="129">
        <v>14534543</v>
      </c>
      <c r="H240" s="129">
        <v>0</v>
      </c>
      <c r="I240" s="129">
        <v>-443377</v>
      </c>
      <c r="J240" s="129">
        <v>541641</v>
      </c>
      <c r="K240" s="129">
        <v>-3027883</v>
      </c>
      <c r="L240" s="129">
        <v>11604924</v>
      </c>
      <c r="M240" s="129">
        <v>201197</v>
      </c>
      <c r="N240" s="129">
        <v>0</v>
      </c>
      <c r="O240" s="129">
        <v>0</v>
      </c>
      <c r="P240" s="129">
        <v>201197</v>
      </c>
      <c r="Q240" s="129">
        <v>0</v>
      </c>
      <c r="R240" s="129">
        <v>-21291624</v>
      </c>
      <c r="S240" s="129">
        <v>-4258325</v>
      </c>
      <c r="T240" s="129">
        <v>-17033300</v>
      </c>
      <c r="U240" s="129">
        <v>-300924</v>
      </c>
      <c r="V240" s="129">
        <v>0</v>
      </c>
      <c r="W240" s="129">
        <v>-1347933</v>
      </c>
      <c r="X240" s="129">
        <v>-44232106</v>
      </c>
      <c r="Y240" s="129">
        <v>1993039</v>
      </c>
      <c r="Z240" s="129">
        <v>-27895336</v>
      </c>
      <c r="AA240" s="662" t="s">
        <v>340</v>
      </c>
      <c r="AB240" s="324" t="s">
        <v>513</v>
      </c>
      <c r="AC240" s="663" t="s">
        <v>512</v>
      </c>
      <c r="AD240" s="529" t="s">
        <v>1446</v>
      </c>
    </row>
    <row r="241" spans="1:30" ht="12.75" x14ac:dyDescent="0.2">
      <c r="A241" s="664">
        <v>234</v>
      </c>
      <c r="B241" s="665" t="s">
        <v>343</v>
      </c>
      <c r="C241" s="666" t="s">
        <v>1201</v>
      </c>
      <c r="D241" s="667" t="s">
        <v>1211</v>
      </c>
      <c r="E241" s="668" t="s">
        <v>342</v>
      </c>
      <c r="F241" s="129">
        <v>-520926</v>
      </c>
      <c r="G241" s="129">
        <v>18900000</v>
      </c>
      <c r="H241" s="129">
        <v>0</v>
      </c>
      <c r="I241" s="129">
        <v>-100000</v>
      </c>
      <c r="J241" s="129">
        <v>400000</v>
      </c>
      <c r="K241" s="129">
        <v>-300000</v>
      </c>
      <c r="L241" s="129">
        <v>18900000</v>
      </c>
      <c r="M241" s="129">
        <v>40000</v>
      </c>
      <c r="N241" s="129">
        <v>0</v>
      </c>
      <c r="O241" s="129">
        <v>314058</v>
      </c>
      <c r="P241" s="129">
        <v>354058</v>
      </c>
      <c r="Q241" s="129">
        <v>0</v>
      </c>
      <c r="R241" s="129">
        <v>-15752923</v>
      </c>
      <c r="S241" s="129">
        <v>-3150585</v>
      </c>
      <c r="T241" s="129">
        <v>-12602338</v>
      </c>
      <c r="U241" s="129">
        <v>-329712</v>
      </c>
      <c r="V241" s="129">
        <v>0</v>
      </c>
      <c r="W241" s="129">
        <v>0</v>
      </c>
      <c r="X241" s="129">
        <v>-31835558</v>
      </c>
      <c r="Y241" s="129">
        <v>0</v>
      </c>
      <c r="Z241" s="129">
        <v>-13102426</v>
      </c>
      <c r="AA241" s="662" t="s">
        <v>342</v>
      </c>
      <c r="AB241" s="324" t="s">
        <v>553</v>
      </c>
      <c r="AC241" s="663" t="s">
        <v>512</v>
      </c>
      <c r="AD241" s="529" t="s">
        <v>1447</v>
      </c>
    </row>
    <row r="242" spans="1:30" ht="12.75" x14ac:dyDescent="0.2">
      <c r="A242" s="664">
        <v>235</v>
      </c>
      <c r="B242" s="665" t="s">
        <v>345</v>
      </c>
      <c r="C242" s="666" t="s">
        <v>1201</v>
      </c>
      <c r="D242" s="667" t="s">
        <v>1202</v>
      </c>
      <c r="E242" s="668" t="s">
        <v>344</v>
      </c>
      <c r="F242" s="129">
        <v>-733871</v>
      </c>
      <c r="G242" s="129">
        <v>28342076</v>
      </c>
      <c r="H242" s="129">
        <v>0</v>
      </c>
      <c r="I242" s="129">
        <v>-3065000</v>
      </c>
      <c r="J242" s="129">
        <v>0</v>
      </c>
      <c r="K242" s="129">
        <v>-7619281</v>
      </c>
      <c r="L242" s="129">
        <v>17657795</v>
      </c>
      <c r="M242" s="129">
        <v>0</v>
      </c>
      <c r="N242" s="129">
        <v>0</v>
      </c>
      <c r="O242" s="129">
        <v>583359</v>
      </c>
      <c r="P242" s="129">
        <v>583359</v>
      </c>
      <c r="Q242" s="129">
        <v>-20865</v>
      </c>
      <c r="R242" s="129">
        <v>-21838701</v>
      </c>
      <c r="S242" s="129">
        <v>-4367740</v>
      </c>
      <c r="T242" s="129">
        <v>-17470961</v>
      </c>
      <c r="U242" s="129">
        <v>-291219</v>
      </c>
      <c r="V242" s="129">
        <v>0</v>
      </c>
      <c r="W242" s="129">
        <v>0</v>
      </c>
      <c r="X242" s="129">
        <v>-43989486</v>
      </c>
      <c r="Y242" s="129">
        <v>4797359</v>
      </c>
      <c r="Z242" s="129">
        <v>-21684844</v>
      </c>
      <c r="AA242" s="662" t="s">
        <v>344</v>
      </c>
      <c r="AB242" s="324" t="s">
        <v>560</v>
      </c>
      <c r="AC242" s="663" t="s">
        <v>512</v>
      </c>
      <c r="AD242" s="529" t="s">
        <v>1448</v>
      </c>
    </row>
    <row r="243" spans="1:30" ht="12.75" x14ac:dyDescent="0.2">
      <c r="A243" s="664">
        <v>236</v>
      </c>
      <c r="B243" s="665" t="s">
        <v>347</v>
      </c>
      <c r="C243" s="666" t="s">
        <v>1201</v>
      </c>
      <c r="D243" s="667" t="s">
        <v>1204</v>
      </c>
      <c r="E243" s="668" t="s">
        <v>346</v>
      </c>
      <c r="F243" s="129">
        <v>1692647</v>
      </c>
      <c r="G243" s="129">
        <v>23637518</v>
      </c>
      <c r="H243" s="129">
        <v>0</v>
      </c>
      <c r="I243" s="129">
        <v>-709125</v>
      </c>
      <c r="J243" s="129">
        <v>0</v>
      </c>
      <c r="K243" s="129">
        <v>-1450375</v>
      </c>
      <c r="L243" s="129">
        <v>21478018</v>
      </c>
      <c r="M243" s="129">
        <v>68421</v>
      </c>
      <c r="N243" s="129">
        <v>0</v>
      </c>
      <c r="O243" s="129">
        <v>0</v>
      </c>
      <c r="P243" s="129">
        <v>68421</v>
      </c>
      <c r="Q243" s="129">
        <v>0</v>
      </c>
      <c r="R243" s="129">
        <v>-17624790</v>
      </c>
      <c r="S243" s="129">
        <v>-3524958</v>
      </c>
      <c r="T243" s="129">
        <v>-14099832</v>
      </c>
      <c r="U243" s="129">
        <v>-248451</v>
      </c>
      <c r="V243" s="129">
        <v>0</v>
      </c>
      <c r="W243" s="129">
        <v>-29650</v>
      </c>
      <c r="X243" s="129">
        <v>-35527681</v>
      </c>
      <c r="Y243" s="129">
        <v>886493</v>
      </c>
      <c r="Z243" s="129">
        <v>-11402102</v>
      </c>
      <c r="AA243" s="662" t="s">
        <v>346</v>
      </c>
      <c r="AB243" s="324" t="s">
        <v>547</v>
      </c>
      <c r="AC243" s="663" t="s">
        <v>545</v>
      </c>
      <c r="AD243" s="529" t="s">
        <v>1449</v>
      </c>
    </row>
    <row r="244" spans="1:30" ht="12.75" x14ac:dyDescent="0.2">
      <c r="A244" s="664">
        <v>237</v>
      </c>
      <c r="B244" s="665" t="s">
        <v>349</v>
      </c>
      <c r="C244" s="666" t="s">
        <v>1201</v>
      </c>
      <c r="D244" s="667" t="s">
        <v>1224</v>
      </c>
      <c r="E244" s="668" t="s">
        <v>348</v>
      </c>
      <c r="F244" s="129">
        <v>4014926</v>
      </c>
      <c r="G244" s="129">
        <v>24262494</v>
      </c>
      <c r="H244" s="129">
        <v>0</v>
      </c>
      <c r="I244" s="129">
        <v>-1297545</v>
      </c>
      <c r="J244" s="129">
        <v>1329340</v>
      </c>
      <c r="K244" s="129">
        <v>-2472623</v>
      </c>
      <c r="L244" s="129">
        <v>21821666</v>
      </c>
      <c r="M244" s="129">
        <v>211647</v>
      </c>
      <c r="N244" s="129">
        <v>0</v>
      </c>
      <c r="O244" s="129">
        <v>0</v>
      </c>
      <c r="P244" s="129">
        <v>211647</v>
      </c>
      <c r="Q244" s="129">
        <v>-426612</v>
      </c>
      <c r="R244" s="129">
        <v>-22855119</v>
      </c>
      <c r="S244" s="129">
        <v>-4571024</v>
      </c>
      <c r="T244" s="129">
        <v>-18284096</v>
      </c>
      <c r="U244" s="129">
        <v>-728728</v>
      </c>
      <c r="V244" s="129">
        <v>-175142</v>
      </c>
      <c r="W244" s="129">
        <v>-3959365</v>
      </c>
      <c r="X244" s="129">
        <v>-51000086</v>
      </c>
      <c r="Y244" s="129">
        <v>2731611</v>
      </c>
      <c r="Z244" s="129">
        <v>-22220236</v>
      </c>
      <c r="AA244" s="662" t="s">
        <v>348</v>
      </c>
      <c r="AB244" s="324" t="s">
        <v>562</v>
      </c>
      <c r="AC244" s="663" t="s">
        <v>519</v>
      </c>
      <c r="AD244" s="529" t="s">
        <v>1450</v>
      </c>
    </row>
    <row r="245" spans="1:30" ht="12.75" x14ac:dyDescent="0.2">
      <c r="A245" s="664">
        <v>238</v>
      </c>
      <c r="B245" s="665" t="s">
        <v>351</v>
      </c>
      <c r="C245" s="666" t="s">
        <v>1201</v>
      </c>
      <c r="D245" s="667" t="s">
        <v>1228</v>
      </c>
      <c r="E245" s="668" t="s">
        <v>350</v>
      </c>
      <c r="F245" s="129">
        <v>-581895</v>
      </c>
      <c r="G245" s="129">
        <v>19564793</v>
      </c>
      <c r="H245" s="129">
        <v>0</v>
      </c>
      <c r="I245" s="129">
        <v>0</v>
      </c>
      <c r="J245" s="129">
        <v>891692</v>
      </c>
      <c r="K245" s="129">
        <v>-2058262</v>
      </c>
      <c r="L245" s="129">
        <v>18398223</v>
      </c>
      <c r="M245" s="129">
        <v>0</v>
      </c>
      <c r="N245" s="129">
        <v>0</v>
      </c>
      <c r="O245" s="129">
        <v>0</v>
      </c>
      <c r="P245" s="129">
        <v>0</v>
      </c>
      <c r="Q245" s="129">
        <v>-41132</v>
      </c>
      <c r="R245" s="129">
        <v>-10899354</v>
      </c>
      <c r="S245" s="129">
        <v>-2212348</v>
      </c>
      <c r="T245" s="129">
        <v>-8849393</v>
      </c>
      <c r="U245" s="129">
        <v>-5298329</v>
      </c>
      <c r="V245" s="129">
        <v>0</v>
      </c>
      <c r="W245" s="129">
        <v>-1135478</v>
      </c>
      <c r="X245" s="129">
        <v>-28436034</v>
      </c>
      <c r="Y245" s="129">
        <v>968783</v>
      </c>
      <c r="Z245" s="129">
        <v>-9650923</v>
      </c>
      <c r="AA245" s="662" t="s">
        <v>350</v>
      </c>
      <c r="AB245" s="324" t="s">
        <v>564</v>
      </c>
      <c r="AC245" s="663" t="s">
        <v>1917</v>
      </c>
      <c r="AD245" s="529" t="s">
        <v>1451</v>
      </c>
    </row>
    <row r="246" spans="1:30" ht="12.75" x14ac:dyDescent="0.2">
      <c r="A246" s="664">
        <v>239</v>
      </c>
      <c r="B246" s="665" t="s">
        <v>353</v>
      </c>
      <c r="C246" s="666" t="s">
        <v>1217</v>
      </c>
      <c r="D246" s="667" t="s">
        <v>1283</v>
      </c>
      <c r="E246" s="668" t="s">
        <v>352</v>
      </c>
      <c r="F246" s="129">
        <v>-198979</v>
      </c>
      <c r="G246" s="129">
        <v>17930000</v>
      </c>
      <c r="H246" s="129">
        <v>-200000</v>
      </c>
      <c r="I246" s="129">
        <v>-300000</v>
      </c>
      <c r="J246" s="129">
        <v>1000000</v>
      </c>
      <c r="K246" s="129">
        <v>-1500000</v>
      </c>
      <c r="L246" s="129">
        <v>16930000</v>
      </c>
      <c r="M246" s="129">
        <v>50000</v>
      </c>
      <c r="N246" s="129">
        <v>142510</v>
      </c>
      <c r="O246" s="129">
        <v>670165</v>
      </c>
      <c r="P246" s="129">
        <v>862675</v>
      </c>
      <c r="Q246" s="129">
        <v>-700000</v>
      </c>
      <c r="R246" s="129">
        <v>-14765543</v>
      </c>
      <c r="S246" s="129">
        <v>-295311</v>
      </c>
      <c r="T246" s="129">
        <v>-14470232</v>
      </c>
      <c r="U246" s="129">
        <v>-142510</v>
      </c>
      <c r="V246" s="129">
        <v>0</v>
      </c>
      <c r="W246" s="129">
        <v>0</v>
      </c>
      <c r="X246" s="129">
        <v>-30373596</v>
      </c>
      <c r="Y246" s="129">
        <v>394057</v>
      </c>
      <c r="Z246" s="129">
        <v>-12385843</v>
      </c>
      <c r="AA246" s="662" t="s">
        <v>352</v>
      </c>
      <c r="AB246" s="324" t="s">
        <v>570</v>
      </c>
      <c r="AC246" s="663" t="s">
        <v>573</v>
      </c>
      <c r="AD246" s="529" t="s">
        <v>1452</v>
      </c>
    </row>
    <row r="247" spans="1:30" ht="12.75" x14ac:dyDescent="0.2">
      <c r="A247" s="664">
        <v>240</v>
      </c>
      <c r="B247" s="665" t="s">
        <v>354</v>
      </c>
      <c r="C247" s="666" t="s">
        <v>486</v>
      </c>
      <c r="D247" s="667" t="s">
        <v>1202</v>
      </c>
      <c r="E247" s="668" t="s">
        <v>531</v>
      </c>
      <c r="F247" s="129">
        <v>683159</v>
      </c>
      <c r="G247" s="129">
        <v>56883986</v>
      </c>
      <c r="H247" s="129">
        <v>0</v>
      </c>
      <c r="I247" s="129">
        <v>-601858</v>
      </c>
      <c r="J247" s="129">
        <v>3568638</v>
      </c>
      <c r="K247" s="129">
        <v>-8667016</v>
      </c>
      <c r="L247" s="129">
        <v>51183750</v>
      </c>
      <c r="M247" s="129">
        <v>0</v>
      </c>
      <c r="N247" s="129">
        <v>0</v>
      </c>
      <c r="O247" s="129">
        <v>0</v>
      </c>
      <c r="P247" s="129">
        <v>0</v>
      </c>
      <c r="Q247" s="129">
        <v>-1507910</v>
      </c>
      <c r="R247" s="129">
        <v>-52916783</v>
      </c>
      <c r="S247" s="129">
        <v>-1058336</v>
      </c>
      <c r="T247" s="129">
        <v>-51858447</v>
      </c>
      <c r="U247" s="129">
        <v>-308058</v>
      </c>
      <c r="V247" s="129">
        <v>0</v>
      </c>
      <c r="W247" s="129">
        <v>-504197</v>
      </c>
      <c r="X247" s="129">
        <v>-108153731</v>
      </c>
      <c r="Y247" s="129">
        <v>3981495</v>
      </c>
      <c r="Z247" s="129">
        <v>-52305327</v>
      </c>
      <c r="AA247" s="662" t="s">
        <v>531</v>
      </c>
      <c r="AB247" s="324" t="s">
        <v>486</v>
      </c>
      <c r="AC247" s="663" t="s">
        <v>1914</v>
      </c>
      <c r="AD247" s="529" t="s">
        <v>1453</v>
      </c>
    </row>
    <row r="248" spans="1:30" ht="12.75" x14ac:dyDescent="0.2">
      <c r="A248" s="664">
        <v>241</v>
      </c>
      <c r="B248" s="665" t="s">
        <v>355</v>
      </c>
      <c r="C248" s="666" t="s">
        <v>486</v>
      </c>
      <c r="D248" s="667" t="s">
        <v>1211</v>
      </c>
      <c r="E248" s="668" t="s">
        <v>526</v>
      </c>
      <c r="F248" s="129">
        <v>-1820226</v>
      </c>
      <c r="G248" s="129">
        <v>18119545</v>
      </c>
      <c r="H248" s="129">
        <v>-20339</v>
      </c>
      <c r="I248" s="129">
        <v>-385000</v>
      </c>
      <c r="J248" s="129">
        <v>2234314</v>
      </c>
      <c r="K248" s="129">
        <v>-2706791</v>
      </c>
      <c r="L248" s="129">
        <v>17241729</v>
      </c>
      <c r="M248" s="129">
        <v>99086</v>
      </c>
      <c r="N248" s="129">
        <v>0</v>
      </c>
      <c r="O248" s="129">
        <v>371274</v>
      </c>
      <c r="P248" s="129">
        <v>470360</v>
      </c>
      <c r="Q248" s="129">
        <v>-483353</v>
      </c>
      <c r="R248" s="129">
        <v>-21513812</v>
      </c>
      <c r="S248" s="129">
        <v>-430276</v>
      </c>
      <c r="T248" s="129">
        <v>-21083536</v>
      </c>
      <c r="U248" s="129">
        <v>-224201</v>
      </c>
      <c r="V248" s="129">
        <v>0</v>
      </c>
      <c r="W248" s="129">
        <v>0</v>
      </c>
      <c r="X248" s="129">
        <v>-43735178</v>
      </c>
      <c r="Y248" s="129">
        <v>1458455</v>
      </c>
      <c r="Z248" s="129">
        <v>-26384860</v>
      </c>
      <c r="AA248" s="662" t="s">
        <v>526</v>
      </c>
      <c r="AB248" s="324" t="s">
        <v>486</v>
      </c>
      <c r="AC248" s="663" t="s">
        <v>1913</v>
      </c>
      <c r="AD248" s="529" t="s">
        <v>1454</v>
      </c>
    </row>
    <row r="249" spans="1:30" ht="12.75" x14ac:dyDescent="0.2">
      <c r="A249" s="664">
        <v>242</v>
      </c>
      <c r="B249" s="665" t="s">
        <v>357</v>
      </c>
      <c r="C249" s="666" t="s">
        <v>1257</v>
      </c>
      <c r="D249" s="667" t="s">
        <v>1214</v>
      </c>
      <c r="E249" s="668" t="s">
        <v>356</v>
      </c>
      <c r="F249" s="129">
        <v>-30311323</v>
      </c>
      <c r="G249" s="129">
        <v>227523253</v>
      </c>
      <c r="H249" s="129">
        <v>0</v>
      </c>
      <c r="I249" s="129">
        <v>-10000000</v>
      </c>
      <c r="J249" s="129">
        <v>5000000</v>
      </c>
      <c r="K249" s="129">
        <v>-26672177</v>
      </c>
      <c r="L249" s="129">
        <v>195851076</v>
      </c>
      <c r="M249" s="129">
        <v>4491862</v>
      </c>
      <c r="N249" s="129">
        <v>0</v>
      </c>
      <c r="O249" s="129">
        <v>26127388</v>
      </c>
      <c r="P249" s="129">
        <v>30619250</v>
      </c>
      <c r="Q249" s="129">
        <v>0</v>
      </c>
      <c r="R249" s="129">
        <v>-111459707</v>
      </c>
      <c r="S249" s="129">
        <v>-124969975</v>
      </c>
      <c r="T249" s="129">
        <v>-101327006</v>
      </c>
      <c r="U249" s="129">
        <v>-768851</v>
      </c>
      <c r="V249" s="129">
        <v>0</v>
      </c>
      <c r="W249" s="129">
        <v>0</v>
      </c>
      <c r="X249" s="129">
        <v>-338525539</v>
      </c>
      <c r="Y249" s="129">
        <v>34558963</v>
      </c>
      <c r="Z249" s="129">
        <v>-107807573</v>
      </c>
      <c r="AA249" s="662" t="s">
        <v>356</v>
      </c>
      <c r="AB249" s="324" t="s">
        <v>576</v>
      </c>
      <c r="AC249" s="669" t="s">
        <v>485</v>
      </c>
      <c r="AD249" s="529" t="s">
        <v>1455</v>
      </c>
    </row>
    <row r="250" spans="1:30" ht="12.75" x14ac:dyDescent="0.2">
      <c r="A250" s="664">
        <v>243</v>
      </c>
      <c r="B250" s="665" t="s">
        <v>359</v>
      </c>
      <c r="C250" s="666" t="s">
        <v>1201</v>
      </c>
      <c r="D250" s="667" t="s">
        <v>1202</v>
      </c>
      <c r="E250" s="668" t="s">
        <v>358</v>
      </c>
      <c r="F250" s="129">
        <v>-6079924</v>
      </c>
      <c r="G250" s="129">
        <v>31265440</v>
      </c>
      <c r="H250" s="129">
        <v>0</v>
      </c>
      <c r="I250" s="129">
        <v>-993000</v>
      </c>
      <c r="J250" s="129">
        <v>740676</v>
      </c>
      <c r="K250" s="129">
        <v>500000</v>
      </c>
      <c r="L250" s="129">
        <v>31513116</v>
      </c>
      <c r="M250" s="129">
        <v>82000</v>
      </c>
      <c r="N250" s="129">
        <v>0</v>
      </c>
      <c r="O250" s="129">
        <v>0</v>
      </c>
      <c r="P250" s="129">
        <v>82000</v>
      </c>
      <c r="Q250" s="129">
        <v>0</v>
      </c>
      <c r="R250" s="129">
        <v>-25293481</v>
      </c>
      <c r="S250" s="129">
        <v>-5058696</v>
      </c>
      <c r="T250" s="129">
        <v>-20234784</v>
      </c>
      <c r="U250" s="129">
        <v>0</v>
      </c>
      <c r="V250" s="129">
        <v>0</v>
      </c>
      <c r="W250" s="129">
        <v>-1408637</v>
      </c>
      <c r="X250" s="129">
        <v>-51995598</v>
      </c>
      <c r="Y250" s="129">
        <v>2895609</v>
      </c>
      <c r="Z250" s="129">
        <v>-23584797</v>
      </c>
      <c r="AA250" s="662" t="s">
        <v>358</v>
      </c>
      <c r="AB250" s="324" t="s">
        <v>566</v>
      </c>
      <c r="AC250" s="663" t="s">
        <v>512</v>
      </c>
      <c r="AD250" s="529" t="s">
        <v>1456</v>
      </c>
    </row>
    <row r="251" spans="1:30" ht="12.75" x14ac:dyDescent="0.2">
      <c r="A251" s="664">
        <v>244</v>
      </c>
      <c r="B251" s="665" t="s">
        <v>361</v>
      </c>
      <c r="C251" s="666" t="s">
        <v>1201</v>
      </c>
      <c r="D251" s="667" t="s">
        <v>1211</v>
      </c>
      <c r="E251" s="668" t="s">
        <v>360</v>
      </c>
      <c r="F251" s="129">
        <v>-10924680</v>
      </c>
      <c r="G251" s="129">
        <v>30263249</v>
      </c>
      <c r="H251" s="129">
        <v>0</v>
      </c>
      <c r="I251" s="129">
        <v>-500000</v>
      </c>
      <c r="J251" s="129">
        <v>2075868</v>
      </c>
      <c r="K251" s="129">
        <v>-1770800</v>
      </c>
      <c r="L251" s="129">
        <v>30068317</v>
      </c>
      <c r="M251" s="129">
        <v>159855</v>
      </c>
      <c r="N251" s="129">
        <v>0</v>
      </c>
      <c r="O251" s="129">
        <v>7383672</v>
      </c>
      <c r="P251" s="129">
        <v>7543527</v>
      </c>
      <c r="Q251" s="129">
        <v>-163605</v>
      </c>
      <c r="R251" s="129">
        <v>-29533189</v>
      </c>
      <c r="S251" s="129">
        <v>-5906638</v>
      </c>
      <c r="T251" s="129">
        <v>-23626551</v>
      </c>
      <c r="U251" s="129">
        <v>-122018</v>
      </c>
      <c r="V251" s="129">
        <v>0</v>
      </c>
      <c r="W251" s="129">
        <v>0</v>
      </c>
      <c r="X251" s="129">
        <v>-59352001</v>
      </c>
      <c r="Y251" s="129">
        <v>0</v>
      </c>
      <c r="Z251" s="129">
        <v>-32664837</v>
      </c>
      <c r="AA251" s="662" t="s">
        <v>360</v>
      </c>
      <c r="AB251" s="324" t="s">
        <v>536</v>
      </c>
      <c r="AC251" s="663" t="s">
        <v>512</v>
      </c>
      <c r="AD251" s="529" t="s">
        <v>1457</v>
      </c>
    </row>
    <row r="252" spans="1:30" ht="12.75" x14ac:dyDescent="0.2">
      <c r="A252" s="664">
        <v>245</v>
      </c>
      <c r="B252" s="665" t="s">
        <v>362</v>
      </c>
      <c r="C252" s="666" t="s">
        <v>1217</v>
      </c>
      <c r="D252" s="667" t="s">
        <v>1204</v>
      </c>
      <c r="E252" s="668" t="s">
        <v>817</v>
      </c>
      <c r="F252" s="129">
        <v>4716393</v>
      </c>
      <c r="G252" s="129">
        <v>34565636</v>
      </c>
      <c r="H252" s="129">
        <v>-500000</v>
      </c>
      <c r="I252" s="129">
        <v>-2700000</v>
      </c>
      <c r="J252" s="129">
        <v>1172792</v>
      </c>
      <c r="K252" s="129">
        <v>-2761407</v>
      </c>
      <c r="L252" s="129">
        <v>29777021</v>
      </c>
      <c r="M252" s="129">
        <v>0</v>
      </c>
      <c r="N252" s="129">
        <v>0</v>
      </c>
      <c r="O252" s="129">
        <v>0</v>
      </c>
      <c r="P252" s="129">
        <v>0</v>
      </c>
      <c r="Q252" s="129">
        <v>-848834</v>
      </c>
      <c r="R252" s="129">
        <v>0</v>
      </c>
      <c r="S252" s="129">
        <v>-511356</v>
      </c>
      <c r="T252" s="129">
        <v>-50624250</v>
      </c>
      <c r="U252" s="129">
        <v>-185295</v>
      </c>
      <c r="V252" s="129">
        <v>0</v>
      </c>
      <c r="W252" s="129">
        <v>-4492929</v>
      </c>
      <c r="X252" s="129">
        <v>-56662664</v>
      </c>
      <c r="Y252" s="129">
        <v>1346667</v>
      </c>
      <c r="Z252" s="129">
        <v>-20822583</v>
      </c>
      <c r="AA252" s="662" t="s">
        <v>817</v>
      </c>
      <c r="AB252" s="324" t="s">
        <v>570</v>
      </c>
      <c r="AC252" s="663" t="s">
        <v>571</v>
      </c>
      <c r="AD252" s="529" t="s">
        <v>1458</v>
      </c>
    </row>
    <row r="253" spans="1:30" ht="12.75" x14ac:dyDescent="0.2">
      <c r="A253" s="664">
        <v>246</v>
      </c>
      <c r="B253" s="665" t="s">
        <v>364</v>
      </c>
      <c r="C253" s="666" t="s">
        <v>1201</v>
      </c>
      <c r="D253" s="667" t="s">
        <v>1228</v>
      </c>
      <c r="E253" s="668" t="s">
        <v>363</v>
      </c>
      <c r="F253" s="129">
        <v>-265801</v>
      </c>
      <c r="G253" s="129">
        <v>27285322</v>
      </c>
      <c r="H253" s="129">
        <v>-950000</v>
      </c>
      <c r="I253" s="129">
        <v>0</v>
      </c>
      <c r="J253" s="129">
        <v>136505</v>
      </c>
      <c r="K253" s="129">
        <v>-1598635</v>
      </c>
      <c r="L253" s="129">
        <v>24873192</v>
      </c>
      <c r="M253" s="129">
        <v>0</v>
      </c>
      <c r="N253" s="129">
        <v>0</v>
      </c>
      <c r="O253" s="129">
        <v>785831</v>
      </c>
      <c r="P253" s="129">
        <v>785831</v>
      </c>
      <c r="Q253" s="129">
        <v>-375392</v>
      </c>
      <c r="R253" s="129">
        <v>-24715871</v>
      </c>
      <c r="S253" s="129">
        <v>-4943174</v>
      </c>
      <c r="T253" s="129">
        <v>-19772696</v>
      </c>
      <c r="U253" s="129">
        <v>0</v>
      </c>
      <c r="V253" s="129">
        <v>-171766</v>
      </c>
      <c r="W253" s="129">
        <v>0</v>
      </c>
      <c r="X253" s="129">
        <v>-49978899</v>
      </c>
      <c r="Y253" s="129">
        <v>2397117</v>
      </c>
      <c r="Z253" s="129">
        <v>-22188560</v>
      </c>
      <c r="AA253" s="662" t="s">
        <v>363</v>
      </c>
      <c r="AB253" s="324" t="s">
        <v>564</v>
      </c>
      <c r="AC253" s="663" t="s">
        <v>1917</v>
      </c>
      <c r="AD253" s="529" t="s">
        <v>1459</v>
      </c>
    </row>
    <row r="254" spans="1:30" ht="12.75" x14ac:dyDescent="0.2">
      <c r="A254" s="664">
        <v>247</v>
      </c>
      <c r="B254" s="665" t="s">
        <v>366</v>
      </c>
      <c r="C254" s="666" t="s">
        <v>1201</v>
      </c>
      <c r="D254" s="667" t="s">
        <v>1228</v>
      </c>
      <c r="E254" s="668" t="s">
        <v>365</v>
      </c>
      <c r="F254" s="129">
        <v>2088718</v>
      </c>
      <c r="G254" s="129">
        <v>8703452</v>
      </c>
      <c r="H254" s="129">
        <v>0</v>
      </c>
      <c r="I254" s="129">
        <v>-189290</v>
      </c>
      <c r="J254" s="129">
        <v>601589</v>
      </c>
      <c r="K254" s="129">
        <v>-360798</v>
      </c>
      <c r="L254" s="129">
        <v>8754953</v>
      </c>
      <c r="M254" s="129">
        <v>476743</v>
      </c>
      <c r="N254" s="129">
        <v>0</v>
      </c>
      <c r="O254" s="129">
        <v>0</v>
      </c>
      <c r="P254" s="129">
        <v>476743</v>
      </c>
      <c r="Q254" s="129">
        <v>0</v>
      </c>
      <c r="R254" s="129">
        <v>-10270444</v>
      </c>
      <c r="S254" s="129">
        <v>-2054089</v>
      </c>
      <c r="T254" s="129">
        <v>-8216355</v>
      </c>
      <c r="U254" s="129">
        <v>-112458</v>
      </c>
      <c r="V254" s="129">
        <v>0</v>
      </c>
      <c r="W254" s="129">
        <v>-861928</v>
      </c>
      <c r="X254" s="129">
        <v>-21515274</v>
      </c>
      <c r="Y254" s="129">
        <v>221501</v>
      </c>
      <c r="Z254" s="129">
        <v>-9973359</v>
      </c>
      <c r="AA254" s="662" t="s">
        <v>365</v>
      </c>
      <c r="AB254" s="324" t="s">
        <v>564</v>
      </c>
      <c r="AC254" s="663" t="s">
        <v>1917</v>
      </c>
      <c r="AD254" s="529" t="s">
        <v>1460</v>
      </c>
    </row>
    <row r="255" spans="1:30" ht="12.75" x14ac:dyDescent="0.2">
      <c r="A255" s="664">
        <v>248</v>
      </c>
      <c r="B255" s="665" t="s">
        <v>368</v>
      </c>
      <c r="C255" s="666" t="s">
        <v>1201</v>
      </c>
      <c r="D255" s="667" t="s">
        <v>1211</v>
      </c>
      <c r="E255" s="668" t="s">
        <v>367</v>
      </c>
      <c r="F255" s="129">
        <v>2354034</v>
      </c>
      <c r="G255" s="129">
        <v>26307607</v>
      </c>
      <c r="H255" s="129">
        <v>0</v>
      </c>
      <c r="I255" s="129">
        <v>-500000</v>
      </c>
      <c r="J255" s="129">
        <v>0</v>
      </c>
      <c r="K255" s="129">
        <v>-800000</v>
      </c>
      <c r="L255" s="129">
        <v>25007607</v>
      </c>
      <c r="M255" s="129">
        <v>0</v>
      </c>
      <c r="N255" s="129">
        <v>0</v>
      </c>
      <c r="O255" s="129">
        <v>0</v>
      </c>
      <c r="P255" s="129">
        <v>0</v>
      </c>
      <c r="Q255" s="129">
        <v>-777162</v>
      </c>
      <c r="R255" s="129">
        <v>-22845152</v>
      </c>
      <c r="S255" s="129">
        <v>-4569032</v>
      </c>
      <c r="T255" s="129">
        <v>-18276130</v>
      </c>
      <c r="U255" s="129">
        <v>-108152</v>
      </c>
      <c r="V255" s="129">
        <v>0</v>
      </c>
      <c r="W255" s="129">
        <v>-7956</v>
      </c>
      <c r="X255" s="129">
        <v>-46583584</v>
      </c>
      <c r="Y255" s="129">
        <v>434197</v>
      </c>
      <c r="Z255" s="129">
        <v>-18787746</v>
      </c>
      <c r="AA255" s="662" t="s">
        <v>367</v>
      </c>
      <c r="AB255" s="324" t="s">
        <v>536</v>
      </c>
      <c r="AC255" s="663" t="s">
        <v>512</v>
      </c>
      <c r="AD255" s="529" t="s">
        <v>1461</v>
      </c>
    </row>
    <row r="256" spans="1:30" ht="12.75" x14ac:dyDescent="0.2">
      <c r="A256" s="664">
        <v>249</v>
      </c>
      <c r="B256" s="665" t="s">
        <v>370</v>
      </c>
      <c r="C256" s="666" t="s">
        <v>1217</v>
      </c>
      <c r="D256" s="667" t="s">
        <v>1204</v>
      </c>
      <c r="E256" s="668" t="s">
        <v>369</v>
      </c>
      <c r="F256" s="129">
        <v>2809173</v>
      </c>
      <c r="G256" s="129">
        <v>40855000</v>
      </c>
      <c r="H256" s="129">
        <v>0</v>
      </c>
      <c r="I256" s="129">
        <v>-3858000</v>
      </c>
      <c r="J256" s="129">
        <v>0</v>
      </c>
      <c r="K256" s="129">
        <v>3401000</v>
      </c>
      <c r="L256" s="129">
        <v>40398000</v>
      </c>
      <c r="M256" s="129">
        <v>0</v>
      </c>
      <c r="N256" s="129">
        <v>0</v>
      </c>
      <c r="O256" s="129">
        <v>0</v>
      </c>
      <c r="P256" s="129">
        <v>0</v>
      </c>
      <c r="Q256" s="129">
        <v>-2179500</v>
      </c>
      <c r="R256" s="129">
        <v>0</v>
      </c>
      <c r="S256" s="129">
        <v>-807310</v>
      </c>
      <c r="T256" s="129">
        <v>-79923647</v>
      </c>
      <c r="U256" s="129">
        <v>-428354</v>
      </c>
      <c r="V256" s="129">
        <v>0</v>
      </c>
      <c r="W256" s="129">
        <v>-1941499</v>
      </c>
      <c r="X256" s="129">
        <v>-85280310</v>
      </c>
      <c r="Y256" s="129">
        <v>1073589</v>
      </c>
      <c r="Z256" s="129">
        <v>-40999548</v>
      </c>
      <c r="AA256" s="662" t="s">
        <v>369</v>
      </c>
      <c r="AB256" s="324" t="s">
        <v>570</v>
      </c>
      <c r="AC256" s="663" t="s">
        <v>1915</v>
      </c>
      <c r="AD256" s="529" t="s">
        <v>1462</v>
      </c>
    </row>
    <row r="257" spans="1:30" ht="12.75" x14ac:dyDescent="0.2">
      <c r="A257" s="664">
        <v>250</v>
      </c>
      <c r="B257" s="665" t="s">
        <v>372</v>
      </c>
      <c r="C257" s="666" t="s">
        <v>486</v>
      </c>
      <c r="D257" s="667" t="s">
        <v>1283</v>
      </c>
      <c r="E257" s="668" t="s">
        <v>511</v>
      </c>
      <c r="F257" s="129">
        <v>-1727468</v>
      </c>
      <c r="G257" s="129">
        <v>52524074</v>
      </c>
      <c r="H257" s="129">
        <v>0</v>
      </c>
      <c r="I257" s="129">
        <v>-200000</v>
      </c>
      <c r="J257" s="129">
        <v>2500000</v>
      </c>
      <c r="K257" s="129">
        <v>-5849000</v>
      </c>
      <c r="L257" s="129">
        <v>48975074</v>
      </c>
      <c r="M257" s="129">
        <v>0</v>
      </c>
      <c r="N257" s="129">
        <v>0</v>
      </c>
      <c r="O257" s="129">
        <v>1336945</v>
      </c>
      <c r="P257" s="129">
        <v>1336945</v>
      </c>
      <c r="Q257" s="129">
        <v>-1664443</v>
      </c>
      <c r="R257" s="129">
        <v>-40521976</v>
      </c>
      <c r="S257" s="129">
        <v>-810729</v>
      </c>
      <c r="T257" s="129">
        <v>-39725743</v>
      </c>
      <c r="U257" s="129">
        <v>-520701</v>
      </c>
      <c r="V257" s="129">
        <v>0</v>
      </c>
      <c r="W257" s="129">
        <v>0</v>
      </c>
      <c r="X257" s="129">
        <v>-83243592</v>
      </c>
      <c r="Y257" s="129">
        <v>1148138</v>
      </c>
      <c r="Z257" s="129">
        <v>-33510903</v>
      </c>
      <c r="AA257" s="662" t="s">
        <v>511</v>
      </c>
      <c r="AB257" s="324" t="s">
        <v>486</v>
      </c>
      <c r="AC257" s="663" t="s">
        <v>509</v>
      </c>
      <c r="AD257" s="529" t="s">
        <v>1463</v>
      </c>
    </row>
    <row r="258" spans="1:30" ht="12.75" x14ac:dyDescent="0.2">
      <c r="A258" s="664">
        <v>251</v>
      </c>
      <c r="B258" s="665" t="s">
        <v>374</v>
      </c>
      <c r="C258" s="666" t="s">
        <v>486</v>
      </c>
      <c r="D258" s="667" t="s">
        <v>1228</v>
      </c>
      <c r="E258" s="668" t="s">
        <v>563</v>
      </c>
      <c r="F258" s="129">
        <v>-2921204</v>
      </c>
      <c r="G258" s="129">
        <v>48746670</v>
      </c>
      <c r="H258" s="129">
        <v>0</v>
      </c>
      <c r="I258" s="129">
        <v>-1126072</v>
      </c>
      <c r="J258" s="129">
        <v>0</v>
      </c>
      <c r="K258" s="129">
        <v>0</v>
      </c>
      <c r="L258" s="129">
        <v>47620598</v>
      </c>
      <c r="M258" s="129">
        <v>0</v>
      </c>
      <c r="N258" s="129">
        <v>0</v>
      </c>
      <c r="O258" s="129">
        <v>4316608</v>
      </c>
      <c r="P258" s="129">
        <v>4316608</v>
      </c>
      <c r="Q258" s="129">
        <v>0</v>
      </c>
      <c r="R258" s="129">
        <v>-45913429</v>
      </c>
      <c r="S258" s="129">
        <v>-925259</v>
      </c>
      <c r="T258" s="129">
        <v>-46413943</v>
      </c>
      <c r="U258" s="129">
        <v>0</v>
      </c>
      <c r="V258" s="129">
        <v>0</v>
      </c>
      <c r="W258" s="129">
        <v>0</v>
      </c>
      <c r="X258" s="129">
        <v>-93252631</v>
      </c>
      <c r="Y258" s="129">
        <v>1508173</v>
      </c>
      <c r="Z258" s="129">
        <v>-42728456</v>
      </c>
      <c r="AA258" s="662" t="s">
        <v>563</v>
      </c>
      <c r="AB258" s="324" t="s">
        <v>486</v>
      </c>
      <c r="AC258" s="663" t="s">
        <v>1917</v>
      </c>
      <c r="AD258" s="529" t="s">
        <v>1464</v>
      </c>
    </row>
    <row r="259" spans="1:30" ht="12.75" x14ac:dyDescent="0.2">
      <c r="A259" s="664">
        <v>252</v>
      </c>
      <c r="B259" s="665" t="s">
        <v>376</v>
      </c>
      <c r="C259" s="666" t="s">
        <v>1201</v>
      </c>
      <c r="D259" s="667" t="s">
        <v>1228</v>
      </c>
      <c r="E259" s="668" t="s">
        <v>375</v>
      </c>
      <c r="F259" s="129">
        <v>2403750</v>
      </c>
      <c r="G259" s="129">
        <v>28648598</v>
      </c>
      <c r="H259" s="129">
        <v>0</v>
      </c>
      <c r="I259" s="129">
        <v>-293600</v>
      </c>
      <c r="J259" s="129">
        <v>0</v>
      </c>
      <c r="K259" s="129">
        <v>-3937000</v>
      </c>
      <c r="L259" s="129">
        <v>24417998</v>
      </c>
      <c r="M259" s="129">
        <v>0</v>
      </c>
      <c r="N259" s="129">
        <v>0</v>
      </c>
      <c r="O259" s="129">
        <v>1245065</v>
      </c>
      <c r="P259" s="129">
        <v>1245065</v>
      </c>
      <c r="Q259" s="129">
        <v>-16555</v>
      </c>
      <c r="R259" s="129">
        <v>-27928672</v>
      </c>
      <c r="S259" s="129">
        <v>-5585735</v>
      </c>
      <c r="T259" s="129">
        <v>-22342938</v>
      </c>
      <c r="U259" s="129">
        <v>-224849</v>
      </c>
      <c r="V259" s="129">
        <v>0</v>
      </c>
      <c r="W259" s="129">
        <v>0</v>
      </c>
      <c r="X259" s="129">
        <v>-56098749</v>
      </c>
      <c r="Y259" s="129">
        <v>2211293</v>
      </c>
      <c r="Z259" s="129">
        <v>-25820643</v>
      </c>
      <c r="AA259" s="662" t="s">
        <v>375</v>
      </c>
      <c r="AB259" s="324" t="s">
        <v>567</v>
      </c>
      <c r="AC259" s="663" t="s">
        <v>512</v>
      </c>
      <c r="AD259" s="529" t="s">
        <v>1465</v>
      </c>
    </row>
    <row r="260" spans="1:30" ht="12.75" x14ac:dyDescent="0.2">
      <c r="A260" s="664">
        <v>253</v>
      </c>
      <c r="B260" s="665" t="s">
        <v>378</v>
      </c>
      <c r="C260" s="666" t="s">
        <v>1201</v>
      </c>
      <c r="D260" s="667" t="s">
        <v>1224</v>
      </c>
      <c r="E260" s="668" t="s">
        <v>377</v>
      </c>
      <c r="F260" s="129">
        <v>849189</v>
      </c>
      <c r="G260" s="129">
        <v>18792343</v>
      </c>
      <c r="H260" s="129">
        <v>0</v>
      </c>
      <c r="I260" s="129">
        <v>-176000</v>
      </c>
      <c r="J260" s="129">
        <v>190000</v>
      </c>
      <c r="K260" s="129">
        <v>-1243000</v>
      </c>
      <c r="L260" s="129">
        <v>17563343</v>
      </c>
      <c r="M260" s="129">
        <v>90990</v>
      </c>
      <c r="N260" s="129">
        <v>0</v>
      </c>
      <c r="O260" s="129">
        <v>0</v>
      </c>
      <c r="P260" s="129">
        <v>90990</v>
      </c>
      <c r="Q260" s="129">
        <v>0</v>
      </c>
      <c r="R260" s="129">
        <v>0</v>
      </c>
      <c r="S260" s="129">
        <v>-17365739</v>
      </c>
      <c r="T260" s="129">
        <v>-11577160</v>
      </c>
      <c r="U260" s="129">
        <v>-292600</v>
      </c>
      <c r="V260" s="129">
        <v>0</v>
      </c>
      <c r="W260" s="129">
        <v>-220264</v>
      </c>
      <c r="X260" s="129">
        <v>-29455763</v>
      </c>
      <c r="Y260" s="129">
        <v>237749</v>
      </c>
      <c r="Z260" s="129">
        <v>-10714492</v>
      </c>
      <c r="AA260" s="662" t="s">
        <v>377</v>
      </c>
      <c r="AB260" s="324" t="s">
        <v>529</v>
      </c>
      <c r="AC260" s="663" t="s">
        <v>512</v>
      </c>
      <c r="AD260" s="529" t="s">
        <v>1466</v>
      </c>
    </row>
    <row r="261" spans="1:30" ht="12.75" x14ac:dyDescent="0.2">
      <c r="A261" s="664">
        <v>254</v>
      </c>
      <c r="B261" s="665" t="s">
        <v>380</v>
      </c>
      <c r="C261" s="666" t="s">
        <v>1217</v>
      </c>
      <c r="D261" s="667" t="s">
        <v>1283</v>
      </c>
      <c r="E261" s="668" t="s">
        <v>379</v>
      </c>
      <c r="F261" s="129">
        <v>2789837</v>
      </c>
      <c r="G261" s="129">
        <v>56370761</v>
      </c>
      <c r="H261" s="129">
        <v>-1000000</v>
      </c>
      <c r="I261" s="129">
        <v>-3085444</v>
      </c>
      <c r="J261" s="129">
        <v>0</v>
      </c>
      <c r="K261" s="129">
        <v>-4623625</v>
      </c>
      <c r="L261" s="129">
        <v>47661692</v>
      </c>
      <c r="M261" s="129">
        <v>669077</v>
      </c>
      <c r="N261" s="129">
        <v>0</v>
      </c>
      <c r="O261" s="129">
        <v>0</v>
      </c>
      <c r="P261" s="129">
        <v>669077</v>
      </c>
      <c r="Q261" s="129">
        <v>-1647807</v>
      </c>
      <c r="R261" s="129">
        <v>-44023184</v>
      </c>
      <c r="S261" s="129">
        <v>-880464</v>
      </c>
      <c r="T261" s="129">
        <v>-43142720</v>
      </c>
      <c r="U261" s="129">
        <v>-1690076</v>
      </c>
      <c r="V261" s="129">
        <v>0</v>
      </c>
      <c r="W261" s="129">
        <v>-2459609</v>
      </c>
      <c r="X261" s="129">
        <v>-93843860</v>
      </c>
      <c r="Y261" s="129">
        <v>1711370</v>
      </c>
      <c r="Z261" s="129">
        <v>-41011884</v>
      </c>
      <c r="AA261" s="662" t="s">
        <v>379</v>
      </c>
      <c r="AB261" s="324" t="s">
        <v>570</v>
      </c>
      <c r="AC261" s="663" t="s">
        <v>573</v>
      </c>
      <c r="AD261" s="529" t="s">
        <v>1467</v>
      </c>
    </row>
    <row r="262" spans="1:30" ht="12.75" x14ac:dyDescent="0.2">
      <c r="A262" s="664">
        <v>255</v>
      </c>
      <c r="B262" s="665" t="s">
        <v>382</v>
      </c>
      <c r="C262" s="666" t="s">
        <v>1201</v>
      </c>
      <c r="D262" s="667" t="s">
        <v>1202</v>
      </c>
      <c r="E262" s="668" t="s">
        <v>381</v>
      </c>
      <c r="F262" s="129">
        <v>-1396236</v>
      </c>
      <c r="G262" s="129">
        <v>21580776</v>
      </c>
      <c r="H262" s="129">
        <v>0</v>
      </c>
      <c r="I262" s="129">
        <v>-424000</v>
      </c>
      <c r="J262" s="129">
        <v>557390</v>
      </c>
      <c r="K262" s="129">
        <v>-374060</v>
      </c>
      <c r="L262" s="129">
        <v>21340106</v>
      </c>
      <c r="M262" s="129">
        <v>0</v>
      </c>
      <c r="N262" s="129">
        <v>0</v>
      </c>
      <c r="O262" s="129">
        <v>228200</v>
      </c>
      <c r="P262" s="129">
        <v>228200</v>
      </c>
      <c r="Q262" s="129">
        <v>-14500</v>
      </c>
      <c r="R262" s="129">
        <v>-18537762</v>
      </c>
      <c r="S262" s="129">
        <v>-3707552</v>
      </c>
      <c r="T262" s="129">
        <v>-14830209</v>
      </c>
      <c r="U262" s="129">
        <v>-120807</v>
      </c>
      <c r="V262" s="129">
        <v>0</v>
      </c>
      <c r="W262" s="129">
        <v>-2027142</v>
      </c>
      <c r="X262" s="129">
        <v>-39237972</v>
      </c>
      <c r="Y262" s="129">
        <v>183905</v>
      </c>
      <c r="Z262" s="129">
        <v>-18881997</v>
      </c>
      <c r="AA262" s="662" t="s">
        <v>381</v>
      </c>
      <c r="AB262" s="324" t="s">
        <v>566</v>
      </c>
      <c r="AC262" s="663" t="s">
        <v>512</v>
      </c>
      <c r="AD262" s="529" t="s">
        <v>1468</v>
      </c>
    </row>
    <row r="263" spans="1:30" ht="12.75" x14ac:dyDescent="0.2">
      <c r="A263" s="664">
        <v>256</v>
      </c>
      <c r="B263" s="665" t="s">
        <v>384</v>
      </c>
      <c r="C263" s="666" t="s">
        <v>1213</v>
      </c>
      <c r="D263" s="667" t="s">
        <v>1214</v>
      </c>
      <c r="E263" s="668" t="s">
        <v>383</v>
      </c>
      <c r="F263" s="129">
        <v>354111</v>
      </c>
      <c r="G263" s="129">
        <v>32307160</v>
      </c>
      <c r="H263" s="129">
        <v>-210722</v>
      </c>
      <c r="I263" s="129">
        <v>-1576633</v>
      </c>
      <c r="J263" s="129">
        <v>2214406</v>
      </c>
      <c r="K263" s="129">
        <v>-10600000</v>
      </c>
      <c r="L263" s="129">
        <v>22134211</v>
      </c>
      <c r="M263" s="129">
        <v>82798</v>
      </c>
      <c r="N263" s="129">
        <v>0</v>
      </c>
      <c r="O263" s="129">
        <v>367156</v>
      </c>
      <c r="P263" s="129">
        <v>449954</v>
      </c>
      <c r="Q263" s="129">
        <v>-134411</v>
      </c>
      <c r="R263" s="129">
        <v>-19670780</v>
      </c>
      <c r="S263" s="129">
        <v>-22055117</v>
      </c>
      <c r="T263" s="129">
        <v>-17882523</v>
      </c>
      <c r="U263" s="129">
        <v>-187065</v>
      </c>
      <c r="V263" s="129">
        <v>0</v>
      </c>
      <c r="W263" s="129">
        <v>0</v>
      </c>
      <c r="X263" s="129">
        <v>-59929896</v>
      </c>
      <c r="Y263" s="129">
        <v>7085997</v>
      </c>
      <c r="Z263" s="129">
        <v>-29905624</v>
      </c>
      <c r="AA263" s="662" t="s">
        <v>383</v>
      </c>
      <c r="AB263" s="324" t="s">
        <v>576</v>
      </c>
      <c r="AC263" s="669" t="s">
        <v>485</v>
      </c>
      <c r="AD263" s="529" t="s">
        <v>1469</v>
      </c>
    </row>
    <row r="264" spans="1:30" ht="12.75" x14ac:dyDescent="0.2">
      <c r="A264" s="664">
        <v>257</v>
      </c>
      <c r="B264" s="665" t="s">
        <v>386</v>
      </c>
      <c r="C264" s="666" t="s">
        <v>1201</v>
      </c>
      <c r="D264" s="667" t="s">
        <v>1202</v>
      </c>
      <c r="E264" s="668" t="s">
        <v>385</v>
      </c>
      <c r="F264" s="129">
        <v>985384</v>
      </c>
      <c r="G264" s="129">
        <v>36866250</v>
      </c>
      <c r="H264" s="129">
        <v>0</v>
      </c>
      <c r="I264" s="129">
        <v>-607373</v>
      </c>
      <c r="J264" s="129">
        <v>806877</v>
      </c>
      <c r="K264" s="129">
        <v>-2061962</v>
      </c>
      <c r="L264" s="129">
        <v>35003792</v>
      </c>
      <c r="M264" s="129">
        <v>172482</v>
      </c>
      <c r="N264" s="129">
        <v>0</v>
      </c>
      <c r="O264" s="129">
        <v>0</v>
      </c>
      <c r="P264" s="129">
        <v>172482</v>
      </c>
      <c r="Q264" s="129">
        <v>0</v>
      </c>
      <c r="R264" s="129">
        <v>-24689536</v>
      </c>
      <c r="S264" s="129">
        <v>-4937908</v>
      </c>
      <c r="T264" s="129">
        <v>-19751530</v>
      </c>
      <c r="U264" s="129">
        <v>-1684473</v>
      </c>
      <c r="V264" s="129">
        <v>0</v>
      </c>
      <c r="W264" s="129">
        <v>-373021</v>
      </c>
      <c r="X264" s="129">
        <v>-51436468</v>
      </c>
      <c r="Y264" s="129">
        <v>182071</v>
      </c>
      <c r="Z264" s="129">
        <v>-15092739</v>
      </c>
      <c r="AA264" s="662" t="s">
        <v>385</v>
      </c>
      <c r="AB264" s="324" t="s">
        <v>543</v>
      </c>
      <c r="AC264" s="663" t="s">
        <v>542</v>
      </c>
      <c r="AD264" s="529" t="s">
        <v>1470</v>
      </c>
    </row>
    <row r="265" spans="1:30" ht="12.75" x14ac:dyDescent="0.2">
      <c r="A265" s="664">
        <v>258</v>
      </c>
      <c r="B265" s="665" t="s">
        <v>387</v>
      </c>
      <c r="C265" s="666" t="s">
        <v>486</v>
      </c>
      <c r="D265" s="667" t="s">
        <v>1224</v>
      </c>
      <c r="E265" s="668" t="s">
        <v>569</v>
      </c>
      <c r="F265" s="129">
        <v>1000468</v>
      </c>
      <c r="G265" s="129">
        <v>63553350</v>
      </c>
      <c r="H265" s="129">
        <v>0</v>
      </c>
      <c r="I265" s="129">
        <v>-1472818</v>
      </c>
      <c r="J265" s="129">
        <v>1730165</v>
      </c>
      <c r="K265" s="129">
        <v>-2441313</v>
      </c>
      <c r="L265" s="129">
        <v>61369384</v>
      </c>
      <c r="M265" s="129">
        <v>0</v>
      </c>
      <c r="N265" s="129">
        <v>0</v>
      </c>
      <c r="O265" s="129">
        <v>0</v>
      </c>
      <c r="P265" s="129">
        <v>0</v>
      </c>
      <c r="Q265" s="129">
        <v>-1564597</v>
      </c>
      <c r="R265" s="129">
        <v>-53434394</v>
      </c>
      <c r="S265" s="129">
        <v>-1068688</v>
      </c>
      <c r="T265" s="129">
        <v>-52365706</v>
      </c>
      <c r="U265" s="129">
        <v>-856565</v>
      </c>
      <c r="V265" s="129">
        <v>-4358</v>
      </c>
      <c r="W265" s="129">
        <v>-1776706</v>
      </c>
      <c r="X265" s="129">
        <v>-111071014</v>
      </c>
      <c r="Y265" s="129">
        <v>553600</v>
      </c>
      <c r="Z265" s="129">
        <v>-48147562</v>
      </c>
      <c r="AA265" s="662" t="s">
        <v>569</v>
      </c>
      <c r="AB265" s="324" t="s">
        <v>486</v>
      </c>
      <c r="AC265" s="663" t="s">
        <v>1916</v>
      </c>
      <c r="AD265" s="529" t="s">
        <v>1471</v>
      </c>
    </row>
    <row r="266" spans="1:30" ht="12.75" x14ac:dyDescent="0.2">
      <c r="A266" s="664">
        <v>259</v>
      </c>
      <c r="B266" s="665" t="s">
        <v>389</v>
      </c>
      <c r="C266" s="666" t="s">
        <v>1217</v>
      </c>
      <c r="D266" s="667" t="s">
        <v>1204</v>
      </c>
      <c r="E266" s="668" t="s">
        <v>388</v>
      </c>
      <c r="F266" s="129">
        <v>-2488748</v>
      </c>
      <c r="G266" s="129">
        <v>28232657</v>
      </c>
      <c r="H266" s="129">
        <v>0</v>
      </c>
      <c r="I266" s="129">
        <v>-1712238</v>
      </c>
      <c r="J266" s="129">
        <v>518719</v>
      </c>
      <c r="K266" s="129">
        <v>-3460435</v>
      </c>
      <c r="L266" s="129">
        <v>23578703</v>
      </c>
      <c r="M266" s="129">
        <v>0</v>
      </c>
      <c r="N266" s="129">
        <v>0</v>
      </c>
      <c r="O266" s="129">
        <v>2662349</v>
      </c>
      <c r="P266" s="129">
        <v>2662349</v>
      </c>
      <c r="Q266" s="129">
        <v>-1035875</v>
      </c>
      <c r="R266" s="129">
        <v>0</v>
      </c>
      <c r="S266" s="129">
        <v>-543883</v>
      </c>
      <c r="T266" s="129">
        <v>-53844383</v>
      </c>
      <c r="U266" s="129">
        <v>0</v>
      </c>
      <c r="V266" s="129">
        <v>0</v>
      </c>
      <c r="W266" s="129">
        <v>0</v>
      </c>
      <c r="X266" s="129">
        <v>-55424141</v>
      </c>
      <c r="Y266" s="129">
        <v>2671819</v>
      </c>
      <c r="Z266" s="129">
        <v>-29000018</v>
      </c>
      <c r="AA266" s="662" t="s">
        <v>388</v>
      </c>
      <c r="AB266" s="324" t="s">
        <v>570</v>
      </c>
      <c r="AC266" s="663" t="s">
        <v>1915</v>
      </c>
      <c r="AD266" s="529" t="s">
        <v>1472</v>
      </c>
    </row>
    <row r="267" spans="1:30" ht="12.75" x14ac:dyDescent="0.2">
      <c r="A267" s="664">
        <v>260</v>
      </c>
      <c r="B267" s="665" t="s">
        <v>391</v>
      </c>
      <c r="C267" s="666" t="s">
        <v>1201</v>
      </c>
      <c r="D267" s="667" t="s">
        <v>1228</v>
      </c>
      <c r="E267" s="668" t="s">
        <v>390</v>
      </c>
      <c r="F267" s="129">
        <v>831024</v>
      </c>
      <c r="G267" s="129">
        <v>15466301</v>
      </c>
      <c r="H267" s="129">
        <v>0</v>
      </c>
      <c r="I267" s="129">
        <v>-347403</v>
      </c>
      <c r="J267" s="129">
        <v>2329002</v>
      </c>
      <c r="K267" s="129">
        <v>-1437076</v>
      </c>
      <c r="L267" s="129">
        <v>16010824</v>
      </c>
      <c r="M267" s="129">
        <v>0</v>
      </c>
      <c r="N267" s="129">
        <v>0</v>
      </c>
      <c r="O267" s="129">
        <v>0</v>
      </c>
      <c r="P267" s="129">
        <v>0</v>
      </c>
      <c r="Q267" s="129">
        <v>-520863</v>
      </c>
      <c r="R267" s="129">
        <v>-17286053</v>
      </c>
      <c r="S267" s="129">
        <v>-3457210</v>
      </c>
      <c r="T267" s="129">
        <v>-13828842</v>
      </c>
      <c r="U267" s="129">
        <v>-89508</v>
      </c>
      <c r="V267" s="129">
        <v>0</v>
      </c>
      <c r="W267" s="129">
        <v>-806546</v>
      </c>
      <c r="X267" s="129">
        <v>-35989022</v>
      </c>
      <c r="Y267" s="129">
        <v>1304196</v>
      </c>
      <c r="Z267" s="129">
        <v>-17842978</v>
      </c>
      <c r="AA267" s="662" t="s">
        <v>390</v>
      </c>
      <c r="AB267" s="324" t="s">
        <v>564</v>
      </c>
      <c r="AC267" s="663" t="s">
        <v>1917</v>
      </c>
      <c r="AD267" s="529" t="s">
        <v>1473</v>
      </c>
    </row>
    <row r="268" spans="1:30" ht="12.75" x14ac:dyDescent="0.2">
      <c r="A268" s="664">
        <v>261</v>
      </c>
      <c r="B268" s="665" t="s">
        <v>393</v>
      </c>
      <c r="C268" s="666" t="s">
        <v>1201</v>
      </c>
      <c r="D268" s="667" t="s">
        <v>1202</v>
      </c>
      <c r="E268" s="668" t="s">
        <v>392</v>
      </c>
      <c r="F268" s="129">
        <v>-70987</v>
      </c>
      <c r="G268" s="129">
        <v>9764293</v>
      </c>
      <c r="H268" s="129">
        <v>0</v>
      </c>
      <c r="I268" s="129">
        <v>0</v>
      </c>
      <c r="J268" s="129">
        <v>0</v>
      </c>
      <c r="K268" s="129">
        <v>0</v>
      </c>
      <c r="L268" s="129">
        <v>9764293</v>
      </c>
      <c r="M268" s="129">
        <v>153248</v>
      </c>
      <c r="N268" s="129">
        <v>0</v>
      </c>
      <c r="O268" s="129">
        <v>107726</v>
      </c>
      <c r="P268" s="129">
        <v>260974</v>
      </c>
      <c r="Q268" s="129">
        <v>0</v>
      </c>
      <c r="R268" s="129">
        <v>-2192880</v>
      </c>
      <c r="S268" s="129">
        <v>-10964396</v>
      </c>
      <c r="T268" s="129">
        <v>-8771519</v>
      </c>
      <c r="U268" s="129">
        <v>0</v>
      </c>
      <c r="V268" s="129">
        <v>0</v>
      </c>
      <c r="W268" s="129">
        <v>0</v>
      </c>
      <c r="X268" s="129">
        <v>-21928795</v>
      </c>
      <c r="Y268" s="129">
        <v>362269</v>
      </c>
      <c r="Z268" s="129">
        <v>-11612246</v>
      </c>
      <c r="AA268" s="662" t="s">
        <v>392</v>
      </c>
      <c r="AB268" s="324" t="s">
        <v>566</v>
      </c>
      <c r="AC268" s="663" t="s">
        <v>512</v>
      </c>
      <c r="AD268" s="529" t="s">
        <v>1474</v>
      </c>
    </row>
    <row r="269" spans="1:30" ht="12.75" x14ac:dyDescent="0.2">
      <c r="A269" s="664">
        <v>262</v>
      </c>
      <c r="B269" s="665" t="s">
        <v>395</v>
      </c>
      <c r="C269" s="666" t="s">
        <v>1201</v>
      </c>
      <c r="D269" s="667" t="s">
        <v>1224</v>
      </c>
      <c r="E269" s="668" t="s">
        <v>394</v>
      </c>
      <c r="F269" s="129">
        <v>-1024694</v>
      </c>
      <c r="G269" s="129">
        <v>13438202</v>
      </c>
      <c r="H269" s="129">
        <v>0</v>
      </c>
      <c r="I269" s="129">
        <v>-228000</v>
      </c>
      <c r="J269" s="129">
        <v>1142866</v>
      </c>
      <c r="K269" s="129">
        <v>-1232866</v>
      </c>
      <c r="L269" s="129">
        <v>13120202</v>
      </c>
      <c r="M269" s="129">
        <v>0</v>
      </c>
      <c r="N269" s="129">
        <v>0</v>
      </c>
      <c r="O269" s="129">
        <v>624356</v>
      </c>
      <c r="P269" s="129">
        <v>624356</v>
      </c>
      <c r="Q269" s="129">
        <v>-89823</v>
      </c>
      <c r="R269" s="129">
        <v>-15857693</v>
      </c>
      <c r="S269" s="129">
        <v>-3171539</v>
      </c>
      <c r="T269" s="129">
        <v>-12686154</v>
      </c>
      <c r="U269" s="129">
        <v>-267176</v>
      </c>
      <c r="V269" s="129">
        <v>0</v>
      </c>
      <c r="W269" s="129">
        <v>0</v>
      </c>
      <c r="X269" s="129">
        <v>-32072385</v>
      </c>
      <c r="Y269" s="129">
        <v>1884779</v>
      </c>
      <c r="Z269" s="129">
        <v>-17467742</v>
      </c>
      <c r="AA269" s="662" t="s">
        <v>394</v>
      </c>
      <c r="AB269" s="324" t="s">
        <v>521</v>
      </c>
      <c r="AC269" s="663" t="s">
        <v>519</v>
      </c>
      <c r="AD269" s="529" t="s">
        <v>1475</v>
      </c>
    </row>
    <row r="270" spans="1:30" ht="12.75" x14ac:dyDescent="0.2">
      <c r="A270" s="664">
        <v>263</v>
      </c>
      <c r="B270" s="665" t="s">
        <v>396</v>
      </c>
      <c r="C270" s="666" t="s">
        <v>486</v>
      </c>
      <c r="D270" s="667" t="s">
        <v>1228</v>
      </c>
      <c r="E270" s="668" t="s">
        <v>827</v>
      </c>
      <c r="F270" s="129">
        <v>5705798</v>
      </c>
      <c r="G270" s="129">
        <v>42009953</v>
      </c>
      <c r="H270" s="129">
        <v>0</v>
      </c>
      <c r="I270" s="129">
        <v>522667</v>
      </c>
      <c r="J270" s="129">
        <v>3003795</v>
      </c>
      <c r="K270" s="129">
        <v>-8119795</v>
      </c>
      <c r="L270" s="129">
        <v>37416620</v>
      </c>
      <c r="M270" s="129">
        <v>0</v>
      </c>
      <c r="N270" s="129">
        <v>0</v>
      </c>
      <c r="O270" s="129">
        <v>0</v>
      </c>
      <c r="P270" s="129">
        <v>0</v>
      </c>
      <c r="Q270" s="129">
        <v>-1201437</v>
      </c>
      <c r="R270" s="129">
        <v>-36848489</v>
      </c>
      <c r="S270" s="129">
        <v>-736970</v>
      </c>
      <c r="T270" s="129">
        <v>-36111520</v>
      </c>
      <c r="U270" s="129">
        <v>-312309</v>
      </c>
      <c r="V270" s="129">
        <v>0</v>
      </c>
      <c r="W270" s="129">
        <v>-3785877</v>
      </c>
      <c r="X270" s="129">
        <v>-78996602</v>
      </c>
      <c r="Y270" s="129">
        <v>4267211</v>
      </c>
      <c r="Z270" s="129">
        <v>-31606973</v>
      </c>
      <c r="AA270" s="662" t="s">
        <v>827</v>
      </c>
      <c r="AB270" s="324" t="s">
        <v>486</v>
      </c>
      <c r="AC270" s="663" t="s">
        <v>561</v>
      </c>
      <c r="AD270" s="529" t="s">
        <v>1476</v>
      </c>
    </row>
    <row r="271" spans="1:30" ht="12.75" x14ac:dyDescent="0.2">
      <c r="A271" s="664">
        <v>264</v>
      </c>
      <c r="B271" s="665" t="s">
        <v>398</v>
      </c>
      <c r="C271" s="666" t="s">
        <v>1201</v>
      </c>
      <c r="D271" s="667" t="s">
        <v>1211</v>
      </c>
      <c r="E271" s="668" t="s">
        <v>397</v>
      </c>
      <c r="F271" s="129">
        <v>3360361</v>
      </c>
      <c r="G271" s="129">
        <v>12694731</v>
      </c>
      <c r="H271" s="129">
        <v>0</v>
      </c>
      <c r="I271" s="129">
        <v>-682000</v>
      </c>
      <c r="J271" s="129">
        <v>850000</v>
      </c>
      <c r="K271" s="129">
        <v>-1850000</v>
      </c>
      <c r="L271" s="129">
        <v>11012731</v>
      </c>
      <c r="M271" s="129">
        <v>0</v>
      </c>
      <c r="N271" s="129">
        <v>0</v>
      </c>
      <c r="O271" s="129">
        <v>0</v>
      </c>
      <c r="P271" s="129">
        <v>0</v>
      </c>
      <c r="Q271" s="129">
        <v>-9572</v>
      </c>
      <c r="R271" s="129">
        <v>-13628195</v>
      </c>
      <c r="S271" s="129">
        <v>-2725639</v>
      </c>
      <c r="T271" s="129">
        <v>-10902556</v>
      </c>
      <c r="U271" s="129">
        <v>-539491</v>
      </c>
      <c r="V271" s="129">
        <v>-97736</v>
      </c>
      <c r="W271" s="129">
        <v>-2401643</v>
      </c>
      <c r="X271" s="129">
        <v>-30304832</v>
      </c>
      <c r="Y271" s="129">
        <v>819905</v>
      </c>
      <c r="Z271" s="129">
        <v>-15111835</v>
      </c>
      <c r="AA271" s="662" t="s">
        <v>397</v>
      </c>
      <c r="AB271" s="324" t="s">
        <v>528</v>
      </c>
      <c r="AC271" s="663" t="s">
        <v>1913</v>
      </c>
      <c r="AD271" s="529" t="s">
        <v>1477</v>
      </c>
    </row>
    <row r="272" spans="1:30" ht="12.75" x14ac:dyDescent="0.2">
      <c r="A272" s="664">
        <v>265</v>
      </c>
      <c r="B272" s="665" t="s">
        <v>400</v>
      </c>
      <c r="C272" s="666" t="s">
        <v>1201</v>
      </c>
      <c r="D272" s="667" t="s">
        <v>1202</v>
      </c>
      <c r="E272" s="668" t="s">
        <v>399</v>
      </c>
      <c r="F272" s="129">
        <v>-2466995</v>
      </c>
      <c r="G272" s="129">
        <v>40293546</v>
      </c>
      <c r="H272" s="129">
        <v>0</v>
      </c>
      <c r="I272" s="129">
        <v>-1208806</v>
      </c>
      <c r="J272" s="129">
        <v>1217146</v>
      </c>
      <c r="K272" s="129">
        <v>-2793192</v>
      </c>
      <c r="L272" s="129">
        <v>37508694</v>
      </c>
      <c r="M272" s="129">
        <v>224792</v>
      </c>
      <c r="N272" s="129">
        <v>0</v>
      </c>
      <c r="O272" s="129">
        <v>2755726</v>
      </c>
      <c r="P272" s="129">
        <v>2980518</v>
      </c>
      <c r="Q272" s="129">
        <v>0</v>
      </c>
      <c r="R272" s="129">
        <v>-27559904</v>
      </c>
      <c r="S272" s="129">
        <v>-5511981</v>
      </c>
      <c r="T272" s="129">
        <v>-22047923</v>
      </c>
      <c r="U272" s="129">
        <v>-605825</v>
      </c>
      <c r="V272" s="129">
        <v>0</v>
      </c>
      <c r="W272" s="129">
        <v>0</v>
      </c>
      <c r="X272" s="129">
        <v>-55725633</v>
      </c>
      <c r="Y272" s="129">
        <v>538579</v>
      </c>
      <c r="Z272" s="129">
        <v>-17164837</v>
      </c>
      <c r="AA272" s="662" t="s">
        <v>399</v>
      </c>
      <c r="AB272" s="324" t="s">
        <v>532</v>
      </c>
      <c r="AC272" s="663" t="s">
        <v>1914</v>
      </c>
      <c r="AD272" s="529" t="s">
        <v>1478</v>
      </c>
    </row>
    <row r="273" spans="1:30" ht="12.75" x14ac:dyDescent="0.2">
      <c r="A273" s="664">
        <v>266</v>
      </c>
      <c r="B273" s="665" t="s">
        <v>402</v>
      </c>
      <c r="C273" s="666" t="s">
        <v>1201</v>
      </c>
      <c r="D273" s="667" t="s">
        <v>1224</v>
      </c>
      <c r="E273" s="668" t="s">
        <v>401</v>
      </c>
      <c r="F273" s="129">
        <v>8653312</v>
      </c>
      <c r="G273" s="129">
        <v>30609989</v>
      </c>
      <c r="H273" s="129">
        <v>-223835</v>
      </c>
      <c r="I273" s="129">
        <v>-771505</v>
      </c>
      <c r="J273" s="129">
        <v>280383</v>
      </c>
      <c r="K273" s="129">
        <v>-1205524</v>
      </c>
      <c r="L273" s="129">
        <v>28689508</v>
      </c>
      <c r="M273" s="129">
        <v>113665</v>
      </c>
      <c r="N273" s="129">
        <v>0</v>
      </c>
      <c r="O273" s="129">
        <v>0</v>
      </c>
      <c r="P273" s="129">
        <v>113665</v>
      </c>
      <c r="Q273" s="129">
        <v>0</v>
      </c>
      <c r="R273" s="129">
        <v>-18897144</v>
      </c>
      <c r="S273" s="129">
        <v>-3775829</v>
      </c>
      <c r="T273" s="129">
        <v>-15103315</v>
      </c>
      <c r="U273" s="129">
        <v>-251909</v>
      </c>
      <c r="V273" s="129">
        <v>0</v>
      </c>
      <c r="W273" s="129">
        <v>-11054404</v>
      </c>
      <c r="X273" s="129">
        <v>-49082601</v>
      </c>
      <c r="Y273" s="129">
        <v>0</v>
      </c>
      <c r="Z273" s="129">
        <v>-11626116</v>
      </c>
      <c r="AA273" s="662" t="s">
        <v>401</v>
      </c>
      <c r="AB273" s="324" t="s">
        <v>529</v>
      </c>
      <c r="AC273" s="663" t="s">
        <v>512</v>
      </c>
      <c r="AD273" s="529" t="s">
        <v>1479</v>
      </c>
    </row>
    <row r="274" spans="1:30" ht="12.75" x14ac:dyDescent="0.2">
      <c r="A274" s="664">
        <v>267</v>
      </c>
      <c r="B274" s="665" t="s">
        <v>404</v>
      </c>
      <c r="C274" s="666" t="s">
        <v>1201</v>
      </c>
      <c r="D274" s="667" t="s">
        <v>1202</v>
      </c>
      <c r="E274" s="668" t="s">
        <v>403</v>
      </c>
      <c r="F274" s="129">
        <v>1278757</v>
      </c>
      <c r="G274" s="129">
        <v>13055135</v>
      </c>
      <c r="H274" s="129">
        <v>0</v>
      </c>
      <c r="I274" s="129">
        <v>-846096</v>
      </c>
      <c r="J274" s="129">
        <v>2098845</v>
      </c>
      <c r="K274" s="129">
        <v>-2516119</v>
      </c>
      <c r="L274" s="129">
        <v>11791765</v>
      </c>
      <c r="M274" s="129">
        <v>0</v>
      </c>
      <c r="N274" s="129">
        <v>0</v>
      </c>
      <c r="O274" s="129">
        <v>0</v>
      </c>
      <c r="P274" s="129">
        <v>0</v>
      </c>
      <c r="Q274" s="129">
        <v>-114451</v>
      </c>
      <c r="R274" s="129">
        <v>-17057367</v>
      </c>
      <c r="S274" s="129">
        <v>-3411473</v>
      </c>
      <c r="T274" s="129">
        <v>-13645893</v>
      </c>
      <c r="U274" s="129">
        <v>-202733</v>
      </c>
      <c r="V274" s="129">
        <v>0</v>
      </c>
      <c r="W274" s="129">
        <v>-2132857</v>
      </c>
      <c r="X274" s="129">
        <v>-36564774</v>
      </c>
      <c r="Y274" s="129">
        <v>995161</v>
      </c>
      <c r="Z274" s="129">
        <v>-22499091</v>
      </c>
      <c r="AA274" s="662" t="s">
        <v>403</v>
      </c>
      <c r="AB274" s="324" t="s">
        <v>543</v>
      </c>
      <c r="AC274" s="663" t="s">
        <v>542</v>
      </c>
      <c r="AD274" s="529" t="s">
        <v>1480</v>
      </c>
    </row>
    <row r="275" spans="1:30" ht="12.75" x14ac:dyDescent="0.2">
      <c r="A275" s="664">
        <v>268</v>
      </c>
      <c r="B275" s="665" t="s">
        <v>406</v>
      </c>
      <c r="C275" s="666" t="s">
        <v>1201</v>
      </c>
      <c r="D275" s="667" t="s">
        <v>1211</v>
      </c>
      <c r="E275" s="668" t="s">
        <v>405</v>
      </c>
      <c r="F275" s="129">
        <v>3040640</v>
      </c>
      <c r="G275" s="129">
        <v>20493488</v>
      </c>
      <c r="H275" s="129">
        <v>0</v>
      </c>
      <c r="I275" s="129">
        <v>-663298</v>
      </c>
      <c r="J275" s="129">
        <v>0</v>
      </c>
      <c r="K275" s="129">
        <v>196994</v>
      </c>
      <c r="L275" s="129">
        <v>20027184</v>
      </c>
      <c r="M275" s="129">
        <v>45232</v>
      </c>
      <c r="N275" s="129">
        <v>0</v>
      </c>
      <c r="O275" s="129">
        <v>0</v>
      </c>
      <c r="P275" s="129">
        <v>45232</v>
      </c>
      <c r="Q275" s="129">
        <v>0</v>
      </c>
      <c r="R275" s="129">
        <v>-14560842</v>
      </c>
      <c r="S275" s="129">
        <v>-2912169</v>
      </c>
      <c r="T275" s="129">
        <v>-11740482</v>
      </c>
      <c r="U275" s="129">
        <v>0</v>
      </c>
      <c r="V275" s="129">
        <v>0</v>
      </c>
      <c r="W275" s="129">
        <v>-3404145</v>
      </c>
      <c r="X275" s="129">
        <v>-32617638</v>
      </c>
      <c r="Y275" s="129">
        <v>1867323</v>
      </c>
      <c r="Z275" s="129">
        <v>-7637259</v>
      </c>
      <c r="AA275" s="662" t="s">
        <v>405</v>
      </c>
      <c r="AB275" s="324" t="s">
        <v>536</v>
      </c>
      <c r="AC275" s="663" t="s">
        <v>512</v>
      </c>
      <c r="AD275" s="529" t="s">
        <v>1481</v>
      </c>
    </row>
    <row r="276" spans="1:30" ht="14.25" x14ac:dyDescent="0.2">
      <c r="A276" s="664">
        <v>269</v>
      </c>
      <c r="B276" s="665" t="s">
        <v>407</v>
      </c>
      <c r="C276" s="666" t="s">
        <v>486</v>
      </c>
      <c r="D276" s="667" t="s">
        <v>1211</v>
      </c>
      <c r="E276" s="668" t="s">
        <v>1924</v>
      </c>
      <c r="F276" s="129">
        <v>2496474</v>
      </c>
      <c r="G276" s="129">
        <v>77451179</v>
      </c>
      <c r="H276" s="129">
        <v>0</v>
      </c>
      <c r="I276" s="129">
        <v>-1360726</v>
      </c>
      <c r="J276" s="129">
        <v>0</v>
      </c>
      <c r="K276" s="129">
        <v>-6492596</v>
      </c>
      <c r="L276" s="129">
        <v>69597857</v>
      </c>
      <c r="M276" s="129">
        <v>0</v>
      </c>
      <c r="N276" s="129">
        <v>0</v>
      </c>
      <c r="O276" s="129">
        <v>0</v>
      </c>
      <c r="P276" s="129">
        <v>0</v>
      </c>
      <c r="Q276" s="129">
        <v>-1474600</v>
      </c>
      <c r="R276" s="129">
        <v>-60029700</v>
      </c>
      <c r="S276" s="129">
        <v>-1200594</v>
      </c>
      <c r="T276" s="129">
        <v>-58829106</v>
      </c>
      <c r="U276" s="129">
        <v>-229087</v>
      </c>
      <c r="V276" s="129">
        <v>0</v>
      </c>
      <c r="W276" s="129">
        <v>-1467231</v>
      </c>
      <c r="X276" s="129">
        <v>-123230318</v>
      </c>
      <c r="Y276" s="129">
        <v>0</v>
      </c>
      <c r="Z276" s="129">
        <v>-51135987</v>
      </c>
      <c r="AA276" s="662" t="s">
        <v>527</v>
      </c>
      <c r="AB276" s="324" t="s">
        <v>486</v>
      </c>
      <c r="AC276" s="663" t="s">
        <v>1923</v>
      </c>
      <c r="AD276" s="529" t="s">
        <v>1482</v>
      </c>
    </row>
    <row r="277" spans="1:30" ht="12.75" x14ac:dyDescent="0.2">
      <c r="A277" s="664">
        <v>270</v>
      </c>
      <c r="B277" s="665" t="s">
        <v>409</v>
      </c>
      <c r="C277" s="666" t="s">
        <v>1201</v>
      </c>
      <c r="D277" s="667" t="s">
        <v>1202</v>
      </c>
      <c r="E277" s="668" t="s">
        <v>408</v>
      </c>
      <c r="F277" s="129">
        <v>1804364</v>
      </c>
      <c r="G277" s="129">
        <v>36711819</v>
      </c>
      <c r="H277" s="129">
        <v>-15100</v>
      </c>
      <c r="I277" s="129">
        <v>-200000</v>
      </c>
      <c r="J277" s="129">
        <v>0</v>
      </c>
      <c r="K277" s="129">
        <v>-1657000</v>
      </c>
      <c r="L277" s="129">
        <v>34839719</v>
      </c>
      <c r="M277" s="129">
        <v>0</v>
      </c>
      <c r="N277" s="129">
        <v>0</v>
      </c>
      <c r="O277" s="129">
        <v>0</v>
      </c>
      <c r="P277" s="129">
        <v>0</v>
      </c>
      <c r="Q277" s="129">
        <v>-494520</v>
      </c>
      <c r="R277" s="129">
        <v>-28648089</v>
      </c>
      <c r="S277" s="129">
        <v>-5729618</v>
      </c>
      <c r="T277" s="129">
        <v>-22918471</v>
      </c>
      <c r="U277" s="129">
        <v>-157389</v>
      </c>
      <c r="V277" s="129">
        <v>0</v>
      </c>
      <c r="W277" s="129">
        <v>-2057735</v>
      </c>
      <c r="X277" s="129">
        <v>-60005822</v>
      </c>
      <c r="Y277" s="129">
        <v>2249335</v>
      </c>
      <c r="Z277" s="129">
        <v>-21112404</v>
      </c>
      <c r="AA277" s="662" t="s">
        <v>408</v>
      </c>
      <c r="AB277" s="324" t="s">
        <v>543</v>
      </c>
      <c r="AC277" s="663" t="s">
        <v>542</v>
      </c>
      <c r="AD277" s="529" t="s">
        <v>1483</v>
      </c>
    </row>
    <row r="278" spans="1:30" ht="12.75" x14ac:dyDescent="0.2">
      <c r="A278" s="664">
        <v>271</v>
      </c>
      <c r="B278" s="665" t="s">
        <v>410</v>
      </c>
      <c r="C278" s="666" t="s">
        <v>486</v>
      </c>
      <c r="D278" s="667" t="s">
        <v>1224</v>
      </c>
      <c r="E278" s="668" t="s">
        <v>520</v>
      </c>
      <c r="F278" s="129">
        <v>-839008</v>
      </c>
      <c r="G278" s="129">
        <v>11277171</v>
      </c>
      <c r="H278" s="129">
        <v>-52903</v>
      </c>
      <c r="I278" s="129">
        <v>-1147097</v>
      </c>
      <c r="J278" s="129">
        <v>0</v>
      </c>
      <c r="K278" s="129">
        <v>-1409869</v>
      </c>
      <c r="L278" s="129">
        <v>8667302</v>
      </c>
      <c r="M278" s="129">
        <v>0</v>
      </c>
      <c r="N278" s="129">
        <v>0</v>
      </c>
      <c r="O278" s="129">
        <v>443481</v>
      </c>
      <c r="P278" s="129">
        <v>443481</v>
      </c>
      <c r="Q278" s="129">
        <v>-906079</v>
      </c>
      <c r="R278" s="129">
        <v>-15343349</v>
      </c>
      <c r="S278" s="129">
        <v>-306867</v>
      </c>
      <c r="T278" s="129">
        <v>-15036483</v>
      </c>
      <c r="U278" s="129">
        <v>-196359</v>
      </c>
      <c r="V278" s="129">
        <v>0</v>
      </c>
      <c r="W278" s="129">
        <v>0</v>
      </c>
      <c r="X278" s="129">
        <v>-31789137</v>
      </c>
      <c r="Y278" s="129">
        <v>0</v>
      </c>
      <c r="Z278" s="129">
        <v>-23517362</v>
      </c>
      <c r="AA278" s="662" t="s">
        <v>520</v>
      </c>
      <c r="AB278" s="324" t="s">
        <v>486</v>
      </c>
      <c r="AC278" s="663" t="s">
        <v>519</v>
      </c>
      <c r="AD278" s="529" t="s">
        <v>1484</v>
      </c>
    </row>
    <row r="279" spans="1:30" ht="12.75" x14ac:dyDescent="0.2">
      <c r="A279" s="664">
        <v>272</v>
      </c>
      <c r="B279" s="665" t="s">
        <v>412</v>
      </c>
      <c r="C279" s="666" t="s">
        <v>1201</v>
      </c>
      <c r="D279" s="667" t="s">
        <v>1224</v>
      </c>
      <c r="E279" s="668" t="s">
        <v>411</v>
      </c>
      <c r="F279" s="129">
        <v>-747001</v>
      </c>
      <c r="G279" s="129">
        <v>4544777</v>
      </c>
      <c r="H279" s="129">
        <v>0</v>
      </c>
      <c r="I279" s="129">
        <v>-24977</v>
      </c>
      <c r="J279" s="129">
        <v>602824</v>
      </c>
      <c r="K279" s="129">
        <v>-680344</v>
      </c>
      <c r="L279" s="129">
        <v>4442280</v>
      </c>
      <c r="M279" s="129">
        <v>259978</v>
      </c>
      <c r="N279" s="129">
        <v>0</v>
      </c>
      <c r="O279" s="129">
        <v>345950</v>
      </c>
      <c r="P279" s="129">
        <v>605928</v>
      </c>
      <c r="Q279" s="129">
        <v>-177483</v>
      </c>
      <c r="R279" s="129">
        <v>-5813421</v>
      </c>
      <c r="S279" s="129">
        <v>-1162684</v>
      </c>
      <c r="T279" s="129">
        <v>-4650737</v>
      </c>
      <c r="U279" s="129">
        <v>-704626</v>
      </c>
      <c r="V279" s="129">
        <v>0</v>
      </c>
      <c r="W279" s="129">
        <v>0</v>
      </c>
      <c r="X279" s="129">
        <v>-12508951</v>
      </c>
      <c r="Y279" s="129">
        <v>738141</v>
      </c>
      <c r="Z279" s="129">
        <v>-7469603</v>
      </c>
      <c r="AA279" s="662" t="s">
        <v>411</v>
      </c>
      <c r="AB279" s="324" t="s">
        <v>521</v>
      </c>
      <c r="AC279" s="663" t="s">
        <v>519</v>
      </c>
      <c r="AD279" s="529" t="s">
        <v>1485</v>
      </c>
    </row>
    <row r="280" spans="1:30" ht="12.75" x14ac:dyDescent="0.2">
      <c r="A280" s="664">
        <v>273</v>
      </c>
      <c r="B280" s="665" t="s">
        <v>414</v>
      </c>
      <c r="C280" s="666" t="s">
        <v>1257</v>
      </c>
      <c r="D280" s="667" t="s">
        <v>1214</v>
      </c>
      <c r="E280" s="668" t="s">
        <v>413</v>
      </c>
      <c r="F280" s="129">
        <v>-40905370</v>
      </c>
      <c r="G280" s="129">
        <v>344946568</v>
      </c>
      <c r="H280" s="129">
        <v>0</v>
      </c>
      <c r="I280" s="129">
        <v>-6479423</v>
      </c>
      <c r="J280" s="129">
        <v>13115885</v>
      </c>
      <c r="K280" s="129">
        <v>-10000000</v>
      </c>
      <c r="L280" s="129">
        <v>341583030</v>
      </c>
      <c r="M280" s="129">
        <v>962895</v>
      </c>
      <c r="N280" s="129">
        <v>0</v>
      </c>
      <c r="O280" s="129">
        <v>31334501</v>
      </c>
      <c r="P280" s="129">
        <v>32297396</v>
      </c>
      <c r="Q280" s="129">
        <v>0</v>
      </c>
      <c r="R280" s="129">
        <v>-154249239</v>
      </c>
      <c r="S280" s="129">
        <v>-172946116</v>
      </c>
      <c r="T280" s="129">
        <v>-140226580</v>
      </c>
      <c r="U280" s="129">
        <v>-1031240</v>
      </c>
      <c r="V280" s="129">
        <v>0</v>
      </c>
      <c r="W280" s="129">
        <v>0</v>
      </c>
      <c r="X280" s="129">
        <v>-468453175</v>
      </c>
      <c r="Y280" s="129">
        <v>19476115</v>
      </c>
      <c r="Z280" s="129">
        <v>-116002004</v>
      </c>
      <c r="AA280" s="662" t="s">
        <v>413</v>
      </c>
      <c r="AB280" s="324" t="s">
        <v>576</v>
      </c>
      <c r="AC280" s="669" t="s">
        <v>485</v>
      </c>
      <c r="AD280" s="529" t="s">
        <v>1486</v>
      </c>
    </row>
    <row r="281" spans="1:30" ht="12.75" x14ac:dyDescent="0.2">
      <c r="A281" s="664">
        <v>274</v>
      </c>
      <c r="B281" s="665" t="s">
        <v>416</v>
      </c>
      <c r="C281" s="666" t="s">
        <v>1217</v>
      </c>
      <c r="D281" s="667" t="s">
        <v>1204</v>
      </c>
      <c r="E281" s="668" t="s">
        <v>415</v>
      </c>
      <c r="F281" s="129">
        <v>-800850</v>
      </c>
      <c r="G281" s="129">
        <v>72767458</v>
      </c>
      <c r="H281" s="129">
        <v>0</v>
      </c>
      <c r="I281" s="129">
        <v>-1500000</v>
      </c>
      <c r="J281" s="129">
        <v>5485272</v>
      </c>
      <c r="K281" s="129">
        <v>-14010603</v>
      </c>
      <c r="L281" s="129">
        <v>62742127</v>
      </c>
      <c r="M281" s="129">
        <v>0</v>
      </c>
      <c r="N281" s="129">
        <v>0</v>
      </c>
      <c r="O281" s="129">
        <v>4965364</v>
      </c>
      <c r="P281" s="129">
        <v>4965364</v>
      </c>
      <c r="Q281" s="129">
        <v>0</v>
      </c>
      <c r="R281" s="129">
        <v>0</v>
      </c>
      <c r="S281" s="129">
        <v>-1560545</v>
      </c>
      <c r="T281" s="129">
        <v>-154493958</v>
      </c>
      <c r="U281" s="129">
        <v>-537547</v>
      </c>
      <c r="V281" s="129">
        <v>0</v>
      </c>
      <c r="W281" s="129">
        <v>0</v>
      </c>
      <c r="X281" s="129">
        <v>-156592050</v>
      </c>
      <c r="Y281" s="129">
        <v>3582469</v>
      </c>
      <c r="Z281" s="129">
        <v>-86102940</v>
      </c>
      <c r="AA281" s="662" t="s">
        <v>415</v>
      </c>
      <c r="AB281" s="324" t="s">
        <v>570</v>
      </c>
      <c r="AC281" s="663" t="s">
        <v>1915</v>
      </c>
      <c r="AD281" s="529" t="s">
        <v>1487</v>
      </c>
    </row>
    <row r="282" spans="1:30" ht="12.75" x14ac:dyDescent="0.2">
      <c r="A282" s="664">
        <v>275</v>
      </c>
      <c r="B282" s="665" t="s">
        <v>418</v>
      </c>
      <c r="C282" s="666" t="s">
        <v>1201</v>
      </c>
      <c r="D282" s="667" t="s">
        <v>1202</v>
      </c>
      <c r="E282" s="668" t="s">
        <v>417</v>
      </c>
      <c r="F282" s="129">
        <v>1974890</v>
      </c>
      <c r="G282" s="129">
        <v>26445968</v>
      </c>
      <c r="H282" s="129">
        <v>-300000</v>
      </c>
      <c r="I282" s="129">
        <v>-900000</v>
      </c>
      <c r="J282" s="129">
        <v>400000</v>
      </c>
      <c r="K282" s="129">
        <v>-8507000</v>
      </c>
      <c r="L282" s="129">
        <v>17138968</v>
      </c>
      <c r="M282" s="129">
        <v>27864</v>
      </c>
      <c r="N282" s="129">
        <v>0</v>
      </c>
      <c r="O282" s="129">
        <v>0</v>
      </c>
      <c r="P282" s="129">
        <v>27864</v>
      </c>
      <c r="Q282" s="129">
        <v>-425314</v>
      </c>
      <c r="R282" s="129">
        <v>-27071798</v>
      </c>
      <c r="S282" s="129">
        <v>-5414360</v>
      </c>
      <c r="T282" s="129">
        <v>-21657439</v>
      </c>
      <c r="U282" s="129">
        <v>-290492</v>
      </c>
      <c r="V282" s="129">
        <v>0</v>
      </c>
      <c r="W282" s="129">
        <v>-2131123</v>
      </c>
      <c r="X282" s="129">
        <v>-56990526</v>
      </c>
      <c r="Y282" s="129">
        <v>6021427</v>
      </c>
      <c r="Z282" s="129">
        <v>-31827377</v>
      </c>
      <c r="AA282" s="662" t="s">
        <v>417</v>
      </c>
      <c r="AB282" s="324" t="s">
        <v>543</v>
      </c>
      <c r="AC282" s="663" t="s">
        <v>542</v>
      </c>
      <c r="AD282" s="529" t="s">
        <v>1488</v>
      </c>
    </row>
    <row r="283" spans="1:30" ht="12.75" x14ac:dyDescent="0.2">
      <c r="A283" s="664">
        <v>276</v>
      </c>
      <c r="B283" s="665" t="s">
        <v>420</v>
      </c>
      <c r="C283" s="666" t="s">
        <v>1201</v>
      </c>
      <c r="D283" s="667" t="s">
        <v>1211</v>
      </c>
      <c r="E283" s="668" t="s">
        <v>419</v>
      </c>
      <c r="F283" s="129">
        <v>-378336</v>
      </c>
      <c r="G283" s="129">
        <v>35243628</v>
      </c>
      <c r="H283" s="129">
        <v>0</v>
      </c>
      <c r="I283" s="129">
        <v>-1648880</v>
      </c>
      <c r="J283" s="129">
        <v>0</v>
      </c>
      <c r="K283" s="129">
        <v>-2557972</v>
      </c>
      <c r="L283" s="129">
        <v>31036776</v>
      </c>
      <c r="M283" s="129">
        <v>83831</v>
      </c>
      <c r="N283" s="129">
        <v>0</v>
      </c>
      <c r="O283" s="129">
        <v>19818</v>
      </c>
      <c r="P283" s="129">
        <v>103649</v>
      </c>
      <c r="Q283" s="129">
        <v>0</v>
      </c>
      <c r="R283" s="129">
        <v>-22410597</v>
      </c>
      <c r="S283" s="129">
        <v>-4482119</v>
      </c>
      <c r="T283" s="129">
        <v>-17928477</v>
      </c>
      <c r="U283" s="129">
        <v>-245980</v>
      </c>
      <c r="V283" s="129">
        <v>0</v>
      </c>
      <c r="W283" s="129">
        <v>0</v>
      </c>
      <c r="X283" s="129">
        <v>-45067173</v>
      </c>
      <c r="Y283" s="129">
        <v>2212300</v>
      </c>
      <c r="Z283" s="129">
        <v>-12092784</v>
      </c>
      <c r="AA283" s="662" t="s">
        <v>419</v>
      </c>
      <c r="AB283" s="324" t="s">
        <v>528</v>
      </c>
      <c r="AC283" s="663" t="s">
        <v>1913</v>
      </c>
      <c r="AD283" s="529" t="s">
        <v>1489</v>
      </c>
    </row>
    <row r="284" spans="1:30" ht="12.75" x14ac:dyDescent="0.2">
      <c r="A284" s="664">
        <v>277</v>
      </c>
      <c r="B284" s="665" t="s">
        <v>422</v>
      </c>
      <c r="C284" s="666" t="s">
        <v>1201</v>
      </c>
      <c r="D284" s="667" t="s">
        <v>1202</v>
      </c>
      <c r="E284" s="668" t="s">
        <v>421</v>
      </c>
      <c r="F284" s="129">
        <v>263332</v>
      </c>
      <c r="G284" s="129">
        <v>48294952</v>
      </c>
      <c r="H284" s="129">
        <v>0</v>
      </c>
      <c r="I284" s="129">
        <v>-2929410</v>
      </c>
      <c r="J284" s="129">
        <v>0</v>
      </c>
      <c r="K284" s="129">
        <v>-5333798</v>
      </c>
      <c r="L284" s="129">
        <v>40031744</v>
      </c>
      <c r="M284" s="129">
        <v>0</v>
      </c>
      <c r="N284" s="129">
        <v>0</v>
      </c>
      <c r="O284" s="129">
        <v>0</v>
      </c>
      <c r="P284" s="129">
        <v>0</v>
      </c>
      <c r="Q284" s="129">
        <v>-2114179</v>
      </c>
      <c r="R284" s="129">
        <v>-26856795</v>
      </c>
      <c r="S284" s="129">
        <v>-5487635</v>
      </c>
      <c r="T284" s="129">
        <v>-21950539</v>
      </c>
      <c r="U284" s="129">
        <v>-3534706</v>
      </c>
      <c r="V284" s="129">
        <v>0</v>
      </c>
      <c r="W284" s="129">
        <v>-2019263</v>
      </c>
      <c r="X284" s="129">
        <v>-61963117</v>
      </c>
      <c r="Y284" s="129">
        <v>2764680</v>
      </c>
      <c r="Z284" s="129">
        <v>-18903361</v>
      </c>
      <c r="AA284" s="662" t="s">
        <v>421</v>
      </c>
      <c r="AB284" s="324" t="s">
        <v>560</v>
      </c>
      <c r="AC284" s="663" t="s">
        <v>512</v>
      </c>
      <c r="AD284" s="529" t="s">
        <v>1490</v>
      </c>
    </row>
    <row r="285" spans="1:30" ht="12.75" x14ac:dyDescent="0.2">
      <c r="A285" s="664">
        <v>278</v>
      </c>
      <c r="B285" s="665" t="s">
        <v>424</v>
      </c>
      <c r="C285" s="666" t="s">
        <v>1217</v>
      </c>
      <c r="D285" s="667" t="s">
        <v>1218</v>
      </c>
      <c r="E285" s="668" t="s">
        <v>423</v>
      </c>
      <c r="F285" s="129">
        <v>9135876</v>
      </c>
      <c r="G285" s="129">
        <v>92427762</v>
      </c>
      <c r="H285" s="129">
        <v>0</v>
      </c>
      <c r="I285" s="129">
        <v>-4567513</v>
      </c>
      <c r="J285" s="129">
        <v>0</v>
      </c>
      <c r="K285" s="129">
        <v>1178229</v>
      </c>
      <c r="L285" s="129">
        <v>89038478</v>
      </c>
      <c r="M285" s="129">
        <v>627276</v>
      </c>
      <c r="N285" s="129">
        <v>0</v>
      </c>
      <c r="O285" s="129">
        <v>0</v>
      </c>
      <c r="P285" s="129">
        <v>627276</v>
      </c>
      <c r="Q285" s="129">
        <v>-1704770</v>
      </c>
      <c r="R285" s="129">
        <v>-67542572</v>
      </c>
      <c r="S285" s="129">
        <v>-1353092</v>
      </c>
      <c r="T285" s="129">
        <v>-66301520</v>
      </c>
      <c r="U285" s="129">
        <v>-1639813</v>
      </c>
      <c r="V285" s="129">
        <v>0</v>
      </c>
      <c r="W285" s="129">
        <v>-3470236</v>
      </c>
      <c r="X285" s="129">
        <v>-142012003</v>
      </c>
      <c r="Y285" s="129">
        <v>3555239</v>
      </c>
      <c r="Z285" s="129">
        <v>-39655134</v>
      </c>
      <c r="AA285" s="662" t="s">
        <v>423</v>
      </c>
      <c r="AB285" s="324" t="s">
        <v>570</v>
      </c>
      <c r="AC285" s="663" t="s">
        <v>575</v>
      </c>
      <c r="AD285" s="529" t="s">
        <v>1491</v>
      </c>
    </row>
    <row r="286" spans="1:30" ht="12.75" x14ac:dyDescent="0.2">
      <c r="A286" s="664">
        <v>279</v>
      </c>
      <c r="B286" s="665" t="s">
        <v>426</v>
      </c>
      <c r="C286" s="666" t="s">
        <v>1217</v>
      </c>
      <c r="D286" s="667" t="s">
        <v>1228</v>
      </c>
      <c r="E286" s="668" t="s">
        <v>425</v>
      </c>
      <c r="F286" s="129">
        <v>-241754</v>
      </c>
      <c r="G286" s="129">
        <v>46226912</v>
      </c>
      <c r="H286" s="129">
        <v>0</v>
      </c>
      <c r="I286" s="129">
        <v>-2087000</v>
      </c>
      <c r="J286" s="129">
        <v>0</v>
      </c>
      <c r="K286" s="129">
        <v>0</v>
      </c>
      <c r="L286" s="129">
        <v>44139912</v>
      </c>
      <c r="M286" s="129">
        <v>0</v>
      </c>
      <c r="N286" s="129">
        <v>0</v>
      </c>
      <c r="O286" s="129">
        <v>52203</v>
      </c>
      <c r="P286" s="129">
        <v>52203</v>
      </c>
      <c r="Q286" s="129">
        <v>-469353</v>
      </c>
      <c r="R286" s="129">
        <v>0</v>
      </c>
      <c r="S286" s="129">
        <v>-746312</v>
      </c>
      <c r="T286" s="129">
        <v>-73884894</v>
      </c>
      <c r="U286" s="129">
        <v>-349507</v>
      </c>
      <c r="V286" s="129">
        <v>0</v>
      </c>
      <c r="W286" s="129">
        <v>0</v>
      </c>
      <c r="X286" s="129">
        <v>-75450066</v>
      </c>
      <c r="Y286" s="129">
        <v>2634824</v>
      </c>
      <c r="Z286" s="129">
        <v>-28864881</v>
      </c>
      <c r="AA286" s="662" t="s">
        <v>425</v>
      </c>
      <c r="AB286" s="324" t="s">
        <v>570</v>
      </c>
      <c r="AC286" s="663" t="s">
        <v>574</v>
      </c>
      <c r="AD286" s="529" t="s">
        <v>1492</v>
      </c>
    </row>
    <row r="287" spans="1:30" ht="12.75" x14ac:dyDescent="0.2">
      <c r="A287" s="664">
        <v>280</v>
      </c>
      <c r="B287" s="665" t="s">
        <v>428</v>
      </c>
      <c r="C287" s="666" t="s">
        <v>1213</v>
      </c>
      <c r="D287" s="667" t="s">
        <v>1214</v>
      </c>
      <c r="E287" s="668" t="s">
        <v>427</v>
      </c>
      <c r="F287" s="129">
        <v>3841311</v>
      </c>
      <c r="G287" s="129">
        <v>37599934</v>
      </c>
      <c r="H287" s="129">
        <v>0</v>
      </c>
      <c r="I287" s="129">
        <v>-6436166</v>
      </c>
      <c r="J287" s="129">
        <v>3802293</v>
      </c>
      <c r="K287" s="129">
        <v>-5287417</v>
      </c>
      <c r="L287" s="129">
        <v>29678644</v>
      </c>
      <c r="M287" s="129">
        <v>445096</v>
      </c>
      <c r="N287" s="129">
        <v>0</v>
      </c>
      <c r="O287" s="129">
        <v>0</v>
      </c>
      <c r="P287" s="129">
        <v>445096</v>
      </c>
      <c r="Q287" s="129">
        <v>0</v>
      </c>
      <c r="R287" s="129">
        <v>-21841911</v>
      </c>
      <c r="S287" s="129">
        <v>-24489416</v>
      </c>
      <c r="T287" s="129">
        <v>-19856283</v>
      </c>
      <c r="U287" s="129">
        <v>0</v>
      </c>
      <c r="V287" s="129">
        <v>-284128</v>
      </c>
      <c r="W287" s="129">
        <v>-1230140</v>
      </c>
      <c r="X287" s="129">
        <v>-67701878</v>
      </c>
      <c r="Y287" s="129">
        <v>4427606</v>
      </c>
      <c r="Z287" s="129">
        <v>-29309221</v>
      </c>
      <c r="AA287" s="662" t="s">
        <v>427</v>
      </c>
      <c r="AB287" s="324" t="s">
        <v>576</v>
      </c>
      <c r="AC287" s="669" t="s">
        <v>485</v>
      </c>
      <c r="AD287" s="529" t="s">
        <v>1493</v>
      </c>
    </row>
    <row r="288" spans="1:30" ht="12.75" x14ac:dyDescent="0.2">
      <c r="A288" s="664">
        <v>281</v>
      </c>
      <c r="B288" s="665" t="s">
        <v>430</v>
      </c>
      <c r="C288" s="666" t="s">
        <v>1257</v>
      </c>
      <c r="D288" s="667" t="s">
        <v>1214</v>
      </c>
      <c r="E288" s="668" t="s">
        <v>429</v>
      </c>
      <c r="F288" s="129">
        <v>-1284077</v>
      </c>
      <c r="G288" s="129">
        <v>63807192</v>
      </c>
      <c r="H288" s="129">
        <v>0</v>
      </c>
      <c r="I288" s="129">
        <v>-8200000</v>
      </c>
      <c r="J288" s="129">
        <v>800000</v>
      </c>
      <c r="K288" s="129">
        <v>-2475000</v>
      </c>
      <c r="L288" s="129">
        <v>53932192</v>
      </c>
      <c r="M288" s="129">
        <v>468000</v>
      </c>
      <c r="N288" s="129">
        <v>0</v>
      </c>
      <c r="O288" s="129">
        <v>0</v>
      </c>
      <c r="P288" s="129">
        <v>468000</v>
      </c>
      <c r="Q288" s="129">
        <v>0</v>
      </c>
      <c r="R288" s="129">
        <v>-39888018</v>
      </c>
      <c r="S288" s="129">
        <v>-44722930</v>
      </c>
      <c r="T288" s="129">
        <v>-36261835</v>
      </c>
      <c r="U288" s="129">
        <v>-5787000</v>
      </c>
      <c r="V288" s="129">
        <v>-442570</v>
      </c>
      <c r="W288" s="129">
        <v>-1142762</v>
      </c>
      <c r="X288" s="129">
        <v>-128245115</v>
      </c>
      <c r="Y288" s="129">
        <v>4769017</v>
      </c>
      <c r="Z288" s="129">
        <v>-70359983</v>
      </c>
      <c r="AA288" s="662" t="s">
        <v>429</v>
      </c>
      <c r="AB288" s="324" t="s">
        <v>576</v>
      </c>
      <c r="AC288" s="669" t="s">
        <v>485</v>
      </c>
      <c r="AD288" s="529" t="s">
        <v>1494</v>
      </c>
    </row>
    <row r="289" spans="1:30" ht="12.75" x14ac:dyDescent="0.2">
      <c r="A289" s="664">
        <v>282</v>
      </c>
      <c r="B289" s="665" t="s">
        <v>432</v>
      </c>
      <c r="C289" s="666" t="s">
        <v>486</v>
      </c>
      <c r="D289" s="667" t="s">
        <v>1204</v>
      </c>
      <c r="E289" s="668" t="s">
        <v>506</v>
      </c>
      <c r="F289" s="129">
        <v>-396568</v>
      </c>
      <c r="G289" s="129">
        <v>60007829</v>
      </c>
      <c r="H289" s="129">
        <v>0</v>
      </c>
      <c r="I289" s="129">
        <v>-1232095</v>
      </c>
      <c r="J289" s="129">
        <v>0</v>
      </c>
      <c r="K289" s="129">
        <v>-1433156</v>
      </c>
      <c r="L289" s="129">
        <v>57342578</v>
      </c>
      <c r="M289" s="129">
        <v>0</v>
      </c>
      <c r="N289" s="129">
        <v>0</v>
      </c>
      <c r="O289" s="129">
        <v>2148163</v>
      </c>
      <c r="P289" s="129">
        <v>2148163</v>
      </c>
      <c r="Q289" s="129">
        <v>-1392718</v>
      </c>
      <c r="R289" s="129">
        <v>-54142160</v>
      </c>
      <c r="S289" s="129">
        <v>-1082843</v>
      </c>
      <c r="T289" s="129">
        <v>-53059316</v>
      </c>
      <c r="U289" s="129">
        <v>0</v>
      </c>
      <c r="V289" s="129">
        <v>0</v>
      </c>
      <c r="W289" s="129">
        <v>0</v>
      </c>
      <c r="X289" s="129">
        <v>-109677037</v>
      </c>
      <c r="Y289" s="129">
        <v>6101018</v>
      </c>
      <c r="Z289" s="129">
        <v>-44481846</v>
      </c>
      <c r="AA289" s="662" t="s">
        <v>506</v>
      </c>
      <c r="AB289" s="324" t="s">
        <v>486</v>
      </c>
      <c r="AC289" s="663" t="s">
        <v>505</v>
      </c>
      <c r="AD289" s="529" t="s">
        <v>1495</v>
      </c>
    </row>
    <row r="290" spans="1:30" ht="12.75" x14ac:dyDescent="0.2">
      <c r="A290" s="664">
        <v>283</v>
      </c>
      <c r="B290" s="665" t="s">
        <v>434</v>
      </c>
      <c r="C290" s="666" t="s">
        <v>1201</v>
      </c>
      <c r="D290" s="667" t="s">
        <v>1228</v>
      </c>
      <c r="E290" s="668" t="s">
        <v>433</v>
      </c>
      <c r="F290" s="129">
        <v>-3624735</v>
      </c>
      <c r="G290" s="129">
        <v>42890605</v>
      </c>
      <c r="H290" s="129">
        <v>0</v>
      </c>
      <c r="I290" s="129">
        <v>-157000</v>
      </c>
      <c r="J290" s="129">
        <v>3529142</v>
      </c>
      <c r="K290" s="129">
        <v>-4999574</v>
      </c>
      <c r="L290" s="129">
        <v>41263173</v>
      </c>
      <c r="M290" s="129">
        <v>176846</v>
      </c>
      <c r="N290" s="129">
        <v>25647</v>
      </c>
      <c r="O290" s="129">
        <v>3002425</v>
      </c>
      <c r="P290" s="129">
        <v>3204918</v>
      </c>
      <c r="Q290" s="129">
        <v>0</v>
      </c>
      <c r="R290" s="129">
        <v>-33615201</v>
      </c>
      <c r="S290" s="129">
        <v>-6723040</v>
      </c>
      <c r="T290" s="129">
        <v>-26892161</v>
      </c>
      <c r="U290" s="129">
        <v>-236477</v>
      </c>
      <c r="V290" s="129">
        <v>0</v>
      </c>
      <c r="W290" s="129">
        <v>0</v>
      </c>
      <c r="X290" s="129">
        <v>-67466879</v>
      </c>
      <c r="Y290" s="129">
        <v>0</v>
      </c>
      <c r="Z290" s="129">
        <v>-26623523</v>
      </c>
      <c r="AA290" s="662" t="s">
        <v>433</v>
      </c>
      <c r="AB290" s="324" t="s">
        <v>567</v>
      </c>
      <c r="AC290" s="663" t="s">
        <v>512</v>
      </c>
      <c r="AD290" s="529" t="s">
        <v>1496</v>
      </c>
    </row>
    <row r="291" spans="1:30" ht="12.75" x14ac:dyDescent="0.2">
      <c r="A291" s="664">
        <v>284</v>
      </c>
      <c r="B291" s="665" t="s">
        <v>436</v>
      </c>
      <c r="C291" s="666" t="s">
        <v>1201</v>
      </c>
      <c r="D291" s="667" t="s">
        <v>1211</v>
      </c>
      <c r="E291" s="668" t="s">
        <v>435</v>
      </c>
      <c r="F291" s="129">
        <v>1343504</v>
      </c>
      <c r="G291" s="129">
        <v>27890961</v>
      </c>
      <c r="H291" s="129">
        <v>0</v>
      </c>
      <c r="I291" s="129">
        <v>-1305487</v>
      </c>
      <c r="J291" s="129">
        <v>0</v>
      </c>
      <c r="K291" s="129">
        <v>484199</v>
      </c>
      <c r="L291" s="129">
        <v>27069673</v>
      </c>
      <c r="M291" s="129">
        <v>1838718</v>
      </c>
      <c r="N291" s="129">
        <v>0</v>
      </c>
      <c r="O291" s="129">
        <v>0</v>
      </c>
      <c r="P291" s="129">
        <v>1838718</v>
      </c>
      <c r="Q291" s="129">
        <v>0</v>
      </c>
      <c r="R291" s="129">
        <v>-31675010</v>
      </c>
      <c r="S291" s="129">
        <v>-6335002</v>
      </c>
      <c r="T291" s="129">
        <v>-25501698</v>
      </c>
      <c r="U291" s="129">
        <v>0</v>
      </c>
      <c r="V291" s="129">
        <v>0</v>
      </c>
      <c r="W291" s="129">
        <v>-2270092</v>
      </c>
      <c r="X291" s="129">
        <v>-65781802</v>
      </c>
      <c r="Y291" s="129">
        <v>1774312</v>
      </c>
      <c r="Z291" s="129">
        <v>-33755595</v>
      </c>
      <c r="AA291" s="662" t="s">
        <v>435</v>
      </c>
      <c r="AB291" s="324" t="s">
        <v>536</v>
      </c>
      <c r="AC291" s="663" t="s">
        <v>512</v>
      </c>
      <c r="AD291" s="529" t="s">
        <v>1497</v>
      </c>
    </row>
    <row r="292" spans="1:30" ht="12.75" x14ac:dyDescent="0.2">
      <c r="A292" s="664">
        <v>285</v>
      </c>
      <c r="B292" s="665" t="s">
        <v>438</v>
      </c>
      <c r="C292" s="666" t="s">
        <v>1201</v>
      </c>
      <c r="D292" s="667" t="s">
        <v>1202</v>
      </c>
      <c r="E292" s="668" t="s">
        <v>437</v>
      </c>
      <c r="F292" s="129">
        <v>334749</v>
      </c>
      <c r="G292" s="129">
        <v>15601459</v>
      </c>
      <c r="H292" s="129">
        <v>0</v>
      </c>
      <c r="I292" s="129">
        <v>-403000</v>
      </c>
      <c r="J292" s="129">
        <v>180000</v>
      </c>
      <c r="K292" s="129">
        <v>-5446000</v>
      </c>
      <c r="L292" s="129">
        <v>9932459</v>
      </c>
      <c r="M292" s="129">
        <v>522875</v>
      </c>
      <c r="N292" s="129">
        <v>0</v>
      </c>
      <c r="O292" s="129">
        <v>48808</v>
      </c>
      <c r="P292" s="129">
        <v>571683</v>
      </c>
      <c r="Q292" s="129">
        <v>-24351</v>
      </c>
      <c r="R292" s="129">
        <v>-18487910</v>
      </c>
      <c r="S292" s="129">
        <v>-3697582</v>
      </c>
      <c r="T292" s="129">
        <v>-14790328</v>
      </c>
      <c r="U292" s="129">
        <v>-172945</v>
      </c>
      <c r="V292" s="129">
        <v>0</v>
      </c>
      <c r="W292" s="129">
        <v>0</v>
      </c>
      <c r="X292" s="129">
        <v>-37173116</v>
      </c>
      <c r="Y292" s="129">
        <v>3842484</v>
      </c>
      <c r="Z292" s="129">
        <v>-22491741</v>
      </c>
      <c r="AA292" s="662" t="s">
        <v>437</v>
      </c>
      <c r="AB292" s="324" t="s">
        <v>566</v>
      </c>
      <c r="AC292" s="663" t="s">
        <v>512</v>
      </c>
      <c r="AD292" s="529" t="s">
        <v>1498</v>
      </c>
    </row>
    <row r="293" spans="1:30" ht="12.75" x14ac:dyDescent="0.2">
      <c r="A293" s="664">
        <v>286</v>
      </c>
      <c r="B293" s="665" t="s">
        <v>440</v>
      </c>
      <c r="C293" s="666" t="s">
        <v>1201</v>
      </c>
      <c r="D293" s="667" t="s">
        <v>1202</v>
      </c>
      <c r="E293" s="668" t="s">
        <v>439</v>
      </c>
      <c r="F293" s="129">
        <v>-66430</v>
      </c>
      <c r="G293" s="129">
        <v>16651471</v>
      </c>
      <c r="H293" s="129">
        <v>-113000</v>
      </c>
      <c r="I293" s="129">
        <v>-357000</v>
      </c>
      <c r="J293" s="129">
        <v>0</v>
      </c>
      <c r="K293" s="129">
        <v>0</v>
      </c>
      <c r="L293" s="129">
        <v>16181471</v>
      </c>
      <c r="M293" s="129">
        <v>0</v>
      </c>
      <c r="N293" s="129">
        <v>0</v>
      </c>
      <c r="O293" s="129">
        <v>0</v>
      </c>
      <c r="P293" s="129">
        <v>0</v>
      </c>
      <c r="Q293" s="129">
        <v>0</v>
      </c>
      <c r="R293" s="129">
        <v>-16496867</v>
      </c>
      <c r="S293" s="129">
        <v>-3299373</v>
      </c>
      <c r="T293" s="129">
        <v>-13197493</v>
      </c>
      <c r="U293" s="129">
        <v>-191220</v>
      </c>
      <c r="V293" s="129">
        <v>0</v>
      </c>
      <c r="W293" s="129">
        <v>-50039</v>
      </c>
      <c r="X293" s="129">
        <v>-33234992</v>
      </c>
      <c r="Y293" s="129">
        <v>1031953</v>
      </c>
      <c r="Z293" s="129">
        <v>-16087998</v>
      </c>
      <c r="AA293" s="662" t="s">
        <v>439</v>
      </c>
      <c r="AB293" s="324" t="s">
        <v>525</v>
      </c>
      <c r="AC293" s="663" t="s">
        <v>524</v>
      </c>
      <c r="AD293" s="529" t="s">
        <v>1499</v>
      </c>
    </row>
    <row r="294" spans="1:30" ht="12.75" x14ac:dyDescent="0.2">
      <c r="A294" s="664">
        <v>287</v>
      </c>
      <c r="B294" s="665" t="s">
        <v>442</v>
      </c>
      <c r="C294" s="666" t="s">
        <v>1201</v>
      </c>
      <c r="D294" s="667" t="s">
        <v>1211</v>
      </c>
      <c r="E294" s="668" t="s">
        <v>441</v>
      </c>
      <c r="F294" s="129">
        <v>-4363940</v>
      </c>
      <c r="G294" s="129">
        <v>40206760</v>
      </c>
      <c r="H294" s="129">
        <v>0</v>
      </c>
      <c r="I294" s="129">
        <v>-429371</v>
      </c>
      <c r="J294" s="129">
        <v>3218878</v>
      </c>
      <c r="K294" s="129">
        <v>-17000678</v>
      </c>
      <c r="L294" s="129">
        <v>25995589</v>
      </c>
      <c r="M294" s="129">
        <v>0</v>
      </c>
      <c r="N294" s="129">
        <v>0</v>
      </c>
      <c r="O294" s="129">
        <v>4300082</v>
      </c>
      <c r="P294" s="129">
        <v>4300082</v>
      </c>
      <c r="Q294" s="129">
        <v>-424761</v>
      </c>
      <c r="R294" s="129">
        <v>-29362169</v>
      </c>
      <c r="S294" s="129">
        <v>-5872434</v>
      </c>
      <c r="T294" s="129">
        <v>-23489736</v>
      </c>
      <c r="U294" s="129">
        <v>-146294</v>
      </c>
      <c r="V294" s="129">
        <v>0</v>
      </c>
      <c r="W294" s="129">
        <v>0</v>
      </c>
      <c r="X294" s="129">
        <v>-59295394</v>
      </c>
      <c r="Y294" s="129">
        <v>9665711</v>
      </c>
      <c r="Z294" s="129">
        <v>-23697952</v>
      </c>
      <c r="AA294" s="662" t="s">
        <v>441</v>
      </c>
      <c r="AB294" s="324" t="s">
        <v>536</v>
      </c>
      <c r="AC294" s="663" t="s">
        <v>512</v>
      </c>
      <c r="AD294" s="529" t="s">
        <v>1500</v>
      </c>
    </row>
    <row r="295" spans="1:30" ht="12.75" x14ac:dyDescent="0.2">
      <c r="A295" s="664">
        <v>288</v>
      </c>
      <c r="B295" s="665" t="s">
        <v>443</v>
      </c>
      <c r="C295" s="666" t="s">
        <v>486</v>
      </c>
      <c r="D295" s="667" t="s">
        <v>1202</v>
      </c>
      <c r="E295" s="668" t="s">
        <v>495</v>
      </c>
      <c r="F295" s="129">
        <v>-5488915</v>
      </c>
      <c r="G295" s="129">
        <v>50029085</v>
      </c>
      <c r="H295" s="129">
        <v>0</v>
      </c>
      <c r="I295" s="129">
        <v>-448400</v>
      </c>
      <c r="J295" s="129">
        <v>605350</v>
      </c>
      <c r="K295" s="129">
        <v>-1674600</v>
      </c>
      <c r="L295" s="129">
        <v>48511435</v>
      </c>
      <c r="M295" s="129">
        <v>390591</v>
      </c>
      <c r="N295" s="129">
        <v>0</v>
      </c>
      <c r="O295" s="129">
        <v>3291811</v>
      </c>
      <c r="P295" s="129">
        <v>3682402</v>
      </c>
      <c r="Q295" s="129">
        <v>-1053006</v>
      </c>
      <c r="R295" s="129">
        <v>-43523575</v>
      </c>
      <c r="S295" s="129">
        <v>-870472</v>
      </c>
      <c r="T295" s="129">
        <v>-42653104</v>
      </c>
      <c r="U295" s="129">
        <v>-259293</v>
      </c>
      <c r="V295" s="129">
        <v>0</v>
      </c>
      <c r="W295" s="129">
        <v>0</v>
      </c>
      <c r="X295" s="129">
        <v>-88359450</v>
      </c>
      <c r="Y295" s="129">
        <v>1319523</v>
      </c>
      <c r="Z295" s="129">
        <v>-40335005</v>
      </c>
      <c r="AA295" s="662" t="s">
        <v>495</v>
      </c>
      <c r="AB295" s="324" t="s">
        <v>486</v>
      </c>
      <c r="AC295" s="663" t="s">
        <v>494</v>
      </c>
      <c r="AD295" s="529" t="s">
        <v>1501</v>
      </c>
    </row>
    <row r="296" spans="1:30" ht="12.75" x14ac:dyDescent="0.2">
      <c r="A296" s="664">
        <v>289</v>
      </c>
      <c r="B296" s="665" t="s">
        <v>445</v>
      </c>
      <c r="C296" s="666" t="s">
        <v>1201</v>
      </c>
      <c r="D296" s="667" t="s">
        <v>1224</v>
      </c>
      <c r="E296" s="668" t="s">
        <v>444</v>
      </c>
      <c r="F296" s="129">
        <v>-52610</v>
      </c>
      <c r="G296" s="129">
        <v>4721212</v>
      </c>
      <c r="H296" s="129">
        <v>0</v>
      </c>
      <c r="I296" s="129">
        <v>-2844</v>
      </c>
      <c r="J296" s="129">
        <v>224276</v>
      </c>
      <c r="K296" s="129">
        <v>-391414</v>
      </c>
      <c r="L296" s="129">
        <v>4551230</v>
      </c>
      <c r="M296" s="129">
        <v>32060</v>
      </c>
      <c r="N296" s="129">
        <v>0</v>
      </c>
      <c r="O296" s="129">
        <v>0</v>
      </c>
      <c r="P296" s="129">
        <v>32060</v>
      </c>
      <c r="Q296" s="129">
        <v>-5851</v>
      </c>
      <c r="R296" s="129">
        <v>-5084172</v>
      </c>
      <c r="S296" s="129">
        <v>-1016834</v>
      </c>
      <c r="T296" s="129">
        <v>-4067337</v>
      </c>
      <c r="U296" s="129">
        <v>-80300</v>
      </c>
      <c r="V296" s="129">
        <v>0</v>
      </c>
      <c r="W296" s="129">
        <v>-668237</v>
      </c>
      <c r="X296" s="129">
        <v>-10922731</v>
      </c>
      <c r="Y296" s="129">
        <v>0</v>
      </c>
      <c r="Z296" s="129">
        <v>-6392051</v>
      </c>
      <c r="AA296" s="662" t="s">
        <v>444</v>
      </c>
      <c r="AB296" s="324" t="s">
        <v>521</v>
      </c>
      <c r="AC296" s="663" t="s">
        <v>519</v>
      </c>
      <c r="AD296" s="529" t="s">
        <v>1502</v>
      </c>
    </row>
    <row r="297" spans="1:30" ht="12.75" x14ac:dyDescent="0.2">
      <c r="A297" s="664">
        <v>290</v>
      </c>
      <c r="B297" s="665" t="s">
        <v>447</v>
      </c>
      <c r="C297" s="666" t="s">
        <v>1201</v>
      </c>
      <c r="D297" s="667" t="s">
        <v>1204</v>
      </c>
      <c r="E297" s="668" t="s">
        <v>446</v>
      </c>
      <c r="F297" s="129">
        <v>3352183</v>
      </c>
      <c r="G297" s="129">
        <v>22561278</v>
      </c>
      <c r="H297" s="129">
        <v>0</v>
      </c>
      <c r="I297" s="129">
        <v>-1436293</v>
      </c>
      <c r="J297" s="129">
        <v>0</v>
      </c>
      <c r="K297" s="129">
        <v>-1150676</v>
      </c>
      <c r="L297" s="129">
        <v>19974309</v>
      </c>
      <c r="M297" s="129">
        <v>0</v>
      </c>
      <c r="N297" s="129">
        <v>0</v>
      </c>
      <c r="O297" s="129">
        <v>0</v>
      </c>
      <c r="P297" s="129">
        <v>0</v>
      </c>
      <c r="Q297" s="129">
        <v>-54333</v>
      </c>
      <c r="R297" s="129">
        <v>-15236353</v>
      </c>
      <c r="S297" s="129">
        <v>-3047270</v>
      </c>
      <c r="T297" s="129">
        <v>-12189082</v>
      </c>
      <c r="U297" s="129">
        <v>0</v>
      </c>
      <c r="V297" s="129">
        <v>0</v>
      </c>
      <c r="W297" s="129">
        <v>-900952</v>
      </c>
      <c r="X297" s="129">
        <v>-31427990</v>
      </c>
      <c r="Y297" s="129">
        <v>514513</v>
      </c>
      <c r="Z297" s="129">
        <v>-7586985</v>
      </c>
      <c r="AA297" s="662" t="s">
        <v>446</v>
      </c>
      <c r="AB297" s="324" t="s">
        <v>547</v>
      </c>
      <c r="AC297" s="663" t="s">
        <v>545</v>
      </c>
      <c r="AD297" s="529" t="s">
        <v>1503</v>
      </c>
    </row>
    <row r="298" spans="1:30" ht="12.75" x14ac:dyDescent="0.2">
      <c r="A298" s="664">
        <v>291</v>
      </c>
      <c r="B298" s="665" t="s">
        <v>449</v>
      </c>
      <c r="C298" s="666" t="s">
        <v>1201</v>
      </c>
      <c r="D298" s="667" t="s">
        <v>1206</v>
      </c>
      <c r="E298" s="668" t="s">
        <v>448</v>
      </c>
      <c r="F298" s="129">
        <v>-704613</v>
      </c>
      <c r="G298" s="129">
        <v>11718238</v>
      </c>
      <c r="H298" s="129">
        <v>0</v>
      </c>
      <c r="I298" s="129">
        <v>-350000</v>
      </c>
      <c r="J298" s="129">
        <v>105112</v>
      </c>
      <c r="K298" s="129">
        <v>-1028632</v>
      </c>
      <c r="L298" s="129">
        <v>10444718</v>
      </c>
      <c r="M298" s="129">
        <v>32137</v>
      </c>
      <c r="N298" s="129">
        <v>0</v>
      </c>
      <c r="O298" s="129">
        <v>576088</v>
      </c>
      <c r="P298" s="129">
        <v>608225</v>
      </c>
      <c r="Q298" s="129">
        <v>0</v>
      </c>
      <c r="R298" s="129">
        <v>-9123162</v>
      </c>
      <c r="S298" s="129">
        <v>-1824632</v>
      </c>
      <c r="T298" s="129">
        <v>-7298530</v>
      </c>
      <c r="U298" s="129">
        <v>-308454</v>
      </c>
      <c r="V298" s="129">
        <v>0</v>
      </c>
      <c r="W298" s="129">
        <v>0</v>
      </c>
      <c r="X298" s="129">
        <v>-18554778</v>
      </c>
      <c r="Y298" s="129">
        <v>945143</v>
      </c>
      <c r="Z298" s="129">
        <v>-7261305</v>
      </c>
      <c r="AA298" s="662" t="s">
        <v>448</v>
      </c>
      <c r="AB298" s="324" t="s">
        <v>552</v>
      </c>
      <c r="AC298" s="663" t="s">
        <v>512</v>
      </c>
      <c r="AD298" s="529" t="s">
        <v>1504</v>
      </c>
    </row>
    <row r="299" spans="1:30" ht="12.75" x14ac:dyDescent="0.2">
      <c r="A299" s="664">
        <v>292</v>
      </c>
      <c r="B299" s="665" t="s">
        <v>1126</v>
      </c>
      <c r="C299" s="666" t="s">
        <v>486</v>
      </c>
      <c r="D299" s="667" t="s">
        <v>1206</v>
      </c>
      <c r="E299" s="668" t="s">
        <v>1093</v>
      </c>
      <c r="F299" s="129">
        <v>-3188091</v>
      </c>
      <c r="G299" s="129">
        <v>123456024</v>
      </c>
      <c r="H299" s="129">
        <v>-1384563</v>
      </c>
      <c r="I299" s="129">
        <v>-2202332</v>
      </c>
      <c r="J299" s="129">
        <v>2591386</v>
      </c>
      <c r="K299" s="129">
        <v>-6505740</v>
      </c>
      <c r="L299" s="129">
        <v>115954775</v>
      </c>
      <c r="M299" s="129">
        <v>90418</v>
      </c>
      <c r="N299" s="129">
        <v>0</v>
      </c>
      <c r="O299" s="129">
        <v>0</v>
      </c>
      <c r="P299" s="129">
        <v>90418</v>
      </c>
      <c r="Q299" s="129">
        <v>-715138</v>
      </c>
      <c r="R299" s="129">
        <v>-86888533</v>
      </c>
      <c r="S299" s="129">
        <v>-17377708</v>
      </c>
      <c r="T299" s="129">
        <v>-69510826</v>
      </c>
      <c r="U299" s="129">
        <v>-1610535</v>
      </c>
      <c r="V299" s="129">
        <v>-3156270</v>
      </c>
      <c r="W299" s="129">
        <v>-1699162</v>
      </c>
      <c r="X299" s="129">
        <v>-180958172</v>
      </c>
      <c r="Y299" s="129">
        <v>5747592</v>
      </c>
      <c r="Z299" s="129">
        <v>-62353478</v>
      </c>
      <c r="AA299" s="662" t="s">
        <v>1093</v>
      </c>
      <c r="AB299" s="324" t="s">
        <v>486</v>
      </c>
      <c r="AC299" s="663" t="s">
        <v>1026</v>
      </c>
      <c r="AD299" s="529" t="s">
        <v>1541</v>
      </c>
    </row>
    <row r="300" spans="1:30" ht="12.75" x14ac:dyDescent="0.2">
      <c r="A300" s="664">
        <v>293</v>
      </c>
      <c r="B300" s="665" t="s">
        <v>451</v>
      </c>
      <c r="C300" s="666" t="s">
        <v>1201</v>
      </c>
      <c r="D300" s="667" t="s">
        <v>1202</v>
      </c>
      <c r="E300" s="668" t="s">
        <v>450</v>
      </c>
      <c r="F300" s="129">
        <v>-196579</v>
      </c>
      <c r="G300" s="129">
        <v>23415493</v>
      </c>
      <c r="H300" s="129">
        <v>0</v>
      </c>
      <c r="I300" s="129">
        <v>-136424</v>
      </c>
      <c r="J300" s="129">
        <v>326115</v>
      </c>
      <c r="K300" s="129">
        <v>-1026283</v>
      </c>
      <c r="L300" s="129">
        <v>22578901</v>
      </c>
      <c r="M300" s="129">
        <v>378796</v>
      </c>
      <c r="N300" s="129">
        <v>0</v>
      </c>
      <c r="O300" s="129">
        <v>0</v>
      </c>
      <c r="P300" s="129">
        <v>378796</v>
      </c>
      <c r="Q300" s="129">
        <v>0</v>
      </c>
      <c r="R300" s="129">
        <v>-19586176</v>
      </c>
      <c r="S300" s="129">
        <v>-3917235</v>
      </c>
      <c r="T300" s="129">
        <v>-15668940</v>
      </c>
      <c r="U300" s="129">
        <v>-163212</v>
      </c>
      <c r="V300" s="129">
        <v>0</v>
      </c>
      <c r="W300" s="129">
        <v>-618846</v>
      </c>
      <c r="X300" s="129">
        <v>-39954409</v>
      </c>
      <c r="Y300" s="129">
        <v>0</v>
      </c>
      <c r="Z300" s="129">
        <v>-17193291</v>
      </c>
      <c r="AA300" s="662" t="s">
        <v>450</v>
      </c>
      <c r="AB300" s="324" t="s">
        <v>560</v>
      </c>
      <c r="AC300" s="663" t="s">
        <v>512</v>
      </c>
      <c r="AD300" s="529" t="s">
        <v>1505</v>
      </c>
    </row>
    <row r="301" spans="1:30" ht="12.75" x14ac:dyDescent="0.2">
      <c r="A301" s="664">
        <v>294</v>
      </c>
      <c r="B301" s="665" t="s">
        <v>1025</v>
      </c>
      <c r="C301" s="666" t="s">
        <v>1201</v>
      </c>
      <c r="D301" s="667" t="s">
        <v>1224</v>
      </c>
      <c r="E301" s="668" t="s">
        <v>1024</v>
      </c>
      <c r="F301" s="129">
        <v>756663</v>
      </c>
      <c r="G301" s="129">
        <v>36866173</v>
      </c>
      <c r="H301" s="129">
        <v>0</v>
      </c>
      <c r="I301" s="129">
        <v>-403659</v>
      </c>
      <c r="J301" s="129">
        <v>527766</v>
      </c>
      <c r="K301" s="129">
        <v>-6057900</v>
      </c>
      <c r="L301" s="129">
        <v>30932380</v>
      </c>
      <c r="M301" s="129">
        <v>0</v>
      </c>
      <c r="N301" s="129">
        <v>0</v>
      </c>
      <c r="O301" s="129">
        <v>0</v>
      </c>
      <c r="P301" s="129">
        <v>0</v>
      </c>
      <c r="Q301" s="129">
        <v>-293729</v>
      </c>
      <c r="R301" s="129">
        <v>-36065508</v>
      </c>
      <c r="S301" s="129">
        <v>-7213102</v>
      </c>
      <c r="T301" s="129">
        <v>-28852407</v>
      </c>
      <c r="U301" s="129">
        <v>-1733506</v>
      </c>
      <c r="V301" s="129">
        <v>0</v>
      </c>
      <c r="W301" s="129">
        <v>-1239922</v>
      </c>
      <c r="X301" s="129">
        <v>-75398174</v>
      </c>
      <c r="Y301" s="129">
        <v>3909253</v>
      </c>
      <c r="Z301" s="129">
        <v>-39799878</v>
      </c>
      <c r="AA301" s="662" t="s">
        <v>1024</v>
      </c>
      <c r="AB301" s="324" t="s">
        <v>562</v>
      </c>
      <c r="AC301" s="663" t="s">
        <v>512</v>
      </c>
      <c r="AD301" s="529" t="s">
        <v>1506</v>
      </c>
    </row>
    <row r="302" spans="1:30" ht="12.75" x14ac:dyDescent="0.2">
      <c r="A302" s="664">
        <v>295</v>
      </c>
      <c r="B302" s="665" t="s">
        <v>453</v>
      </c>
      <c r="C302" s="666" t="s">
        <v>1257</v>
      </c>
      <c r="D302" s="667" t="s">
        <v>1214</v>
      </c>
      <c r="E302" s="668" t="s">
        <v>452</v>
      </c>
      <c r="F302" s="129">
        <v>46256540</v>
      </c>
      <c r="G302" s="129">
        <v>1347060224</v>
      </c>
      <c r="H302" s="129">
        <v>0</v>
      </c>
      <c r="I302" s="129">
        <v>-55200000</v>
      </c>
      <c r="J302" s="129">
        <v>0</v>
      </c>
      <c r="K302" s="129">
        <v>-131900000</v>
      </c>
      <c r="L302" s="129">
        <v>1159960224</v>
      </c>
      <c r="M302" s="129">
        <v>0</v>
      </c>
      <c r="N302" s="129">
        <v>0</v>
      </c>
      <c r="O302" s="129">
        <v>0</v>
      </c>
      <c r="P302" s="129">
        <v>0</v>
      </c>
      <c r="Q302" s="129">
        <v>-7836666</v>
      </c>
      <c r="R302" s="129">
        <v>-768651626</v>
      </c>
      <c r="S302" s="129">
        <v>-861821521</v>
      </c>
      <c r="T302" s="129">
        <v>-698774206</v>
      </c>
      <c r="U302" s="129">
        <v>-3314261</v>
      </c>
      <c r="V302" s="129">
        <v>0</v>
      </c>
      <c r="W302" s="129">
        <v>-99940000</v>
      </c>
      <c r="X302" s="129">
        <v>-2440338280</v>
      </c>
      <c r="Y302" s="129">
        <v>154604463</v>
      </c>
      <c r="Z302" s="129">
        <v>-1079517053</v>
      </c>
      <c r="AA302" s="662" t="s">
        <v>452</v>
      </c>
      <c r="AB302" s="324" t="s">
        <v>576</v>
      </c>
      <c r="AC302" s="669" t="s">
        <v>485</v>
      </c>
      <c r="AD302" s="529" t="s">
        <v>1507</v>
      </c>
    </row>
    <row r="303" spans="1:30" ht="12.75" x14ac:dyDescent="0.2">
      <c r="A303" s="664">
        <v>296</v>
      </c>
      <c r="B303" s="665" t="s">
        <v>455</v>
      </c>
      <c r="C303" s="671" t="s">
        <v>1217</v>
      </c>
      <c r="D303" s="672" t="s">
        <v>1204</v>
      </c>
      <c r="E303" s="668" t="s">
        <v>454</v>
      </c>
      <c r="F303" s="129">
        <v>1674532</v>
      </c>
      <c r="G303" s="129">
        <v>45348764</v>
      </c>
      <c r="H303" s="129">
        <v>0</v>
      </c>
      <c r="I303" s="129">
        <v>-500000</v>
      </c>
      <c r="J303" s="129">
        <v>2546369</v>
      </c>
      <c r="K303" s="129">
        <v>-12311671</v>
      </c>
      <c r="L303" s="129">
        <v>35083462</v>
      </c>
      <c r="M303" s="129">
        <v>0</v>
      </c>
      <c r="N303" s="129">
        <v>0</v>
      </c>
      <c r="O303" s="129">
        <v>0</v>
      </c>
      <c r="P303" s="129">
        <v>0</v>
      </c>
      <c r="Q303" s="129">
        <v>-934068</v>
      </c>
      <c r="R303" s="129">
        <v>0</v>
      </c>
      <c r="S303" s="129">
        <v>-825580</v>
      </c>
      <c r="T303" s="129">
        <v>-81732425</v>
      </c>
      <c r="U303" s="129">
        <v>0</v>
      </c>
      <c r="V303" s="129">
        <v>0</v>
      </c>
      <c r="W303" s="129">
        <v>-1673152</v>
      </c>
      <c r="X303" s="129">
        <v>-85165225</v>
      </c>
      <c r="Y303" s="129">
        <v>6082261</v>
      </c>
      <c r="Z303" s="129">
        <v>-42324971</v>
      </c>
      <c r="AA303" s="662" t="s">
        <v>454</v>
      </c>
      <c r="AB303" s="324" t="s">
        <v>570</v>
      </c>
      <c r="AC303" s="663" t="s">
        <v>1915</v>
      </c>
      <c r="AD303" s="529" t="s">
        <v>1508</v>
      </c>
    </row>
    <row r="304" spans="1:30" ht="12.75" x14ac:dyDescent="0.2">
      <c r="A304" s="664">
        <v>297</v>
      </c>
      <c r="B304" s="665" t="s">
        <v>457</v>
      </c>
      <c r="C304" s="666" t="s">
        <v>486</v>
      </c>
      <c r="D304" s="667" t="s">
        <v>1224</v>
      </c>
      <c r="E304" s="668" t="s">
        <v>456</v>
      </c>
      <c r="F304" s="129">
        <v>3281891</v>
      </c>
      <c r="G304" s="129">
        <v>82027227</v>
      </c>
      <c r="H304" s="129">
        <v>0</v>
      </c>
      <c r="I304" s="129">
        <v>-71465</v>
      </c>
      <c r="J304" s="129">
        <v>3780600</v>
      </c>
      <c r="K304" s="129">
        <v>-2460817</v>
      </c>
      <c r="L304" s="129">
        <v>83275545</v>
      </c>
      <c r="M304" s="129">
        <v>0</v>
      </c>
      <c r="N304" s="129">
        <v>0</v>
      </c>
      <c r="O304" s="129">
        <v>0</v>
      </c>
      <c r="P304" s="129">
        <v>0</v>
      </c>
      <c r="Q304" s="129">
        <v>-1156687</v>
      </c>
      <c r="R304" s="129">
        <v>-74996627</v>
      </c>
      <c r="S304" s="129">
        <v>-1499933</v>
      </c>
      <c r="T304" s="129">
        <v>-73496695</v>
      </c>
      <c r="U304" s="129">
        <v>-2165569</v>
      </c>
      <c r="V304" s="129">
        <v>0</v>
      </c>
      <c r="W304" s="129">
        <v>-3286436</v>
      </c>
      <c r="X304" s="129">
        <v>-156601947</v>
      </c>
      <c r="Y304" s="129">
        <v>175160</v>
      </c>
      <c r="Z304" s="129">
        <v>-69869351</v>
      </c>
      <c r="AA304" s="662" t="s">
        <v>456</v>
      </c>
      <c r="AB304" s="324" t="s">
        <v>486</v>
      </c>
      <c r="AC304" s="663" t="s">
        <v>1916</v>
      </c>
      <c r="AD304" s="529" t="s">
        <v>1509</v>
      </c>
    </row>
    <row r="305" spans="1:30" ht="12.75" x14ac:dyDescent="0.2">
      <c r="A305" s="664">
        <v>298</v>
      </c>
      <c r="B305" s="665" t="s">
        <v>459</v>
      </c>
      <c r="C305" s="666" t="s">
        <v>1201</v>
      </c>
      <c r="D305" s="667" t="s">
        <v>1202</v>
      </c>
      <c r="E305" s="668" t="s">
        <v>458</v>
      </c>
      <c r="F305" s="129">
        <v>1631649</v>
      </c>
      <c r="G305" s="129">
        <v>37584119</v>
      </c>
      <c r="H305" s="129">
        <v>0</v>
      </c>
      <c r="I305" s="129">
        <v>-643407</v>
      </c>
      <c r="J305" s="129">
        <v>413774</v>
      </c>
      <c r="K305" s="129">
        <v>774150</v>
      </c>
      <c r="L305" s="129">
        <v>38128636</v>
      </c>
      <c r="M305" s="129">
        <v>0</v>
      </c>
      <c r="N305" s="129">
        <v>0</v>
      </c>
      <c r="O305" s="129">
        <v>0</v>
      </c>
      <c r="P305" s="129">
        <v>0</v>
      </c>
      <c r="Q305" s="129">
        <v>-265000</v>
      </c>
      <c r="R305" s="129">
        <v>-31423580</v>
      </c>
      <c r="S305" s="129">
        <v>-6284716</v>
      </c>
      <c r="T305" s="129">
        <v>-25138864</v>
      </c>
      <c r="U305" s="129">
        <v>-203160</v>
      </c>
      <c r="V305" s="129">
        <v>0</v>
      </c>
      <c r="W305" s="129">
        <v>-2680123</v>
      </c>
      <c r="X305" s="129">
        <v>-65995443</v>
      </c>
      <c r="Y305" s="129">
        <v>0</v>
      </c>
      <c r="Z305" s="129">
        <v>-26235158</v>
      </c>
      <c r="AA305" s="662" t="s">
        <v>458</v>
      </c>
      <c r="AB305" s="324" t="s">
        <v>532</v>
      </c>
      <c r="AC305" s="663" t="s">
        <v>1914</v>
      </c>
      <c r="AD305" s="529" t="s">
        <v>1510</v>
      </c>
    </row>
    <row r="306" spans="1:30" s="129" customFormat="1" ht="14.25" x14ac:dyDescent="0.2">
      <c r="A306" s="784">
        <v>299</v>
      </c>
      <c r="B306" s="785" t="s">
        <v>460</v>
      </c>
      <c r="C306" s="786" t="s">
        <v>486</v>
      </c>
      <c r="D306" s="787" t="s">
        <v>1202</v>
      </c>
      <c r="E306" s="788" t="s">
        <v>1866</v>
      </c>
      <c r="F306" s="129">
        <v>-9707743</v>
      </c>
      <c r="G306" s="129">
        <v>48920957</v>
      </c>
      <c r="H306" s="129">
        <v>-485237</v>
      </c>
      <c r="I306" s="129">
        <v>0</v>
      </c>
      <c r="J306" s="129">
        <v>0</v>
      </c>
      <c r="K306" s="129">
        <v>-10361000</v>
      </c>
      <c r="L306" s="129">
        <v>38074720</v>
      </c>
      <c r="M306" s="129">
        <v>0</v>
      </c>
      <c r="N306" s="129">
        <v>0</v>
      </c>
      <c r="O306" s="129">
        <v>2847030</v>
      </c>
      <c r="P306" s="129">
        <v>2847030</v>
      </c>
      <c r="Q306" s="129">
        <v>-393812</v>
      </c>
      <c r="R306" s="129">
        <v>-45039568</v>
      </c>
      <c r="S306" s="129">
        <v>-900791</v>
      </c>
      <c r="T306" s="129">
        <v>-44138776</v>
      </c>
      <c r="U306" s="129">
        <v>-253511</v>
      </c>
      <c r="V306" s="129">
        <v>0</v>
      </c>
      <c r="W306" s="129">
        <v>0</v>
      </c>
      <c r="X306" s="129">
        <v>-90726458</v>
      </c>
      <c r="Y306" s="129">
        <v>10344383</v>
      </c>
      <c r="Z306" s="129">
        <v>-49168068</v>
      </c>
      <c r="AA306" s="789" t="s">
        <v>816</v>
      </c>
      <c r="AB306" s="790" t="s">
        <v>486</v>
      </c>
      <c r="AC306" s="791" t="s">
        <v>494</v>
      </c>
      <c r="AD306" s="792" t="s">
        <v>1511</v>
      </c>
    </row>
    <row r="307" spans="1:30" ht="12.75" x14ac:dyDescent="0.2">
      <c r="A307" s="664">
        <v>300</v>
      </c>
      <c r="B307" s="665" t="s">
        <v>462</v>
      </c>
      <c r="C307" s="666" t="s">
        <v>1217</v>
      </c>
      <c r="D307" s="667" t="s">
        <v>1204</v>
      </c>
      <c r="E307" s="668" t="s">
        <v>461</v>
      </c>
      <c r="F307" s="129">
        <v>-285611</v>
      </c>
      <c r="G307" s="129">
        <v>36057230</v>
      </c>
      <c r="H307" s="129">
        <v>0</v>
      </c>
      <c r="I307" s="129">
        <v>-1909209</v>
      </c>
      <c r="J307" s="129">
        <v>121600</v>
      </c>
      <c r="K307" s="129">
        <v>-1120168</v>
      </c>
      <c r="L307" s="129">
        <v>33149453</v>
      </c>
      <c r="M307" s="129">
        <v>28715</v>
      </c>
      <c r="N307" s="129">
        <v>0</v>
      </c>
      <c r="O307" s="129">
        <v>0</v>
      </c>
      <c r="P307" s="129">
        <v>28715</v>
      </c>
      <c r="Q307" s="129">
        <v>-1060665</v>
      </c>
      <c r="R307" s="129">
        <v>0</v>
      </c>
      <c r="S307" s="129">
        <v>-724571</v>
      </c>
      <c r="T307" s="129">
        <v>-71732529</v>
      </c>
      <c r="U307" s="129">
        <v>-375143</v>
      </c>
      <c r="V307" s="129">
        <v>0</v>
      </c>
      <c r="W307" s="129">
        <v>-176760</v>
      </c>
      <c r="X307" s="129">
        <v>-74069668</v>
      </c>
      <c r="Y307" s="129">
        <v>4826009</v>
      </c>
      <c r="Z307" s="129">
        <v>-36351102</v>
      </c>
      <c r="AA307" s="662" t="s">
        <v>461</v>
      </c>
      <c r="AB307" s="324" t="s">
        <v>570</v>
      </c>
      <c r="AC307" s="663" t="s">
        <v>571</v>
      </c>
      <c r="AD307" s="529" t="s">
        <v>1512</v>
      </c>
    </row>
    <row r="308" spans="1:30" ht="12.75" x14ac:dyDescent="0.2">
      <c r="A308" s="664">
        <v>301</v>
      </c>
      <c r="B308" s="665" t="s">
        <v>464</v>
      </c>
      <c r="C308" s="666" t="s">
        <v>1201</v>
      </c>
      <c r="D308" s="667" t="s">
        <v>1202</v>
      </c>
      <c r="E308" s="668" t="s">
        <v>463</v>
      </c>
      <c r="F308" s="129">
        <v>-2062666</v>
      </c>
      <c r="G308" s="129">
        <v>28824478</v>
      </c>
      <c r="H308" s="129">
        <v>0</v>
      </c>
      <c r="I308" s="129">
        <v>115954</v>
      </c>
      <c r="J308" s="129">
        <v>2318112</v>
      </c>
      <c r="K308" s="129">
        <v>646690</v>
      </c>
      <c r="L308" s="129">
        <v>31905234</v>
      </c>
      <c r="M308" s="129">
        <v>0</v>
      </c>
      <c r="N308" s="129">
        <v>0</v>
      </c>
      <c r="O308" s="129">
        <v>0</v>
      </c>
      <c r="P308" s="129">
        <v>0</v>
      </c>
      <c r="Q308" s="129">
        <v>-24594</v>
      </c>
      <c r="R308" s="129">
        <v>-23913252</v>
      </c>
      <c r="S308" s="129">
        <v>-4782650</v>
      </c>
      <c r="T308" s="129">
        <v>-19130601</v>
      </c>
      <c r="U308" s="129">
        <v>-129869</v>
      </c>
      <c r="V308" s="129">
        <v>0</v>
      </c>
      <c r="W308" s="129">
        <v>-1374947</v>
      </c>
      <c r="X308" s="129">
        <v>-49355913</v>
      </c>
      <c r="Y308" s="129">
        <v>0</v>
      </c>
      <c r="Z308" s="129">
        <v>-19513345</v>
      </c>
      <c r="AA308" s="662" t="s">
        <v>463</v>
      </c>
      <c r="AB308" s="324" t="s">
        <v>566</v>
      </c>
      <c r="AC308" s="663" t="s">
        <v>512</v>
      </c>
      <c r="AD308" s="529" t="s">
        <v>1513</v>
      </c>
    </row>
    <row r="309" spans="1:30" ht="12.75" x14ac:dyDescent="0.2">
      <c r="A309" s="664">
        <v>302</v>
      </c>
      <c r="B309" s="665" t="s">
        <v>465</v>
      </c>
      <c r="C309" s="666" t="s">
        <v>486</v>
      </c>
      <c r="D309" s="667" t="s">
        <v>1202</v>
      </c>
      <c r="E309" s="668" t="s">
        <v>498</v>
      </c>
      <c r="F309" s="129">
        <v>-9722515</v>
      </c>
      <c r="G309" s="129">
        <v>54689958</v>
      </c>
      <c r="H309" s="129">
        <v>0</v>
      </c>
      <c r="I309" s="129">
        <v>-900000</v>
      </c>
      <c r="J309" s="129">
        <v>1700000</v>
      </c>
      <c r="K309" s="129">
        <v>-4390000</v>
      </c>
      <c r="L309" s="129">
        <v>51099958</v>
      </c>
      <c r="M309" s="129">
        <v>558848</v>
      </c>
      <c r="N309" s="129">
        <v>0</v>
      </c>
      <c r="O309" s="129">
        <v>9165946</v>
      </c>
      <c r="P309" s="129">
        <v>9724794</v>
      </c>
      <c r="Q309" s="129">
        <v>0</v>
      </c>
      <c r="R309" s="129">
        <v>-37037729</v>
      </c>
      <c r="S309" s="129">
        <v>-740755</v>
      </c>
      <c r="T309" s="129">
        <v>-36296974</v>
      </c>
      <c r="U309" s="129">
        <v>-213217</v>
      </c>
      <c r="V309" s="129">
        <v>0</v>
      </c>
      <c r="W309" s="129">
        <v>0</v>
      </c>
      <c r="X309" s="129">
        <v>-74288675</v>
      </c>
      <c r="Y309" s="129">
        <v>1665318</v>
      </c>
      <c r="Z309" s="129">
        <v>-21521120</v>
      </c>
      <c r="AA309" s="662" t="s">
        <v>498</v>
      </c>
      <c r="AB309" s="673" t="s">
        <v>486</v>
      </c>
      <c r="AC309" s="674" t="s">
        <v>494</v>
      </c>
      <c r="AD309" s="529" t="s">
        <v>1514</v>
      </c>
    </row>
    <row r="310" spans="1:30" ht="12.75" x14ac:dyDescent="0.2">
      <c r="A310" s="664">
        <v>303</v>
      </c>
      <c r="B310" s="665" t="s">
        <v>467</v>
      </c>
      <c r="C310" s="666" t="s">
        <v>1217</v>
      </c>
      <c r="D310" s="667" t="s">
        <v>1228</v>
      </c>
      <c r="E310" s="668" t="s">
        <v>466</v>
      </c>
      <c r="F310" s="129">
        <v>-938921</v>
      </c>
      <c r="G310" s="129">
        <v>43545156</v>
      </c>
      <c r="H310" s="129">
        <v>0</v>
      </c>
      <c r="I310" s="129">
        <v>-5328524</v>
      </c>
      <c r="J310" s="129">
        <v>1900460</v>
      </c>
      <c r="K310" s="129">
        <v>-4156117</v>
      </c>
      <c r="L310" s="129">
        <v>35960975</v>
      </c>
      <c r="M310" s="129">
        <v>293619</v>
      </c>
      <c r="N310" s="129">
        <v>0</v>
      </c>
      <c r="O310" s="129">
        <v>121559</v>
      </c>
      <c r="P310" s="129">
        <v>415178</v>
      </c>
      <c r="Q310" s="129">
        <v>0</v>
      </c>
      <c r="R310" s="129">
        <v>0</v>
      </c>
      <c r="S310" s="129">
        <v>-744791</v>
      </c>
      <c r="T310" s="129">
        <v>-74065249</v>
      </c>
      <c r="U310" s="129">
        <v>-290544</v>
      </c>
      <c r="V310" s="129">
        <v>0</v>
      </c>
      <c r="W310" s="129">
        <v>0</v>
      </c>
      <c r="X310" s="129">
        <v>-75100584</v>
      </c>
      <c r="Y310" s="129">
        <v>5456587</v>
      </c>
      <c r="Z310" s="129">
        <v>-34206765</v>
      </c>
      <c r="AA310" s="662" t="s">
        <v>466</v>
      </c>
      <c r="AB310" s="673" t="s">
        <v>570</v>
      </c>
      <c r="AC310" s="674" t="s">
        <v>574</v>
      </c>
      <c r="AD310" s="529" t="s">
        <v>1515</v>
      </c>
    </row>
    <row r="311" spans="1:30" ht="12.75" x14ac:dyDescent="0.2">
      <c r="A311" s="664">
        <v>304</v>
      </c>
      <c r="B311" s="665" t="s">
        <v>469</v>
      </c>
      <c r="C311" s="666" t="s">
        <v>1201</v>
      </c>
      <c r="D311" s="667" t="s">
        <v>1228</v>
      </c>
      <c r="E311" s="668" t="s">
        <v>468</v>
      </c>
      <c r="F311" s="129">
        <v>6171339</v>
      </c>
      <c r="G311" s="129">
        <v>18499820</v>
      </c>
      <c r="H311" s="129">
        <v>-507000</v>
      </c>
      <c r="I311" s="129">
        <v>0</v>
      </c>
      <c r="J311" s="129">
        <v>0</v>
      </c>
      <c r="K311" s="129">
        <v>-2220358</v>
      </c>
      <c r="L311" s="129">
        <v>15772462</v>
      </c>
      <c r="M311" s="129">
        <v>0</v>
      </c>
      <c r="N311" s="129">
        <v>0</v>
      </c>
      <c r="O311" s="129">
        <v>0</v>
      </c>
      <c r="P311" s="129">
        <v>0</v>
      </c>
      <c r="Q311" s="129">
        <v>-138550</v>
      </c>
      <c r="R311" s="129">
        <v>-20008333</v>
      </c>
      <c r="S311" s="129">
        <v>-4001667</v>
      </c>
      <c r="T311" s="129">
        <v>-16137610</v>
      </c>
      <c r="U311" s="129">
        <v>-4506</v>
      </c>
      <c r="V311" s="129">
        <v>0</v>
      </c>
      <c r="W311" s="129">
        <v>-2341156</v>
      </c>
      <c r="X311" s="129">
        <v>-42631822</v>
      </c>
      <c r="Y311" s="129">
        <v>2050795</v>
      </c>
      <c r="Z311" s="129">
        <v>-18637227</v>
      </c>
      <c r="AA311" s="662" t="s">
        <v>468</v>
      </c>
      <c r="AB311" s="673" t="s">
        <v>535</v>
      </c>
      <c r="AC311" s="674" t="s">
        <v>534</v>
      </c>
      <c r="AD311" s="529" t="s">
        <v>1516</v>
      </c>
    </row>
    <row r="312" spans="1:30" ht="12.75" x14ac:dyDescent="0.2">
      <c r="A312" s="664">
        <v>305</v>
      </c>
      <c r="B312" s="675" t="s">
        <v>471</v>
      </c>
      <c r="C312" s="666" t="s">
        <v>1201</v>
      </c>
      <c r="D312" s="667" t="s">
        <v>1202</v>
      </c>
      <c r="E312" s="668" t="s">
        <v>470</v>
      </c>
      <c r="F312" s="129">
        <v>-1678369</v>
      </c>
      <c r="G312" s="129">
        <v>14896933</v>
      </c>
      <c r="H312" s="129">
        <v>0</v>
      </c>
      <c r="I312" s="129">
        <v>45402</v>
      </c>
      <c r="J312" s="129">
        <v>0</v>
      </c>
      <c r="K312" s="129">
        <v>459946</v>
      </c>
      <c r="L312" s="129">
        <v>15402281</v>
      </c>
      <c r="M312" s="129">
        <v>23596</v>
      </c>
      <c r="N312" s="129">
        <v>0</v>
      </c>
      <c r="O312" s="129">
        <v>0</v>
      </c>
      <c r="P312" s="129">
        <v>23596</v>
      </c>
      <c r="Q312" s="129">
        <v>0</v>
      </c>
      <c r="R312" s="129">
        <v>-8140683</v>
      </c>
      <c r="S312" s="129">
        <v>-17909504</v>
      </c>
      <c r="T312" s="129">
        <v>-6512547</v>
      </c>
      <c r="U312" s="129">
        <v>-125135</v>
      </c>
      <c r="V312" s="129">
        <v>0</v>
      </c>
      <c r="W312" s="129">
        <v>-29783</v>
      </c>
      <c r="X312" s="129">
        <v>-32717652</v>
      </c>
      <c r="Y312" s="129">
        <v>1281081</v>
      </c>
      <c r="Z312" s="129">
        <v>-17689063</v>
      </c>
      <c r="AA312" s="662" t="s">
        <v>470</v>
      </c>
      <c r="AB312" s="673" t="s">
        <v>568</v>
      </c>
      <c r="AC312" s="674" t="s">
        <v>512</v>
      </c>
      <c r="AD312" s="529" t="s">
        <v>1517</v>
      </c>
    </row>
    <row r="313" spans="1:30" ht="12.75" x14ac:dyDescent="0.2">
      <c r="A313" s="664">
        <v>306</v>
      </c>
      <c r="B313" s="665" t="s">
        <v>473</v>
      </c>
      <c r="C313" s="666" t="s">
        <v>1201</v>
      </c>
      <c r="D313" s="667" t="s">
        <v>1228</v>
      </c>
      <c r="E313" s="668" t="s">
        <v>472</v>
      </c>
      <c r="F313" s="129">
        <v>8183651</v>
      </c>
      <c r="G313" s="129">
        <v>28181951</v>
      </c>
      <c r="H313" s="129">
        <v>-453895</v>
      </c>
      <c r="I313" s="129">
        <v>-1361685</v>
      </c>
      <c r="J313" s="129">
        <v>287812</v>
      </c>
      <c r="K313" s="129">
        <v>-1361189</v>
      </c>
      <c r="L313" s="129">
        <v>25292994</v>
      </c>
      <c r="M313" s="129">
        <v>0</v>
      </c>
      <c r="N313" s="129">
        <v>8917</v>
      </c>
      <c r="O313" s="129">
        <v>0</v>
      </c>
      <c r="P313" s="129">
        <v>8917</v>
      </c>
      <c r="Q313" s="129">
        <v>-437255</v>
      </c>
      <c r="R313" s="129">
        <v>-21588436</v>
      </c>
      <c r="S313" s="129">
        <v>-4317687</v>
      </c>
      <c r="T313" s="129">
        <v>-17270749</v>
      </c>
      <c r="U313" s="129">
        <v>-567083</v>
      </c>
      <c r="V313" s="129">
        <v>0</v>
      </c>
      <c r="W313" s="129">
        <v>-4256622</v>
      </c>
      <c r="X313" s="129">
        <v>-48437832</v>
      </c>
      <c r="Y313" s="129">
        <v>1290519</v>
      </c>
      <c r="Z313" s="129">
        <v>-13661751</v>
      </c>
      <c r="AA313" s="662" t="s">
        <v>472</v>
      </c>
      <c r="AB313" s="673" t="s">
        <v>535</v>
      </c>
      <c r="AC313" s="674" t="s">
        <v>534</v>
      </c>
      <c r="AD313" s="529" t="s">
        <v>1518</v>
      </c>
    </row>
    <row r="314" spans="1:30" ht="12.75" x14ac:dyDescent="0.2">
      <c r="A314" s="664">
        <v>307</v>
      </c>
      <c r="B314" s="665" t="s">
        <v>475</v>
      </c>
      <c r="C314" s="666" t="s">
        <v>1201</v>
      </c>
      <c r="D314" s="667" t="s">
        <v>1204</v>
      </c>
      <c r="E314" s="668" t="s">
        <v>474</v>
      </c>
      <c r="F314" s="129">
        <v>-570589</v>
      </c>
      <c r="G314" s="129">
        <v>13532871</v>
      </c>
      <c r="H314" s="129">
        <v>0</v>
      </c>
      <c r="I314" s="129">
        <v>-51539</v>
      </c>
      <c r="J314" s="129">
        <v>1109126</v>
      </c>
      <c r="K314" s="129">
        <v>-1292807</v>
      </c>
      <c r="L314" s="129">
        <v>13297651</v>
      </c>
      <c r="M314" s="129">
        <v>0</v>
      </c>
      <c r="N314" s="129">
        <v>0</v>
      </c>
      <c r="O314" s="129">
        <v>301663</v>
      </c>
      <c r="P314" s="129">
        <v>301663</v>
      </c>
      <c r="Q314" s="129">
        <v>-819701</v>
      </c>
      <c r="R314" s="129">
        <v>-12456705</v>
      </c>
      <c r="S314" s="129">
        <v>-2491341</v>
      </c>
      <c r="T314" s="129">
        <v>-9965364</v>
      </c>
      <c r="U314" s="129">
        <v>-147810</v>
      </c>
      <c r="V314" s="129">
        <v>0</v>
      </c>
      <c r="W314" s="129">
        <v>0</v>
      </c>
      <c r="X314" s="129">
        <v>-25880921</v>
      </c>
      <c r="Y314" s="129">
        <v>0</v>
      </c>
      <c r="Z314" s="129">
        <v>-12852196</v>
      </c>
      <c r="AA314" s="662" t="s">
        <v>474</v>
      </c>
      <c r="AB314" s="673" t="s">
        <v>547</v>
      </c>
      <c r="AC314" s="674" t="s">
        <v>545</v>
      </c>
      <c r="AD314" s="529" t="s">
        <v>1519</v>
      </c>
    </row>
    <row r="315" spans="1:30" ht="12.75" x14ac:dyDescent="0.2">
      <c r="A315" s="664">
        <v>308</v>
      </c>
      <c r="B315" s="665" t="s">
        <v>477</v>
      </c>
      <c r="C315" s="666" t="s">
        <v>1201</v>
      </c>
      <c r="D315" s="667" t="s">
        <v>1228</v>
      </c>
      <c r="E315" s="668" t="s">
        <v>476</v>
      </c>
      <c r="F315" s="129">
        <v>3790811</v>
      </c>
      <c r="G315" s="129">
        <v>11887126</v>
      </c>
      <c r="H315" s="129">
        <v>0</v>
      </c>
      <c r="I315" s="129">
        <v>-513300</v>
      </c>
      <c r="J315" s="129">
        <v>809859</v>
      </c>
      <c r="K315" s="129">
        <v>-5170680</v>
      </c>
      <c r="L315" s="129">
        <v>7013005</v>
      </c>
      <c r="M315" s="129">
        <v>17843</v>
      </c>
      <c r="N315" s="129">
        <v>0</v>
      </c>
      <c r="O315" s="129">
        <v>0</v>
      </c>
      <c r="P315" s="129">
        <v>17843</v>
      </c>
      <c r="Q315" s="129">
        <v>0</v>
      </c>
      <c r="R315" s="129">
        <v>-13761644</v>
      </c>
      <c r="S315" s="129">
        <v>-2752329</v>
      </c>
      <c r="T315" s="129">
        <v>-11009315</v>
      </c>
      <c r="U315" s="129">
        <v>-131891</v>
      </c>
      <c r="V315" s="129">
        <v>0</v>
      </c>
      <c r="W315" s="129">
        <v>-1275396</v>
      </c>
      <c r="X315" s="129">
        <v>-28930575</v>
      </c>
      <c r="Y315" s="129">
        <v>3252553</v>
      </c>
      <c r="Z315" s="129">
        <v>-14856363</v>
      </c>
      <c r="AA315" s="662" t="s">
        <v>476</v>
      </c>
      <c r="AB315" s="673" t="s">
        <v>535</v>
      </c>
      <c r="AC315" s="674" t="s">
        <v>534</v>
      </c>
      <c r="AD315" s="529" t="s">
        <v>1520</v>
      </c>
    </row>
    <row r="316" spans="1:30" ht="13.5" thickBot="1" x14ac:dyDescent="0.25">
      <c r="A316" s="664">
        <v>309</v>
      </c>
      <c r="B316" s="665" t="s">
        <v>479</v>
      </c>
      <c r="C316" s="666" t="s">
        <v>486</v>
      </c>
      <c r="D316" s="667" t="s">
        <v>1218</v>
      </c>
      <c r="E316" s="668" t="s">
        <v>554</v>
      </c>
      <c r="F316" s="129">
        <v>-785499</v>
      </c>
      <c r="G316" s="129">
        <v>38017199</v>
      </c>
      <c r="H316" s="129">
        <v>0</v>
      </c>
      <c r="I316" s="129">
        <v>-600000</v>
      </c>
      <c r="J316" s="129">
        <v>1000000</v>
      </c>
      <c r="K316" s="129">
        <v>-2000000</v>
      </c>
      <c r="L316" s="129">
        <v>36417199</v>
      </c>
      <c r="M316" s="129">
        <v>0</v>
      </c>
      <c r="N316" s="129">
        <v>0</v>
      </c>
      <c r="O316" s="129">
        <v>0</v>
      </c>
      <c r="P316" s="129">
        <v>0</v>
      </c>
      <c r="Q316" s="129">
        <v>-397851</v>
      </c>
      <c r="R316" s="129">
        <v>-52223712</v>
      </c>
      <c r="S316" s="129">
        <v>-1044474</v>
      </c>
      <c r="T316" s="129">
        <v>-51179238</v>
      </c>
      <c r="U316" s="129">
        <v>-573189</v>
      </c>
      <c r="V316" s="129">
        <v>0</v>
      </c>
      <c r="W316" s="129">
        <v>-91307</v>
      </c>
      <c r="X316" s="129">
        <v>-105509771</v>
      </c>
      <c r="Y316" s="129">
        <v>634213</v>
      </c>
      <c r="Z316" s="129">
        <v>-69243858</v>
      </c>
      <c r="AA316" s="662" t="s">
        <v>554</v>
      </c>
      <c r="AB316" s="673" t="s">
        <v>486</v>
      </c>
      <c r="AC316" s="674" t="s">
        <v>555</v>
      </c>
      <c r="AD316" s="529" t="s">
        <v>1521</v>
      </c>
    </row>
    <row r="317" spans="1:30" ht="13.5" thickBot="1" x14ac:dyDescent="0.25">
      <c r="A317" s="677">
        <v>310</v>
      </c>
      <c r="B317" s="676" t="s">
        <v>480</v>
      </c>
      <c r="C317" s="677"/>
      <c r="D317" s="678" t="s">
        <v>1211</v>
      </c>
      <c r="E317" s="679" t="s">
        <v>1524</v>
      </c>
      <c r="F317" s="795">
        <f>SUM(F8:F316)</f>
        <v>300147137</v>
      </c>
      <c r="G317" s="795">
        <f t="shared" ref="G317:Z317" si="0">SUM(G8:G316)</f>
        <v>15416092204</v>
      </c>
      <c r="H317" s="795">
        <f t="shared" si="0"/>
        <v>-52006187</v>
      </c>
      <c r="I317" s="795">
        <f t="shared" si="0"/>
        <v>-646601092</v>
      </c>
      <c r="J317" s="795">
        <f t="shared" si="0"/>
        <v>482514271</v>
      </c>
      <c r="K317" s="795">
        <f t="shared" si="0"/>
        <v>-1464141003</v>
      </c>
      <c r="L317" s="795">
        <f t="shared" si="0"/>
        <v>13735858193</v>
      </c>
      <c r="M317" s="795">
        <f t="shared" si="0"/>
        <v>53188210</v>
      </c>
      <c r="N317" s="795">
        <f t="shared" si="0"/>
        <v>5270593</v>
      </c>
      <c r="O317" s="795">
        <f t="shared" si="0"/>
        <v>257621884</v>
      </c>
      <c r="P317" s="795">
        <f t="shared" si="0"/>
        <v>316080687</v>
      </c>
      <c r="Q317" s="795">
        <f t="shared" si="0"/>
        <v>-179661997</v>
      </c>
      <c r="R317" s="795">
        <f t="shared" si="0"/>
        <v>-9673400720</v>
      </c>
      <c r="S317" s="795">
        <f t="shared" si="0"/>
        <v>-4214089493</v>
      </c>
      <c r="T317" s="795">
        <f t="shared" si="0"/>
        <v>-11730201521</v>
      </c>
      <c r="U317" s="795">
        <f t="shared" si="0"/>
        <v>-236117281</v>
      </c>
      <c r="V317" s="795">
        <f t="shared" si="0"/>
        <v>-22952757</v>
      </c>
      <c r="W317" s="795">
        <f t="shared" si="0"/>
        <v>-620555570</v>
      </c>
      <c r="X317" s="795">
        <f t="shared" si="0"/>
        <v>-26676979339</v>
      </c>
      <c r="Y317" s="795">
        <f t="shared" si="0"/>
        <v>1130856068</v>
      </c>
      <c r="Z317" s="795">
        <f t="shared" si="0"/>
        <v>-11194037255</v>
      </c>
      <c r="AA317" s="681" t="s">
        <v>1522</v>
      </c>
      <c r="AB317" s="682" t="s">
        <v>1523</v>
      </c>
      <c r="AC317" s="683" t="s">
        <v>484</v>
      </c>
    </row>
    <row r="318" spans="1:30" x14ac:dyDescent="0.2">
      <c r="D318" s="684"/>
      <c r="E318" s="685"/>
    </row>
    <row r="319" spans="1:30" x14ac:dyDescent="0.2">
      <c r="A319" s="686"/>
      <c r="D319" s="685" t="s">
        <v>1870</v>
      </c>
      <c r="E319" s="685"/>
    </row>
  </sheetData>
  <autoFilter ref="A7:AD7" xr:uid="{73321416-1A84-4E82-9DC7-1FD29977CED6}"/>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AEC54-F9C4-4AF1-A9EC-A931D6D72751}">
  <sheetPr codeName="Sheet12"/>
  <dimension ref="A1:AZ319"/>
  <sheetViews>
    <sheetView workbookViewId="0">
      <pane xSplit="5" ySplit="7" topLeftCell="F8" activePane="bottomRight" state="frozen"/>
      <selection pane="topRight" activeCell="F1" sqref="F1"/>
      <selection pane="bottomLeft" activeCell="A8" sqref="A8"/>
      <selection pane="bottomRight"/>
    </sheetView>
  </sheetViews>
  <sheetFormatPr defaultRowHeight="15" x14ac:dyDescent="0.2"/>
  <cols>
    <col min="1" max="1" width="7.85546875" style="647" customWidth="1"/>
    <col min="2" max="2" width="8.42578125" style="9" customWidth="1"/>
    <col min="3" max="3" width="6.7109375" style="9" customWidth="1"/>
    <col min="4" max="4" width="8.140625" style="9" customWidth="1"/>
    <col min="5" max="5" width="30.7109375" style="9" customWidth="1"/>
    <col min="6" max="6" width="14.42578125" bestFit="1" customWidth="1"/>
    <col min="7" max="9" width="12.42578125" customWidth="1"/>
    <col min="10" max="10" width="13.140625" customWidth="1"/>
    <col min="11" max="13" width="12.42578125" customWidth="1"/>
    <col min="14" max="37" width="12.42578125" style="528" customWidth="1"/>
    <col min="38" max="48" width="12.42578125" customWidth="1"/>
    <col min="49" max="49" width="31.42578125" style="529" bestFit="1" customWidth="1"/>
    <col min="50" max="50" width="23.28515625" style="529" bestFit="1" customWidth="1"/>
    <col min="51" max="51" width="33" style="529" bestFit="1" customWidth="1"/>
    <col min="52" max="52" width="10.28515625" style="529" bestFit="1" customWidth="1"/>
  </cols>
  <sheetData>
    <row r="1" spans="1:52" ht="13.5" thickBot="1" x14ac:dyDescent="0.25">
      <c r="A1" s="721"/>
      <c r="B1" s="722"/>
      <c r="C1" s="723"/>
      <c r="D1" s="724"/>
      <c r="E1" s="737"/>
      <c r="F1" s="688"/>
      <c r="G1" s="688"/>
      <c r="H1" s="688"/>
      <c r="I1" s="688"/>
      <c r="J1" s="688"/>
      <c r="K1" s="688"/>
      <c r="L1" s="688"/>
      <c r="M1" s="688"/>
      <c r="N1" s="688"/>
      <c r="O1" s="688"/>
      <c r="P1" s="688"/>
      <c r="Q1" s="688"/>
      <c r="R1" s="688"/>
      <c r="S1" s="688"/>
      <c r="T1" s="688"/>
      <c r="U1" s="688"/>
      <c r="V1" s="688"/>
      <c r="W1" s="688"/>
      <c r="X1" s="688"/>
      <c r="Y1" s="688"/>
      <c r="Z1" s="688"/>
      <c r="AA1" s="688"/>
      <c r="AB1" s="688"/>
      <c r="AC1" s="688"/>
      <c r="AD1" s="688"/>
      <c r="AE1" s="688"/>
      <c r="AF1" s="688"/>
      <c r="AG1" s="688"/>
      <c r="AH1" s="688"/>
      <c r="AI1" s="688"/>
      <c r="AJ1" s="688"/>
      <c r="AK1" s="688"/>
      <c r="AL1" s="688"/>
      <c r="AM1" s="688"/>
      <c r="AN1" s="688"/>
      <c r="AO1" s="688"/>
      <c r="AP1" s="688"/>
      <c r="AQ1" s="688"/>
      <c r="AR1" s="688"/>
      <c r="AS1" s="688"/>
      <c r="AT1" s="688"/>
      <c r="AU1" s="688"/>
      <c r="AV1" s="688"/>
      <c r="AW1" s="688"/>
      <c r="AX1" s="688"/>
      <c r="AY1" s="688"/>
      <c r="AZ1" s="688"/>
    </row>
    <row r="2" spans="1:52" ht="102.75" thickBot="1" x14ac:dyDescent="0.25">
      <c r="A2" s="691"/>
      <c r="B2" s="692"/>
      <c r="C2" s="693"/>
      <c r="D2" s="694"/>
      <c r="E2" s="694"/>
      <c r="F2" s="695" t="s">
        <v>1846</v>
      </c>
      <c r="G2" s="689" t="s">
        <v>1847</v>
      </c>
      <c r="H2" s="689" t="s">
        <v>1167</v>
      </c>
      <c r="I2" s="689" t="s">
        <v>1848</v>
      </c>
      <c r="J2" s="689" t="s">
        <v>1849</v>
      </c>
      <c r="K2" s="689" t="s">
        <v>1850</v>
      </c>
      <c r="L2" s="689" t="s">
        <v>1113</v>
      </c>
      <c r="M2" s="689" t="s">
        <v>1851</v>
      </c>
      <c r="N2" s="1029" t="s">
        <v>1117</v>
      </c>
      <c r="O2" s="1029"/>
      <c r="P2" s="1029"/>
      <c r="Q2" s="1029"/>
      <c r="R2" s="1029"/>
      <c r="S2" s="1029" t="s">
        <v>1140</v>
      </c>
      <c r="T2" s="1029"/>
      <c r="U2" s="1029"/>
      <c r="V2" s="1029"/>
      <c r="W2" s="1029"/>
      <c r="X2" s="1029" t="s">
        <v>1118</v>
      </c>
      <c r="Y2" s="1029"/>
      <c r="Z2" s="1029"/>
      <c r="AA2" s="1029"/>
      <c r="AB2" s="1029"/>
      <c r="AC2" s="1029" t="s">
        <v>1141</v>
      </c>
      <c r="AD2" s="1029"/>
      <c r="AE2" s="1029"/>
      <c r="AF2" s="1029"/>
      <c r="AG2" s="1029"/>
      <c r="AH2" s="1029" t="s">
        <v>1131</v>
      </c>
      <c r="AI2" s="1029"/>
      <c r="AJ2" s="1029"/>
      <c r="AK2" s="1029"/>
      <c r="AL2" s="1029"/>
      <c r="AM2" s="1029" t="s">
        <v>1119</v>
      </c>
      <c r="AN2" s="1029"/>
      <c r="AO2" s="1029"/>
      <c r="AP2" s="1029"/>
      <c r="AQ2" s="1029"/>
      <c r="AR2" s="1029" t="s">
        <v>1116</v>
      </c>
      <c r="AS2" s="1029"/>
      <c r="AT2" s="1029"/>
      <c r="AU2" s="1029"/>
      <c r="AV2" s="1029"/>
      <c r="AW2" s="689"/>
      <c r="AX2" s="689"/>
      <c r="AY2" s="696" t="s">
        <v>1197</v>
      </c>
      <c r="AZ2" s="697" t="s">
        <v>1198</v>
      </c>
    </row>
    <row r="3" spans="1:52" ht="12.75" x14ac:dyDescent="0.2">
      <c r="A3" s="698">
        <v>1</v>
      </c>
      <c r="B3" s="699">
        <v>2</v>
      </c>
      <c r="C3" s="699">
        <v>3</v>
      </c>
      <c r="D3" s="700">
        <v>4</v>
      </c>
      <c r="E3" s="698">
        <v>5</v>
      </c>
      <c r="F3" s="699">
        <v>6</v>
      </c>
      <c r="G3" s="699">
        <v>7</v>
      </c>
      <c r="H3" s="699">
        <v>8</v>
      </c>
      <c r="I3" s="699">
        <v>9</v>
      </c>
      <c r="J3" s="699">
        <v>10</v>
      </c>
      <c r="K3" s="699">
        <v>11</v>
      </c>
      <c r="L3" s="699">
        <v>12</v>
      </c>
      <c r="M3" s="699">
        <v>13</v>
      </c>
      <c r="N3" s="699">
        <v>14</v>
      </c>
      <c r="O3" s="699">
        <v>15</v>
      </c>
      <c r="P3" s="699">
        <v>16</v>
      </c>
      <c r="Q3" s="699">
        <v>17</v>
      </c>
      <c r="R3" s="699">
        <v>18</v>
      </c>
      <c r="S3" s="699">
        <v>19</v>
      </c>
      <c r="T3" s="699">
        <v>20</v>
      </c>
      <c r="U3" s="699">
        <v>21</v>
      </c>
      <c r="V3" s="699">
        <v>22</v>
      </c>
      <c r="W3" s="699">
        <v>23</v>
      </c>
      <c r="X3" s="699">
        <v>24</v>
      </c>
      <c r="Y3" s="699">
        <v>25</v>
      </c>
      <c r="Z3" s="699">
        <v>26</v>
      </c>
      <c r="AA3" s="699">
        <v>27</v>
      </c>
      <c r="AB3" s="699">
        <v>28</v>
      </c>
      <c r="AC3" s="699">
        <v>29</v>
      </c>
      <c r="AD3" s="699">
        <v>30</v>
      </c>
      <c r="AE3" s="699">
        <v>31</v>
      </c>
      <c r="AF3" s="699">
        <v>32</v>
      </c>
      <c r="AG3" s="699">
        <v>33</v>
      </c>
      <c r="AH3" s="699">
        <v>34</v>
      </c>
      <c r="AI3" s="699">
        <v>35</v>
      </c>
      <c r="AJ3" s="699">
        <v>36</v>
      </c>
      <c r="AK3" s="699">
        <v>37</v>
      </c>
      <c r="AL3" s="699">
        <v>38</v>
      </c>
      <c r="AM3" s="699">
        <v>39</v>
      </c>
      <c r="AN3" s="699">
        <v>40</v>
      </c>
      <c r="AO3" s="699">
        <v>41</v>
      </c>
      <c r="AP3" s="699">
        <v>42</v>
      </c>
      <c r="AQ3" s="699">
        <v>43</v>
      </c>
      <c r="AR3" s="699">
        <v>44</v>
      </c>
      <c r="AS3" s="699">
        <v>45</v>
      </c>
      <c r="AT3" s="699">
        <v>46</v>
      </c>
      <c r="AU3" s="699">
        <v>47</v>
      </c>
      <c r="AV3" s="699">
        <v>48</v>
      </c>
      <c r="AW3" s="699">
        <v>49</v>
      </c>
      <c r="AX3" s="699">
        <v>50</v>
      </c>
      <c r="AY3" s="699">
        <v>51</v>
      </c>
      <c r="AZ3" s="688"/>
    </row>
    <row r="4" spans="1:52" ht="12.75" x14ac:dyDescent="0.2">
      <c r="A4" s="698"/>
      <c r="B4" s="704"/>
      <c r="C4" s="705"/>
      <c r="D4" s="706"/>
      <c r="E4" s="745"/>
      <c r="F4" s="705"/>
      <c r="G4" s="705"/>
      <c r="H4" s="705"/>
      <c r="I4" s="705"/>
      <c r="J4" s="705"/>
      <c r="K4" s="705"/>
      <c r="L4" s="705"/>
      <c r="M4" s="705"/>
      <c r="N4" s="705"/>
      <c r="O4" s="705"/>
      <c r="P4" s="705"/>
      <c r="Q4" s="705"/>
      <c r="R4" s="705"/>
      <c r="S4" s="705"/>
      <c r="T4" s="705"/>
      <c r="U4" s="705"/>
      <c r="V4" s="705"/>
      <c r="W4" s="705"/>
      <c r="X4" s="705"/>
      <c r="Y4" s="705"/>
      <c r="Z4" s="705"/>
      <c r="AA4" s="705"/>
      <c r="AB4" s="705"/>
      <c r="AC4" s="705"/>
      <c r="AD4" s="705"/>
      <c r="AE4" s="705"/>
      <c r="AF4" s="705"/>
      <c r="AG4" s="705"/>
      <c r="AH4" s="705"/>
      <c r="AI4" s="705"/>
      <c r="AJ4" s="705"/>
      <c r="AK4" s="705"/>
      <c r="AL4" s="705"/>
      <c r="AM4" s="705"/>
      <c r="AN4" s="705"/>
      <c r="AO4" s="705"/>
      <c r="AP4" s="705"/>
      <c r="AQ4" s="705"/>
      <c r="AR4" s="705"/>
      <c r="AS4" s="705"/>
      <c r="AT4" s="705"/>
      <c r="AU4" s="705"/>
      <c r="AV4" s="705"/>
      <c r="AW4" s="688"/>
      <c r="AX4" s="688"/>
      <c r="AY4" s="710"/>
      <c r="AZ4" s="688"/>
    </row>
    <row r="5" spans="1:52" ht="12.75" x14ac:dyDescent="0.2">
      <c r="A5" s="698"/>
      <c r="B5" s="711" t="s">
        <v>626</v>
      </c>
      <c r="C5" s="711" t="s">
        <v>1199</v>
      </c>
      <c r="D5" s="712" t="s">
        <v>1200</v>
      </c>
      <c r="E5" s="746" t="s">
        <v>625</v>
      </c>
      <c r="F5" s="705"/>
      <c r="G5" s="705"/>
      <c r="H5" s="705"/>
      <c r="I5" s="705"/>
      <c r="J5" s="705"/>
      <c r="K5" s="705"/>
      <c r="L5" s="705"/>
      <c r="M5" s="705"/>
      <c r="N5" s="705"/>
      <c r="O5" s="705"/>
      <c r="P5" s="705"/>
      <c r="Q5" s="705"/>
      <c r="R5" s="705"/>
      <c r="S5" s="705"/>
      <c r="T5" s="705"/>
      <c r="U5" s="705"/>
      <c r="V5" s="705"/>
      <c r="W5" s="705"/>
      <c r="X5" s="705"/>
      <c r="Y5" s="705"/>
      <c r="Z5" s="705"/>
      <c r="AA5" s="705"/>
      <c r="AB5" s="705"/>
      <c r="AC5" s="705"/>
      <c r="AD5" s="705"/>
      <c r="AE5" s="705"/>
      <c r="AF5" s="705"/>
      <c r="AG5" s="705"/>
      <c r="AH5" s="705"/>
      <c r="AI5" s="705"/>
      <c r="AJ5" s="705"/>
      <c r="AK5" s="705"/>
      <c r="AL5" s="705"/>
      <c r="AM5" s="705"/>
      <c r="AN5" s="705"/>
      <c r="AO5" s="705"/>
      <c r="AP5" s="705"/>
      <c r="AQ5" s="705"/>
      <c r="AR5" s="705"/>
      <c r="AS5" s="705"/>
      <c r="AT5" s="705"/>
      <c r="AU5" s="705"/>
      <c r="AV5" s="705"/>
      <c r="AW5" s="713"/>
      <c r="AX5" s="713"/>
      <c r="AY5" s="714"/>
      <c r="AZ5" s="688"/>
    </row>
    <row r="6" spans="1:52" ht="13.5" thickBot="1" x14ac:dyDescent="0.25">
      <c r="A6" s="715"/>
      <c r="B6" s="716"/>
      <c r="C6" s="717"/>
      <c r="D6" s="718"/>
      <c r="E6" s="747"/>
      <c r="F6" s="705"/>
      <c r="G6" s="705"/>
      <c r="H6" s="705"/>
      <c r="I6" s="705"/>
      <c r="J6" s="705"/>
      <c r="K6" s="705"/>
      <c r="L6" s="705"/>
      <c r="M6" s="705"/>
      <c r="N6" s="705"/>
      <c r="O6" s="705"/>
      <c r="P6" s="705"/>
      <c r="Q6" s="705"/>
      <c r="R6" s="705"/>
      <c r="S6" s="705"/>
      <c r="T6" s="705"/>
      <c r="U6" s="705"/>
      <c r="V6" s="705"/>
      <c r="W6" s="705"/>
      <c r="X6" s="705"/>
      <c r="Y6" s="705"/>
      <c r="Z6" s="705"/>
      <c r="AA6" s="705"/>
      <c r="AB6" s="705"/>
      <c r="AC6" s="705"/>
      <c r="AD6" s="705"/>
      <c r="AE6" s="705"/>
      <c r="AF6" s="705"/>
      <c r="AG6" s="705"/>
      <c r="AH6" s="705"/>
      <c r="AI6" s="705"/>
      <c r="AJ6" s="705"/>
      <c r="AK6" s="705"/>
      <c r="AL6" s="705"/>
      <c r="AM6" s="705"/>
      <c r="AN6" s="705"/>
      <c r="AO6" s="705"/>
      <c r="AP6" s="705"/>
      <c r="AQ6" s="705"/>
      <c r="AR6" s="705"/>
      <c r="AS6" s="705"/>
      <c r="AT6" s="705"/>
      <c r="AU6" s="705"/>
      <c r="AV6" s="705"/>
      <c r="AW6" s="713"/>
      <c r="AX6" s="713"/>
      <c r="AY6" s="714"/>
      <c r="AZ6" s="688"/>
    </row>
    <row r="7" spans="1:52" ht="13.5" thickBot="1" x14ac:dyDescent="0.25">
      <c r="A7" s="730"/>
      <c r="B7" s="731"/>
      <c r="C7" s="732"/>
      <c r="D7" s="733"/>
      <c r="E7" s="748"/>
      <c r="F7" s="732"/>
      <c r="G7" s="732"/>
      <c r="H7" s="732"/>
      <c r="I7" s="732"/>
      <c r="J7" s="732"/>
      <c r="K7" s="732"/>
      <c r="L7" s="732"/>
      <c r="M7" s="732"/>
      <c r="N7" s="732"/>
      <c r="O7" s="732"/>
      <c r="P7" s="732"/>
      <c r="Q7" s="732"/>
      <c r="R7" s="732"/>
      <c r="S7" s="732"/>
      <c r="T7" s="732"/>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c r="AT7" s="732"/>
      <c r="AU7" s="732"/>
      <c r="AV7" s="732"/>
      <c r="AW7" s="654">
        <v>105</v>
      </c>
      <c r="AX7" s="654">
        <v>106</v>
      </c>
      <c r="AY7" s="654">
        <v>107</v>
      </c>
      <c r="AZ7" s="654">
        <v>108</v>
      </c>
    </row>
    <row r="8" spans="1:52" ht="12.75" x14ac:dyDescent="0.2">
      <c r="A8" s="657">
        <v>1</v>
      </c>
      <c r="B8" s="658" t="s">
        <v>628</v>
      </c>
      <c r="C8" s="659" t="s">
        <v>1201</v>
      </c>
      <c r="D8" s="660" t="s">
        <v>1202</v>
      </c>
      <c r="E8" s="661" t="s">
        <v>627</v>
      </c>
      <c r="F8" s="129">
        <v>-10392410</v>
      </c>
      <c r="G8" s="129">
        <v>-335873</v>
      </c>
      <c r="H8" s="129">
        <v>9371712</v>
      </c>
      <c r="I8" s="129">
        <v>294489</v>
      </c>
      <c r="J8" s="129">
        <v>9077223</v>
      </c>
      <c r="K8" s="129">
        <v>-979314</v>
      </c>
      <c r="L8" s="129">
        <v>652876</v>
      </c>
      <c r="M8" s="129">
        <v>-9739534</v>
      </c>
      <c r="N8" s="755">
        <v>0.25</v>
      </c>
      <c r="O8" s="755">
        <v>0.2</v>
      </c>
      <c r="P8" s="755">
        <v>0.55000000000000004</v>
      </c>
      <c r="Q8" s="755">
        <v>0</v>
      </c>
      <c r="R8" s="755">
        <v>1</v>
      </c>
      <c r="S8" s="129">
        <v>-83968</v>
      </c>
      <c r="T8" s="129">
        <v>-67175</v>
      </c>
      <c r="U8" s="129">
        <v>-184730</v>
      </c>
      <c r="V8" s="129">
        <v>0</v>
      </c>
      <c r="W8" s="129">
        <v>-335873</v>
      </c>
      <c r="X8" s="755">
        <v>0.5</v>
      </c>
      <c r="Y8" s="755">
        <v>0.4</v>
      </c>
      <c r="Z8" s="755">
        <v>0.1</v>
      </c>
      <c r="AA8" s="755">
        <v>0</v>
      </c>
      <c r="AB8" s="755">
        <v>1</v>
      </c>
      <c r="AC8" s="129">
        <v>-4538612</v>
      </c>
      <c r="AD8" s="129">
        <v>-3630889</v>
      </c>
      <c r="AE8" s="129">
        <v>-907722</v>
      </c>
      <c r="AF8" s="129">
        <v>0</v>
      </c>
      <c r="AG8" s="129">
        <v>-9077223</v>
      </c>
      <c r="AH8" s="755">
        <v>0.5</v>
      </c>
      <c r="AI8" s="755">
        <v>0.4</v>
      </c>
      <c r="AJ8" s="755">
        <v>0.1</v>
      </c>
      <c r="AK8" s="755">
        <v>0</v>
      </c>
      <c r="AL8" s="755">
        <v>1</v>
      </c>
      <c r="AM8" s="129">
        <v>-163219</v>
      </c>
      <c r="AN8" s="129">
        <v>-130575</v>
      </c>
      <c r="AO8" s="129">
        <v>-32644</v>
      </c>
      <c r="AP8" s="129">
        <v>0</v>
      </c>
      <c r="AQ8" s="129">
        <v>-326438</v>
      </c>
      <c r="AR8" s="129">
        <v>-4785799</v>
      </c>
      <c r="AS8" s="129">
        <v>-3828639</v>
      </c>
      <c r="AT8" s="129">
        <v>-1125096</v>
      </c>
      <c r="AU8" s="129">
        <v>0</v>
      </c>
      <c r="AV8" s="129">
        <v>-9739534</v>
      </c>
      <c r="AW8" s="662" t="s">
        <v>627</v>
      </c>
      <c r="AX8" s="324" t="s">
        <v>568</v>
      </c>
      <c r="AY8" s="663" t="s">
        <v>512</v>
      </c>
      <c r="AZ8" s="529" t="s">
        <v>1203</v>
      </c>
    </row>
    <row r="9" spans="1:52" ht="12.75" x14ac:dyDescent="0.2">
      <c r="A9" s="664">
        <v>2</v>
      </c>
      <c r="B9" s="665" t="s">
        <v>630</v>
      </c>
      <c r="C9" s="666" t="s">
        <v>1201</v>
      </c>
      <c r="D9" s="667" t="s">
        <v>1204</v>
      </c>
      <c r="E9" s="668" t="s">
        <v>629</v>
      </c>
      <c r="F9" s="129">
        <v>-15348798</v>
      </c>
      <c r="G9" s="129">
        <v>-79018</v>
      </c>
      <c r="H9" s="129">
        <v>16442744</v>
      </c>
      <c r="I9" s="129">
        <v>1037819</v>
      </c>
      <c r="J9" s="129">
        <v>15404925</v>
      </c>
      <c r="K9" s="129">
        <v>135145</v>
      </c>
      <c r="L9" s="129">
        <v>0</v>
      </c>
      <c r="M9" s="129">
        <v>-15348798</v>
      </c>
      <c r="N9" s="755">
        <v>0.5</v>
      </c>
      <c r="O9" s="755">
        <v>0.4</v>
      </c>
      <c r="P9" s="755">
        <v>0.1</v>
      </c>
      <c r="Q9" s="755">
        <v>0</v>
      </c>
      <c r="R9" s="755">
        <v>1</v>
      </c>
      <c r="S9" s="129">
        <v>-39509</v>
      </c>
      <c r="T9" s="129">
        <v>-31607</v>
      </c>
      <c r="U9" s="129">
        <v>-7902</v>
      </c>
      <c r="V9" s="129">
        <v>0</v>
      </c>
      <c r="W9" s="129">
        <v>-79018</v>
      </c>
      <c r="X9" s="755">
        <v>0.5</v>
      </c>
      <c r="Y9" s="755">
        <v>0.4</v>
      </c>
      <c r="Z9" s="755">
        <v>0.1</v>
      </c>
      <c r="AA9" s="755">
        <v>0</v>
      </c>
      <c r="AB9" s="755">
        <v>1</v>
      </c>
      <c r="AC9" s="129">
        <v>-7634890</v>
      </c>
      <c r="AD9" s="129">
        <v>-6107912</v>
      </c>
      <c r="AE9" s="129">
        <v>-1526978</v>
      </c>
      <c r="AF9" s="129">
        <v>0</v>
      </c>
      <c r="AG9" s="129">
        <v>-15269780</v>
      </c>
      <c r="AH9" s="755">
        <v>0.5</v>
      </c>
      <c r="AI9" s="755">
        <v>0.4</v>
      </c>
      <c r="AJ9" s="755">
        <v>0.1</v>
      </c>
      <c r="AK9" s="755">
        <v>0</v>
      </c>
      <c r="AL9" s="755">
        <v>1</v>
      </c>
      <c r="AM9" s="129">
        <v>0</v>
      </c>
      <c r="AN9" s="129">
        <v>0</v>
      </c>
      <c r="AO9" s="129">
        <v>0</v>
      </c>
      <c r="AP9" s="129">
        <v>0</v>
      </c>
      <c r="AQ9" s="129">
        <v>0</v>
      </c>
      <c r="AR9" s="129">
        <v>-7674399</v>
      </c>
      <c r="AS9" s="129">
        <v>-6139519</v>
      </c>
      <c r="AT9" s="129">
        <v>-1534880</v>
      </c>
      <c r="AU9" s="129">
        <v>0</v>
      </c>
      <c r="AV9" s="129">
        <v>-15348798</v>
      </c>
      <c r="AW9" s="662" t="s">
        <v>629</v>
      </c>
      <c r="AX9" s="324" t="s">
        <v>513</v>
      </c>
      <c r="AY9" s="663" t="s">
        <v>512</v>
      </c>
      <c r="AZ9" s="529" t="s">
        <v>1205</v>
      </c>
    </row>
    <row r="10" spans="1:52" ht="12.75" x14ac:dyDescent="0.2">
      <c r="A10" s="664">
        <v>3</v>
      </c>
      <c r="B10" s="665" t="s">
        <v>632</v>
      </c>
      <c r="C10" s="666" t="s">
        <v>1201</v>
      </c>
      <c r="D10" s="667" t="s">
        <v>1206</v>
      </c>
      <c r="E10" s="668" t="s">
        <v>631</v>
      </c>
      <c r="F10" s="129">
        <v>-10060854</v>
      </c>
      <c r="G10" s="129">
        <v>356060</v>
      </c>
      <c r="H10" s="129">
        <v>11543345</v>
      </c>
      <c r="I10" s="129">
        <v>644703</v>
      </c>
      <c r="J10" s="129">
        <v>10898642</v>
      </c>
      <c r="K10" s="129">
        <v>481728</v>
      </c>
      <c r="L10" s="129">
        <v>0</v>
      </c>
      <c r="M10" s="129">
        <v>-10060854</v>
      </c>
      <c r="N10" s="755">
        <v>0.5</v>
      </c>
      <c r="O10" s="755">
        <v>0.4</v>
      </c>
      <c r="P10" s="755">
        <v>0.09</v>
      </c>
      <c r="Q10" s="755">
        <v>0.01</v>
      </c>
      <c r="R10" s="755">
        <v>1</v>
      </c>
      <c r="S10" s="129">
        <v>178030</v>
      </c>
      <c r="T10" s="129">
        <v>142424</v>
      </c>
      <c r="U10" s="129">
        <v>32045</v>
      </c>
      <c r="V10" s="129">
        <v>3561</v>
      </c>
      <c r="W10" s="129">
        <v>356060</v>
      </c>
      <c r="X10" s="755">
        <v>0.5</v>
      </c>
      <c r="Y10" s="755">
        <v>0.4</v>
      </c>
      <c r="Z10" s="755">
        <v>0.09</v>
      </c>
      <c r="AA10" s="755">
        <v>0.01</v>
      </c>
      <c r="AB10" s="755">
        <v>1</v>
      </c>
      <c r="AC10" s="129">
        <v>-5208457</v>
      </c>
      <c r="AD10" s="129">
        <v>-4166766</v>
      </c>
      <c r="AE10" s="129">
        <v>-937522</v>
      </c>
      <c r="AF10" s="129">
        <v>-104169</v>
      </c>
      <c r="AG10" s="129">
        <v>-10416914</v>
      </c>
      <c r="AH10" s="755">
        <v>0.5</v>
      </c>
      <c r="AI10" s="755">
        <v>0.4</v>
      </c>
      <c r="AJ10" s="755">
        <v>0.09</v>
      </c>
      <c r="AK10" s="755">
        <v>0.01</v>
      </c>
      <c r="AL10" s="755">
        <v>1</v>
      </c>
      <c r="AM10" s="129">
        <v>0</v>
      </c>
      <c r="AN10" s="129">
        <v>0</v>
      </c>
      <c r="AO10" s="129">
        <v>0</v>
      </c>
      <c r="AP10" s="129">
        <v>0</v>
      </c>
      <c r="AQ10" s="129">
        <v>0</v>
      </c>
      <c r="AR10" s="129">
        <v>-5030427</v>
      </c>
      <c r="AS10" s="129">
        <v>-4024342</v>
      </c>
      <c r="AT10" s="129">
        <v>-905477</v>
      </c>
      <c r="AU10" s="129">
        <v>-100609</v>
      </c>
      <c r="AV10" s="129">
        <v>-10060854</v>
      </c>
      <c r="AW10" s="662" t="s">
        <v>631</v>
      </c>
      <c r="AX10" s="324" t="s">
        <v>516</v>
      </c>
      <c r="AY10" s="663" t="s">
        <v>515</v>
      </c>
      <c r="AZ10" s="529" t="s">
        <v>1207</v>
      </c>
    </row>
    <row r="11" spans="1:52" ht="12.75" x14ac:dyDescent="0.2">
      <c r="A11" s="664">
        <v>4</v>
      </c>
      <c r="B11" s="665" t="s">
        <v>634</v>
      </c>
      <c r="C11" s="666" t="s">
        <v>1201</v>
      </c>
      <c r="D11" s="667" t="s">
        <v>1202</v>
      </c>
      <c r="E11" s="668" t="s">
        <v>633</v>
      </c>
      <c r="F11" s="129">
        <v>-23588995</v>
      </c>
      <c r="G11" s="129">
        <v>-873913</v>
      </c>
      <c r="H11" s="129">
        <v>23404122</v>
      </c>
      <c r="I11" s="129">
        <v>3740953</v>
      </c>
      <c r="J11" s="129">
        <v>19663169</v>
      </c>
      <c r="K11" s="129">
        <v>-3051913</v>
      </c>
      <c r="L11" s="129">
        <v>2034609</v>
      </c>
      <c r="M11" s="129">
        <v>-21554386</v>
      </c>
      <c r="N11" s="755">
        <v>0.25</v>
      </c>
      <c r="O11" s="755">
        <v>0.2</v>
      </c>
      <c r="P11" s="755">
        <v>0.55000000000000004</v>
      </c>
      <c r="Q11" s="755">
        <v>0</v>
      </c>
      <c r="R11" s="755">
        <v>1</v>
      </c>
      <c r="S11" s="129">
        <v>-218478</v>
      </c>
      <c r="T11" s="129">
        <v>-174783</v>
      </c>
      <c r="U11" s="129">
        <v>-480652</v>
      </c>
      <c r="V11" s="129">
        <v>0</v>
      </c>
      <c r="W11" s="129">
        <v>-873913</v>
      </c>
      <c r="X11" s="755">
        <v>0.5</v>
      </c>
      <c r="Y11" s="755">
        <v>0.4</v>
      </c>
      <c r="Z11" s="755">
        <v>0.1</v>
      </c>
      <c r="AA11" s="755">
        <v>0</v>
      </c>
      <c r="AB11" s="755">
        <v>1</v>
      </c>
      <c r="AC11" s="129">
        <v>-9831585</v>
      </c>
      <c r="AD11" s="129">
        <v>-7865268</v>
      </c>
      <c r="AE11" s="129">
        <v>-1966317</v>
      </c>
      <c r="AF11" s="129">
        <v>0</v>
      </c>
      <c r="AG11" s="129">
        <v>-19663169</v>
      </c>
      <c r="AH11" s="755">
        <v>0.5</v>
      </c>
      <c r="AI11" s="755">
        <v>0.4</v>
      </c>
      <c r="AJ11" s="755">
        <v>0.1</v>
      </c>
      <c r="AK11" s="755">
        <v>0</v>
      </c>
      <c r="AL11" s="755">
        <v>1</v>
      </c>
      <c r="AM11" s="129">
        <v>-508652</v>
      </c>
      <c r="AN11" s="129">
        <v>-406922</v>
      </c>
      <c r="AO11" s="129">
        <v>-101730</v>
      </c>
      <c r="AP11" s="129">
        <v>0</v>
      </c>
      <c r="AQ11" s="129">
        <v>-1017304</v>
      </c>
      <c r="AR11" s="129">
        <v>-10558715</v>
      </c>
      <c r="AS11" s="129">
        <v>-8446972</v>
      </c>
      <c r="AT11" s="129">
        <v>-2548699</v>
      </c>
      <c r="AU11" s="129">
        <v>0</v>
      </c>
      <c r="AV11" s="129">
        <v>-21554386</v>
      </c>
      <c r="AW11" s="662" t="s">
        <v>633</v>
      </c>
      <c r="AX11" s="324" t="s">
        <v>568</v>
      </c>
      <c r="AY11" s="663" t="s">
        <v>512</v>
      </c>
      <c r="AZ11" s="529" t="s">
        <v>1208</v>
      </c>
    </row>
    <row r="12" spans="1:52" ht="14.25" x14ac:dyDescent="0.2">
      <c r="A12" s="664">
        <v>5</v>
      </c>
      <c r="B12" s="665" t="s">
        <v>636</v>
      </c>
      <c r="C12" s="666" t="s">
        <v>1201</v>
      </c>
      <c r="D12" s="667" t="s">
        <v>1206</v>
      </c>
      <c r="E12" s="668" t="s">
        <v>1871</v>
      </c>
      <c r="F12" s="129">
        <v>-13400806</v>
      </c>
      <c r="G12" s="129">
        <v>-672651</v>
      </c>
      <c r="H12" s="129">
        <v>9963792</v>
      </c>
      <c r="I12" s="129">
        <v>472390</v>
      </c>
      <c r="J12" s="129">
        <v>9491402</v>
      </c>
      <c r="K12" s="129">
        <v>-3236753</v>
      </c>
      <c r="L12" s="129">
        <v>2157836</v>
      </c>
      <c r="M12" s="129">
        <v>-11242970</v>
      </c>
      <c r="N12" s="755">
        <v>0.5</v>
      </c>
      <c r="O12" s="755">
        <v>0.4</v>
      </c>
      <c r="P12" s="755">
        <v>0.09</v>
      </c>
      <c r="Q12" s="755">
        <v>0.01</v>
      </c>
      <c r="R12" s="755">
        <v>1</v>
      </c>
      <c r="S12" s="129">
        <v>-336326</v>
      </c>
      <c r="T12" s="129">
        <v>-269060</v>
      </c>
      <c r="U12" s="129">
        <v>-60539</v>
      </c>
      <c r="V12" s="129">
        <v>-6727</v>
      </c>
      <c r="W12" s="129">
        <v>-672651</v>
      </c>
      <c r="X12" s="755">
        <v>0.5</v>
      </c>
      <c r="Y12" s="755">
        <v>0.4</v>
      </c>
      <c r="Z12" s="755">
        <v>0.09</v>
      </c>
      <c r="AA12" s="755">
        <v>0.01</v>
      </c>
      <c r="AB12" s="755">
        <v>1</v>
      </c>
      <c r="AC12" s="129">
        <v>-4745701</v>
      </c>
      <c r="AD12" s="129">
        <v>-3796561</v>
      </c>
      <c r="AE12" s="129">
        <v>-854226</v>
      </c>
      <c r="AF12" s="129">
        <v>-94914</v>
      </c>
      <c r="AG12" s="129">
        <v>-9491402</v>
      </c>
      <c r="AH12" s="755">
        <v>0.5</v>
      </c>
      <c r="AI12" s="755">
        <v>0.4</v>
      </c>
      <c r="AJ12" s="755">
        <v>0.09</v>
      </c>
      <c r="AK12" s="755">
        <v>0.01</v>
      </c>
      <c r="AL12" s="755">
        <v>1</v>
      </c>
      <c r="AM12" s="129">
        <v>-539459</v>
      </c>
      <c r="AN12" s="129">
        <v>-431567</v>
      </c>
      <c r="AO12" s="129">
        <v>-97103</v>
      </c>
      <c r="AP12" s="129">
        <v>-10789</v>
      </c>
      <c r="AQ12" s="129">
        <v>-1078918</v>
      </c>
      <c r="AR12" s="129">
        <v>-5621485</v>
      </c>
      <c r="AS12" s="129">
        <v>-4497188</v>
      </c>
      <c r="AT12" s="129">
        <v>-1011867</v>
      </c>
      <c r="AU12" s="129">
        <v>-112430</v>
      </c>
      <c r="AV12" s="129">
        <v>-11242970</v>
      </c>
      <c r="AW12" s="662" t="s">
        <v>635</v>
      </c>
      <c r="AX12" s="324" t="s">
        <v>559</v>
      </c>
      <c r="AY12" s="663" t="s">
        <v>558</v>
      </c>
      <c r="AZ12" s="529" t="s">
        <v>1209</v>
      </c>
    </row>
    <row r="13" spans="1:52" ht="12.75" x14ac:dyDescent="0.2">
      <c r="A13" s="664">
        <v>6</v>
      </c>
      <c r="B13" s="665" t="s">
        <v>638</v>
      </c>
      <c r="C13" s="666" t="s">
        <v>1201</v>
      </c>
      <c r="D13" s="667" t="s">
        <v>1202</v>
      </c>
      <c r="E13" s="668" t="s">
        <v>637</v>
      </c>
      <c r="F13" s="129">
        <v>-31312936</v>
      </c>
      <c r="G13" s="129">
        <v>-1804129</v>
      </c>
      <c r="H13" s="129">
        <v>27639190</v>
      </c>
      <c r="I13" s="129">
        <v>1134364</v>
      </c>
      <c r="J13" s="129">
        <v>26504826</v>
      </c>
      <c r="K13" s="129">
        <v>-3003981</v>
      </c>
      <c r="L13" s="129">
        <v>2002654</v>
      </c>
      <c r="M13" s="129">
        <v>-29310282</v>
      </c>
      <c r="N13" s="755">
        <v>0.5</v>
      </c>
      <c r="O13" s="755">
        <v>0.4</v>
      </c>
      <c r="P13" s="755">
        <v>0.09</v>
      </c>
      <c r="Q13" s="755">
        <v>0.01</v>
      </c>
      <c r="R13" s="755">
        <v>1</v>
      </c>
      <c r="S13" s="129">
        <v>-902065</v>
      </c>
      <c r="T13" s="129">
        <v>-721652</v>
      </c>
      <c r="U13" s="129">
        <v>-162372</v>
      </c>
      <c r="V13" s="129">
        <v>-18041</v>
      </c>
      <c r="W13" s="129">
        <v>-1804129</v>
      </c>
      <c r="X13" s="755">
        <v>0.5</v>
      </c>
      <c r="Y13" s="755">
        <v>0.4</v>
      </c>
      <c r="Z13" s="755">
        <v>0.09</v>
      </c>
      <c r="AA13" s="755">
        <v>0.01</v>
      </c>
      <c r="AB13" s="755">
        <v>1</v>
      </c>
      <c r="AC13" s="129">
        <v>-13252413</v>
      </c>
      <c r="AD13" s="129">
        <v>-10601930</v>
      </c>
      <c r="AE13" s="129">
        <v>-2385434</v>
      </c>
      <c r="AF13" s="129">
        <v>-265048</v>
      </c>
      <c r="AG13" s="129">
        <v>-26504826</v>
      </c>
      <c r="AH13" s="755">
        <v>0.5</v>
      </c>
      <c r="AI13" s="755">
        <v>0.4</v>
      </c>
      <c r="AJ13" s="755">
        <v>0.09</v>
      </c>
      <c r="AK13" s="755">
        <v>0.01</v>
      </c>
      <c r="AL13" s="755">
        <v>1</v>
      </c>
      <c r="AM13" s="129">
        <v>-500664</v>
      </c>
      <c r="AN13" s="129">
        <v>-400531</v>
      </c>
      <c r="AO13" s="129">
        <v>-90119</v>
      </c>
      <c r="AP13" s="129">
        <v>-10013</v>
      </c>
      <c r="AQ13" s="129">
        <v>-1001327</v>
      </c>
      <c r="AR13" s="129">
        <v>-14655141</v>
      </c>
      <c r="AS13" s="129">
        <v>-11724113</v>
      </c>
      <c r="AT13" s="129">
        <v>-2637925</v>
      </c>
      <c r="AU13" s="129">
        <v>-293103</v>
      </c>
      <c r="AV13" s="129">
        <v>-29310282</v>
      </c>
      <c r="AW13" s="662" t="s">
        <v>637</v>
      </c>
      <c r="AX13" s="324" t="s">
        <v>543</v>
      </c>
      <c r="AY13" s="663" t="s">
        <v>542</v>
      </c>
      <c r="AZ13" s="529" t="s">
        <v>1210</v>
      </c>
    </row>
    <row r="14" spans="1:52" ht="12.75" x14ac:dyDescent="0.2">
      <c r="A14" s="664">
        <v>7</v>
      </c>
      <c r="B14" s="665" t="s">
        <v>640</v>
      </c>
      <c r="C14" s="666" t="s">
        <v>1201</v>
      </c>
      <c r="D14" s="667" t="s">
        <v>1211</v>
      </c>
      <c r="E14" s="668" t="s">
        <v>639</v>
      </c>
      <c r="F14" s="129">
        <v>-12997785</v>
      </c>
      <c r="G14" s="129">
        <v>-11161</v>
      </c>
      <c r="H14" s="129">
        <v>11921873</v>
      </c>
      <c r="I14" s="129">
        <v>570362</v>
      </c>
      <c r="J14" s="129">
        <v>11351511</v>
      </c>
      <c r="K14" s="129">
        <v>-1635113</v>
      </c>
      <c r="L14" s="129">
        <v>1090075</v>
      </c>
      <c r="M14" s="129">
        <v>-11907710</v>
      </c>
      <c r="N14" s="755">
        <v>0.5</v>
      </c>
      <c r="O14" s="755">
        <v>0.4</v>
      </c>
      <c r="P14" s="755">
        <v>0.1</v>
      </c>
      <c r="Q14" s="755">
        <v>0</v>
      </c>
      <c r="R14" s="755">
        <v>1</v>
      </c>
      <c r="S14" s="129">
        <v>-5581</v>
      </c>
      <c r="T14" s="129">
        <v>-4464</v>
      </c>
      <c r="U14" s="129">
        <v>-1116</v>
      </c>
      <c r="V14" s="129">
        <v>0</v>
      </c>
      <c r="W14" s="129">
        <v>-11161</v>
      </c>
      <c r="X14" s="755">
        <v>0.5</v>
      </c>
      <c r="Y14" s="755">
        <v>0.4</v>
      </c>
      <c r="Z14" s="755">
        <v>0.1</v>
      </c>
      <c r="AA14" s="755">
        <v>0</v>
      </c>
      <c r="AB14" s="755">
        <v>1</v>
      </c>
      <c r="AC14" s="129">
        <v>-5675756</v>
      </c>
      <c r="AD14" s="129">
        <v>-4540604</v>
      </c>
      <c r="AE14" s="129">
        <v>-1135151</v>
      </c>
      <c r="AF14" s="129">
        <v>0</v>
      </c>
      <c r="AG14" s="129">
        <v>-11351511</v>
      </c>
      <c r="AH14" s="755">
        <v>0.5</v>
      </c>
      <c r="AI14" s="755">
        <v>0.4</v>
      </c>
      <c r="AJ14" s="755">
        <v>0.1</v>
      </c>
      <c r="AK14" s="755">
        <v>0</v>
      </c>
      <c r="AL14" s="755">
        <v>1</v>
      </c>
      <c r="AM14" s="129">
        <v>-272519</v>
      </c>
      <c r="AN14" s="129">
        <v>-218015</v>
      </c>
      <c r="AO14" s="129">
        <v>-54504</v>
      </c>
      <c r="AP14" s="129">
        <v>0</v>
      </c>
      <c r="AQ14" s="129">
        <v>-545038</v>
      </c>
      <c r="AR14" s="129">
        <v>-5953855</v>
      </c>
      <c r="AS14" s="129">
        <v>-4763084</v>
      </c>
      <c r="AT14" s="129">
        <v>-1190771</v>
      </c>
      <c r="AU14" s="129">
        <v>0</v>
      </c>
      <c r="AV14" s="129">
        <v>-11907710</v>
      </c>
      <c r="AW14" s="662" t="s">
        <v>639</v>
      </c>
      <c r="AX14" s="324" t="s">
        <v>565</v>
      </c>
      <c r="AY14" s="663" t="s">
        <v>512</v>
      </c>
      <c r="AZ14" s="529" t="s">
        <v>1212</v>
      </c>
    </row>
    <row r="15" spans="1:52" ht="12.75" x14ac:dyDescent="0.2">
      <c r="A15" s="664">
        <v>8</v>
      </c>
      <c r="B15" s="665" t="s">
        <v>642</v>
      </c>
      <c r="C15" s="666" t="s">
        <v>1213</v>
      </c>
      <c r="D15" s="667" t="s">
        <v>1214</v>
      </c>
      <c r="E15" s="668" t="s">
        <v>641</v>
      </c>
      <c r="F15" s="129">
        <v>-33065064</v>
      </c>
      <c r="G15" s="129">
        <v>1928584</v>
      </c>
      <c r="H15" s="129">
        <v>20419524</v>
      </c>
      <c r="I15" s="129">
        <v>1242074</v>
      </c>
      <c r="J15" s="129">
        <v>19177450</v>
      </c>
      <c r="K15" s="129">
        <v>-15816198</v>
      </c>
      <c r="L15" s="129">
        <v>10544132</v>
      </c>
      <c r="M15" s="129">
        <v>-22520932</v>
      </c>
      <c r="N15" s="755">
        <v>0.25</v>
      </c>
      <c r="O15" s="755">
        <v>0.48</v>
      </c>
      <c r="P15" s="755">
        <v>0.27</v>
      </c>
      <c r="Q15" s="755">
        <v>0</v>
      </c>
      <c r="R15" s="755">
        <v>1</v>
      </c>
      <c r="S15" s="129">
        <v>482146</v>
      </c>
      <c r="T15" s="129">
        <v>925720</v>
      </c>
      <c r="U15" s="129">
        <v>520718</v>
      </c>
      <c r="V15" s="129">
        <v>0</v>
      </c>
      <c r="W15" s="129">
        <v>1928584</v>
      </c>
      <c r="X15" s="755">
        <v>0.33</v>
      </c>
      <c r="Y15" s="755">
        <v>0.3</v>
      </c>
      <c r="Z15" s="755">
        <v>0.37</v>
      </c>
      <c r="AA15" s="755">
        <v>0</v>
      </c>
      <c r="AB15" s="755">
        <v>1</v>
      </c>
      <c r="AC15" s="129">
        <v>-6328559</v>
      </c>
      <c r="AD15" s="129">
        <v>-5753235</v>
      </c>
      <c r="AE15" s="129">
        <v>-7095657</v>
      </c>
      <c r="AF15" s="129">
        <v>0</v>
      </c>
      <c r="AG15" s="129">
        <v>-19177450</v>
      </c>
      <c r="AH15" s="755">
        <v>0.33</v>
      </c>
      <c r="AI15" s="755">
        <v>0.3</v>
      </c>
      <c r="AJ15" s="755">
        <v>0.37</v>
      </c>
      <c r="AK15" s="755">
        <v>0</v>
      </c>
      <c r="AL15" s="755">
        <v>1</v>
      </c>
      <c r="AM15" s="129">
        <v>-1739782</v>
      </c>
      <c r="AN15" s="129">
        <v>-1581620</v>
      </c>
      <c r="AO15" s="129">
        <v>-1950664</v>
      </c>
      <c r="AP15" s="129">
        <v>0</v>
      </c>
      <c r="AQ15" s="129">
        <v>-5272066</v>
      </c>
      <c r="AR15" s="129">
        <v>-7586194</v>
      </c>
      <c r="AS15" s="129">
        <v>-6409134</v>
      </c>
      <c r="AT15" s="129">
        <v>-8525603</v>
      </c>
      <c r="AU15" s="129">
        <v>0</v>
      </c>
      <c r="AV15" s="129">
        <v>-22520932</v>
      </c>
      <c r="AW15" s="662" t="s">
        <v>641</v>
      </c>
      <c r="AX15" s="324" t="s">
        <v>576</v>
      </c>
      <c r="AY15" s="669" t="s">
        <v>485</v>
      </c>
      <c r="AZ15" s="529" t="s">
        <v>1215</v>
      </c>
    </row>
    <row r="16" spans="1:52" ht="12.75" x14ac:dyDescent="0.2">
      <c r="A16" s="664">
        <v>9</v>
      </c>
      <c r="B16" s="665" t="s">
        <v>644</v>
      </c>
      <c r="C16" s="666" t="s">
        <v>1213</v>
      </c>
      <c r="D16" s="667" t="s">
        <v>1214</v>
      </c>
      <c r="E16" s="668" t="s">
        <v>643</v>
      </c>
      <c r="F16" s="129">
        <v>-74505041</v>
      </c>
      <c r="G16" s="129">
        <v>2090027</v>
      </c>
      <c r="H16" s="129">
        <v>81473213</v>
      </c>
      <c r="I16" s="129">
        <v>6581099</v>
      </c>
      <c r="J16" s="129">
        <v>74892114</v>
      </c>
      <c r="K16" s="129">
        <v>-1702954</v>
      </c>
      <c r="L16" s="129">
        <v>1135303</v>
      </c>
      <c r="M16" s="129">
        <v>-73369738</v>
      </c>
      <c r="N16" s="755">
        <v>0.25</v>
      </c>
      <c r="O16" s="755">
        <v>0.48</v>
      </c>
      <c r="P16" s="755">
        <v>0.27</v>
      </c>
      <c r="Q16" s="755">
        <v>0</v>
      </c>
      <c r="R16" s="755">
        <v>1</v>
      </c>
      <c r="S16" s="129">
        <v>522507</v>
      </c>
      <c r="T16" s="129">
        <v>1003213</v>
      </c>
      <c r="U16" s="129">
        <v>564307</v>
      </c>
      <c r="V16" s="129">
        <v>0</v>
      </c>
      <c r="W16" s="129">
        <v>2090027</v>
      </c>
      <c r="X16" s="755">
        <v>0.33</v>
      </c>
      <c r="Y16" s="755">
        <v>0.3</v>
      </c>
      <c r="Z16" s="755">
        <v>0.37</v>
      </c>
      <c r="AA16" s="755">
        <v>0</v>
      </c>
      <c r="AB16" s="755">
        <v>1</v>
      </c>
      <c r="AC16" s="129">
        <v>-24714398</v>
      </c>
      <c r="AD16" s="129">
        <v>-22467634</v>
      </c>
      <c r="AE16" s="129">
        <v>-27710082</v>
      </c>
      <c r="AF16" s="129">
        <v>0</v>
      </c>
      <c r="AG16" s="129">
        <v>-74892114</v>
      </c>
      <c r="AH16" s="755">
        <v>0.33</v>
      </c>
      <c r="AI16" s="755">
        <v>0.3</v>
      </c>
      <c r="AJ16" s="755">
        <v>0.37</v>
      </c>
      <c r="AK16" s="755">
        <v>0</v>
      </c>
      <c r="AL16" s="755">
        <v>1</v>
      </c>
      <c r="AM16" s="129">
        <v>-187325</v>
      </c>
      <c r="AN16" s="129">
        <v>-170295</v>
      </c>
      <c r="AO16" s="129">
        <v>-210031</v>
      </c>
      <c r="AP16" s="129">
        <v>0</v>
      </c>
      <c r="AQ16" s="129">
        <v>-567651</v>
      </c>
      <c r="AR16" s="129">
        <v>-24379216</v>
      </c>
      <c r="AS16" s="129">
        <v>-21634717</v>
      </c>
      <c r="AT16" s="129">
        <v>-27355806</v>
      </c>
      <c r="AU16" s="129">
        <v>0</v>
      </c>
      <c r="AV16" s="129">
        <v>-73369738</v>
      </c>
      <c r="AW16" s="662" t="s">
        <v>643</v>
      </c>
      <c r="AX16" s="324" t="s">
        <v>576</v>
      </c>
      <c r="AY16" s="669" t="s">
        <v>485</v>
      </c>
      <c r="AZ16" s="529" t="s">
        <v>1216</v>
      </c>
    </row>
    <row r="17" spans="1:52" ht="12.75" x14ac:dyDescent="0.2">
      <c r="A17" s="664">
        <v>10</v>
      </c>
      <c r="B17" s="665" t="s">
        <v>646</v>
      </c>
      <c r="C17" s="666" t="s">
        <v>1217</v>
      </c>
      <c r="D17" s="667" t="s">
        <v>1218</v>
      </c>
      <c r="E17" s="668" t="s">
        <v>645</v>
      </c>
      <c r="F17" s="129">
        <v>-15338723</v>
      </c>
      <c r="G17" s="129">
        <v>3961268</v>
      </c>
      <c r="H17" s="129">
        <v>19656294</v>
      </c>
      <c r="I17" s="129">
        <v>1065591</v>
      </c>
      <c r="J17" s="129">
        <v>18590703</v>
      </c>
      <c r="K17" s="129">
        <v>-709288</v>
      </c>
      <c r="L17" s="129">
        <v>472859</v>
      </c>
      <c r="M17" s="129">
        <v>-14865864</v>
      </c>
      <c r="N17" s="755">
        <v>0.5</v>
      </c>
      <c r="O17" s="755">
        <v>0.49</v>
      </c>
      <c r="P17" s="755">
        <v>0</v>
      </c>
      <c r="Q17" s="755">
        <v>0.01</v>
      </c>
      <c r="R17" s="755">
        <v>1</v>
      </c>
      <c r="S17" s="129">
        <v>1980634</v>
      </c>
      <c r="T17" s="129">
        <v>1941021</v>
      </c>
      <c r="U17" s="129">
        <v>0</v>
      </c>
      <c r="V17" s="129">
        <v>39613</v>
      </c>
      <c r="W17" s="129">
        <v>3961268</v>
      </c>
      <c r="X17" s="755">
        <v>0.5</v>
      </c>
      <c r="Y17" s="755">
        <v>0.49</v>
      </c>
      <c r="Z17" s="755">
        <v>0</v>
      </c>
      <c r="AA17" s="755">
        <v>0.01</v>
      </c>
      <c r="AB17" s="755">
        <v>1</v>
      </c>
      <c r="AC17" s="129">
        <v>-9295352</v>
      </c>
      <c r="AD17" s="129">
        <v>-9109444</v>
      </c>
      <c r="AE17" s="129">
        <v>0</v>
      </c>
      <c r="AF17" s="129">
        <v>-185907</v>
      </c>
      <c r="AG17" s="129">
        <v>-18590703</v>
      </c>
      <c r="AH17" s="755">
        <v>0.5</v>
      </c>
      <c r="AI17" s="755">
        <v>0.49</v>
      </c>
      <c r="AJ17" s="755">
        <v>0</v>
      </c>
      <c r="AK17" s="755">
        <v>0.01</v>
      </c>
      <c r="AL17" s="755">
        <v>1</v>
      </c>
      <c r="AM17" s="129">
        <v>-118215</v>
      </c>
      <c r="AN17" s="129">
        <v>-115850</v>
      </c>
      <c r="AO17" s="129">
        <v>0</v>
      </c>
      <c r="AP17" s="129">
        <v>-2364</v>
      </c>
      <c r="AQ17" s="129">
        <v>-236429</v>
      </c>
      <c r="AR17" s="129">
        <v>-7432932</v>
      </c>
      <c r="AS17" s="129">
        <v>-7284273</v>
      </c>
      <c r="AT17" s="129">
        <v>0</v>
      </c>
      <c r="AU17" s="129">
        <v>-148659</v>
      </c>
      <c r="AV17" s="129">
        <v>-14865864</v>
      </c>
      <c r="AW17" s="662" t="s">
        <v>645</v>
      </c>
      <c r="AX17" s="324" t="s">
        <v>570</v>
      </c>
      <c r="AY17" s="663" t="s">
        <v>572</v>
      </c>
      <c r="AZ17" s="529" t="s">
        <v>1219</v>
      </c>
    </row>
    <row r="18" spans="1:52" ht="12.75" x14ac:dyDescent="0.2">
      <c r="A18" s="664">
        <v>11</v>
      </c>
      <c r="B18" s="665" t="s">
        <v>648</v>
      </c>
      <c r="C18" s="666" t="s">
        <v>1201</v>
      </c>
      <c r="D18" s="667" t="s">
        <v>1204</v>
      </c>
      <c r="E18" s="668" t="s">
        <v>647</v>
      </c>
      <c r="F18" s="129">
        <v>-11228029</v>
      </c>
      <c r="G18" s="129">
        <v>541714</v>
      </c>
      <c r="H18" s="129">
        <v>9406210</v>
      </c>
      <c r="I18" s="129">
        <v>366410</v>
      </c>
      <c r="J18" s="129">
        <v>9039800</v>
      </c>
      <c r="K18" s="129">
        <v>-2729943</v>
      </c>
      <c r="L18" s="129">
        <v>1819962</v>
      </c>
      <c r="M18" s="129">
        <v>-9408067</v>
      </c>
      <c r="N18" s="755">
        <v>0.5</v>
      </c>
      <c r="O18" s="755">
        <v>0.4</v>
      </c>
      <c r="P18" s="755">
        <v>0.1</v>
      </c>
      <c r="Q18" s="755">
        <v>0</v>
      </c>
      <c r="R18" s="755">
        <v>1</v>
      </c>
      <c r="S18" s="129">
        <v>270857</v>
      </c>
      <c r="T18" s="129">
        <v>216686</v>
      </c>
      <c r="U18" s="129">
        <v>54171</v>
      </c>
      <c r="V18" s="129">
        <v>0</v>
      </c>
      <c r="W18" s="129">
        <v>541714</v>
      </c>
      <c r="X18" s="755">
        <v>0.5</v>
      </c>
      <c r="Y18" s="755">
        <v>0.4</v>
      </c>
      <c r="Z18" s="755">
        <v>0.1</v>
      </c>
      <c r="AA18" s="755">
        <v>0</v>
      </c>
      <c r="AB18" s="755">
        <v>1</v>
      </c>
      <c r="AC18" s="129">
        <v>-4519900</v>
      </c>
      <c r="AD18" s="129">
        <v>-3615920</v>
      </c>
      <c r="AE18" s="129">
        <v>-903980</v>
      </c>
      <c r="AF18" s="129">
        <v>0</v>
      </c>
      <c r="AG18" s="129">
        <v>-9039800</v>
      </c>
      <c r="AH18" s="755">
        <v>0.5</v>
      </c>
      <c r="AI18" s="755">
        <v>0.4</v>
      </c>
      <c r="AJ18" s="755">
        <v>0.1</v>
      </c>
      <c r="AK18" s="755">
        <v>0</v>
      </c>
      <c r="AL18" s="755">
        <v>1</v>
      </c>
      <c r="AM18" s="129">
        <v>-454991</v>
      </c>
      <c r="AN18" s="129">
        <v>-363992</v>
      </c>
      <c r="AO18" s="129">
        <v>-90998</v>
      </c>
      <c r="AP18" s="129">
        <v>0</v>
      </c>
      <c r="AQ18" s="129">
        <v>-909981</v>
      </c>
      <c r="AR18" s="129">
        <v>-4704034</v>
      </c>
      <c r="AS18" s="129">
        <v>-3763227</v>
      </c>
      <c r="AT18" s="129">
        <v>-940807</v>
      </c>
      <c r="AU18" s="129">
        <v>0</v>
      </c>
      <c r="AV18" s="129">
        <v>-9408067</v>
      </c>
      <c r="AW18" s="662" t="s">
        <v>647</v>
      </c>
      <c r="AX18" s="324" t="s">
        <v>513</v>
      </c>
      <c r="AY18" s="663" t="s">
        <v>512</v>
      </c>
      <c r="AZ18" s="529" t="s">
        <v>1220</v>
      </c>
    </row>
    <row r="19" spans="1:52" ht="12.75" x14ac:dyDescent="0.2">
      <c r="A19" s="664">
        <v>12</v>
      </c>
      <c r="B19" s="665" t="s">
        <v>650</v>
      </c>
      <c r="C19" s="666" t="s">
        <v>1201</v>
      </c>
      <c r="D19" s="667" t="s">
        <v>1211</v>
      </c>
      <c r="E19" s="668" t="s">
        <v>649</v>
      </c>
      <c r="F19" s="129">
        <v>-37066709</v>
      </c>
      <c r="G19" s="129">
        <v>-343735</v>
      </c>
      <c r="H19" s="129">
        <v>36368997</v>
      </c>
      <c r="I19" s="129">
        <v>1699634</v>
      </c>
      <c r="J19" s="129">
        <v>34669363</v>
      </c>
      <c r="K19" s="129">
        <v>-2053611</v>
      </c>
      <c r="L19" s="129">
        <v>1369074</v>
      </c>
      <c r="M19" s="129">
        <v>-35697635</v>
      </c>
      <c r="N19" s="755">
        <v>0.5</v>
      </c>
      <c r="O19" s="755">
        <v>0.4</v>
      </c>
      <c r="P19" s="755">
        <v>0.09</v>
      </c>
      <c r="Q19" s="755">
        <v>0.01</v>
      </c>
      <c r="R19" s="755">
        <v>1</v>
      </c>
      <c r="S19" s="129">
        <v>-171868</v>
      </c>
      <c r="T19" s="129">
        <v>-137494</v>
      </c>
      <c r="U19" s="129">
        <v>-30936</v>
      </c>
      <c r="V19" s="129">
        <v>-3437</v>
      </c>
      <c r="W19" s="129">
        <v>-343735</v>
      </c>
      <c r="X19" s="755">
        <v>0.5</v>
      </c>
      <c r="Y19" s="755">
        <v>0.4</v>
      </c>
      <c r="Z19" s="755">
        <v>0.09</v>
      </c>
      <c r="AA19" s="755">
        <v>0.01</v>
      </c>
      <c r="AB19" s="755">
        <v>1</v>
      </c>
      <c r="AC19" s="129">
        <v>-17334682</v>
      </c>
      <c r="AD19" s="129">
        <v>-13867745</v>
      </c>
      <c r="AE19" s="129">
        <v>-3120243</v>
      </c>
      <c r="AF19" s="129">
        <v>-346694</v>
      </c>
      <c r="AG19" s="129">
        <v>-34669363</v>
      </c>
      <c r="AH19" s="755">
        <v>0.5</v>
      </c>
      <c r="AI19" s="755">
        <v>0.4</v>
      </c>
      <c r="AJ19" s="755">
        <v>0.09</v>
      </c>
      <c r="AK19" s="755">
        <v>0.01</v>
      </c>
      <c r="AL19" s="755">
        <v>1</v>
      </c>
      <c r="AM19" s="129">
        <v>-342269</v>
      </c>
      <c r="AN19" s="129">
        <v>-273815</v>
      </c>
      <c r="AO19" s="129">
        <v>-61608</v>
      </c>
      <c r="AP19" s="129">
        <v>-6845</v>
      </c>
      <c r="AQ19" s="129">
        <v>-684537</v>
      </c>
      <c r="AR19" s="129">
        <v>-17848818</v>
      </c>
      <c r="AS19" s="129">
        <v>-14279054</v>
      </c>
      <c r="AT19" s="129">
        <v>-3212787</v>
      </c>
      <c r="AU19" s="129">
        <v>-356976</v>
      </c>
      <c r="AV19" s="129">
        <v>-35697635</v>
      </c>
      <c r="AW19" s="662" t="s">
        <v>649</v>
      </c>
      <c r="AX19" s="324" t="s">
        <v>528</v>
      </c>
      <c r="AY19" s="663" t="s">
        <v>1913</v>
      </c>
      <c r="AZ19" s="529" t="s">
        <v>1221</v>
      </c>
    </row>
    <row r="20" spans="1:52" ht="12.75" x14ac:dyDescent="0.2">
      <c r="A20" s="664">
        <v>13</v>
      </c>
      <c r="B20" s="665" t="s">
        <v>652</v>
      </c>
      <c r="C20" s="666" t="s">
        <v>1201</v>
      </c>
      <c r="D20" s="667" t="s">
        <v>1202</v>
      </c>
      <c r="E20" s="668" t="s">
        <v>825</v>
      </c>
      <c r="F20" s="129">
        <v>-26375474</v>
      </c>
      <c r="G20" s="129">
        <v>5682225</v>
      </c>
      <c r="H20" s="129">
        <v>33750000</v>
      </c>
      <c r="I20" s="129">
        <v>1254253</v>
      </c>
      <c r="J20" s="129">
        <v>32495747</v>
      </c>
      <c r="K20" s="129">
        <v>438048</v>
      </c>
      <c r="L20" s="129">
        <v>0</v>
      </c>
      <c r="M20" s="129">
        <v>-26375474</v>
      </c>
      <c r="N20" s="755">
        <v>0.5</v>
      </c>
      <c r="O20" s="755">
        <v>0.4</v>
      </c>
      <c r="P20" s="755">
        <v>0.09</v>
      </c>
      <c r="Q20" s="755">
        <v>0.01</v>
      </c>
      <c r="R20" s="755">
        <v>1</v>
      </c>
      <c r="S20" s="129">
        <v>2841113</v>
      </c>
      <c r="T20" s="129">
        <v>2272890</v>
      </c>
      <c r="U20" s="129">
        <v>511400</v>
      </c>
      <c r="V20" s="129">
        <v>56822</v>
      </c>
      <c r="W20" s="129">
        <v>5682225</v>
      </c>
      <c r="X20" s="755">
        <v>0.5</v>
      </c>
      <c r="Y20" s="755">
        <v>0.4</v>
      </c>
      <c r="Z20" s="755">
        <v>0.09</v>
      </c>
      <c r="AA20" s="755">
        <v>0.01</v>
      </c>
      <c r="AB20" s="755">
        <v>1</v>
      </c>
      <c r="AC20" s="129">
        <v>-16028850</v>
      </c>
      <c r="AD20" s="129">
        <v>-12823080</v>
      </c>
      <c r="AE20" s="129">
        <v>-2885193</v>
      </c>
      <c r="AF20" s="129">
        <v>-320577</v>
      </c>
      <c r="AG20" s="129">
        <v>-32057699</v>
      </c>
      <c r="AH20" s="755">
        <v>0.5</v>
      </c>
      <c r="AI20" s="755">
        <v>0.4</v>
      </c>
      <c r="AJ20" s="755">
        <v>0.09</v>
      </c>
      <c r="AK20" s="755">
        <v>0.01</v>
      </c>
      <c r="AL20" s="755">
        <v>1</v>
      </c>
      <c r="AM20" s="129">
        <v>0</v>
      </c>
      <c r="AN20" s="129">
        <v>0</v>
      </c>
      <c r="AO20" s="129">
        <v>0</v>
      </c>
      <c r="AP20" s="129">
        <v>0</v>
      </c>
      <c r="AQ20" s="129">
        <v>0</v>
      </c>
      <c r="AR20" s="129">
        <v>-13187737</v>
      </c>
      <c r="AS20" s="129">
        <v>-10550190</v>
      </c>
      <c r="AT20" s="129">
        <v>-2373793</v>
      </c>
      <c r="AU20" s="129">
        <v>-263755</v>
      </c>
      <c r="AV20" s="129">
        <v>-26375474</v>
      </c>
      <c r="AW20" s="662" t="s">
        <v>825</v>
      </c>
      <c r="AX20" s="324" t="s">
        <v>532</v>
      </c>
      <c r="AY20" s="663" t="s">
        <v>1914</v>
      </c>
      <c r="AZ20" s="529" t="s">
        <v>1222</v>
      </c>
    </row>
    <row r="21" spans="1:52" ht="12.75" x14ac:dyDescent="0.2">
      <c r="A21" s="664">
        <v>14</v>
      </c>
      <c r="B21" s="665" t="s">
        <v>654</v>
      </c>
      <c r="C21" s="666" t="s">
        <v>1201</v>
      </c>
      <c r="D21" s="667" t="s">
        <v>1206</v>
      </c>
      <c r="E21" s="668" t="s">
        <v>653</v>
      </c>
      <c r="F21" s="129">
        <v>-19272282</v>
      </c>
      <c r="G21" s="129">
        <v>-4769044</v>
      </c>
      <c r="H21" s="129">
        <v>13238608</v>
      </c>
      <c r="I21" s="129">
        <v>790878</v>
      </c>
      <c r="J21" s="129">
        <v>12447730</v>
      </c>
      <c r="K21" s="129">
        <v>-2055508</v>
      </c>
      <c r="L21" s="129">
        <v>1370339</v>
      </c>
      <c r="M21" s="129">
        <v>-17901943</v>
      </c>
      <c r="N21" s="755">
        <v>0.5</v>
      </c>
      <c r="O21" s="755">
        <v>0.4</v>
      </c>
      <c r="P21" s="755">
        <v>0.09</v>
      </c>
      <c r="Q21" s="755">
        <v>0.01</v>
      </c>
      <c r="R21" s="755">
        <v>1</v>
      </c>
      <c r="S21" s="129">
        <v>-2384522</v>
      </c>
      <c r="T21" s="129">
        <v>-1907618</v>
      </c>
      <c r="U21" s="129">
        <v>-429214</v>
      </c>
      <c r="V21" s="129">
        <v>-47690</v>
      </c>
      <c r="W21" s="129">
        <v>-4769044</v>
      </c>
      <c r="X21" s="755">
        <v>0.5</v>
      </c>
      <c r="Y21" s="755">
        <v>0.4</v>
      </c>
      <c r="Z21" s="755">
        <v>0.09</v>
      </c>
      <c r="AA21" s="755">
        <v>0.01</v>
      </c>
      <c r="AB21" s="755">
        <v>1</v>
      </c>
      <c r="AC21" s="129">
        <v>-6223865</v>
      </c>
      <c r="AD21" s="129">
        <v>-4979092</v>
      </c>
      <c r="AE21" s="129">
        <v>-1120296</v>
      </c>
      <c r="AF21" s="129">
        <v>-124477</v>
      </c>
      <c r="AG21" s="129">
        <v>-12447730</v>
      </c>
      <c r="AH21" s="755">
        <v>0.5</v>
      </c>
      <c r="AI21" s="755">
        <v>0.4</v>
      </c>
      <c r="AJ21" s="755">
        <v>0.09</v>
      </c>
      <c r="AK21" s="755">
        <v>0.01</v>
      </c>
      <c r="AL21" s="755">
        <v>1</v>
      </c>
      <c r="AM21" s="129">
        <v>-342585</v>
      </c>
      <c r="AN21" s="129">
        <v>-274068</v>
      </c>
      <c r="AO21" s="129">
        <v>-61665</v>
      </c>
      <c r="AP21" s="129">
        <v>-6852</v>
      </c>
      <c r="AQ21" s="129">
        <v>-685169</v>
      </c>
      <c r="AR21" s="129">
        <v>-8950972</v>
      </c>
      <c r="AS21" s="129">
        <v>-7160777</v>
      </c>
      <c r="AT21" s="129">
        <v>-1611175</v>
      </c>
      <c r="AU21" s="129">
        <v>-179019</v>
      </c>
      <c r="AV21" s="129">
        <v>-17901943</v>
      </c>
      <c r="AW21" s="662" t="s">
        <v>653</v>
      </c>
      <c r="AX21" s="324" t="s">
        <v>559</v>
      </c>
      <c r="AY21" s="663" t="s">
        <v>558</v>
      </c>
      <c r="AZ21" s="529" t="s">
        <v>1223</v>
      </c>
    </row>
    <row r="22" spans="1:52" ht="12.75" x14ac:dyDescent="0.2">
      <c r="A22" s="664">
        <v>15</v>
      </c>
      <c r="B22" s="665" t="s">
        <v>656</v>
      </c>
      <c r="C22" s="666" t="s">
        <v>486</v>
      </c>
      <c r="D22" s="667" t="s">
        <v>1224</v>
      </c>
      <c r="E22" s="668" t="s">
        <v>826</v>
      </c>
      <c r="F22" s="129">
        <v>-44947962</v>
      </c>
      <c r="G22" s="129">
        <v>-338998</v>
      </c>
      <c r="H22" s="129">
        <v>43324200</v>
      </c>
      <c r="I22" s="129">
        <v>1678196</v>
      </c>
      <c r="J22" s="129">
        <v>41646004</v>
      </c>
      <c r="K22" s="129">
        <v>-2962960</v>
      </c>
      <c r="L22" s="129">
        <v>1975307</v>
      </c>
      <c r="M22" s="129">
        <v>-42972655</v>
      </c>
      <c r="N22" s="755">
        <v>0</v>
      </c>
      <c r="O22" s="755">
        <v>0.94</v>
      </c>
      <c r="P22" s="755">
        <v>0.05</v>
      </c>
      <c r="Q22" s="755">
        <v>0.01</v>
      </c>
      <c r="R22" s="755">
        <v>1</v>
      </c>
      <c r="S22" s="129">
        <v>0</v>
      </c>
      <c r="T22" s="129">
        <v>-318658</v>
      </c>
      <c r="U22" s="129">
        <v>-16950</v>
      </c>
      <c r="V22" s="129">
        <v>-3390</v>
      </c>
      <c r="W22" s="129">
        <v>-338998</v>
      </c>
      <c r="X22" s="755">
        <v>0</v>
      </c>
      <c r="Y22" s="755">
        <v>0.94</v>
      </c>
      <c r="Z22" s="755">
        <v>0.05</v>
      </c>
      <c r="AA22" s="755">
        <v>0.01</v>
      </c>
      <c r="AB22" s="755">
        <v>1</v>
      </c>
      <c r="AC22" s="129">
        <v>0</v>
      </c>
      <c r="AD22" s="129">
        <v>-39147244</v>
      </c>
      <c r="AE22" s="129">
        <v>-2082300</v>
      </c>
      <c r="AF22" s="129">
        <v>-416460</v>
      </c>
      <c r="AG22" s="129">
        <v>-41646004</v>
      </c>
      <c r="AH22" s="755">
        <v>0</v>
      </c>
      <c r="AI22" s="755">
        <v>0.94</v>
      </c>
      <c r="AJ22" s="755">
        <v>0.05</v>
      </c>
      <c r="AK22" s="755">
        <v>0.01</v>
      </c>
      <c r="AL22" s="755">
        <v>1</v>
      </c>
      <c r="AM22" s="129">
        <v>0</v>
      </c>
      <c r="AN22" s="129">
        <v>-928394</v>
      </c>
      <c r="AO22" s="129">
        <v>-49383</v>
      </c>
      <c r="AP22" s="129">
        <v>-9877</v>
      </c>
      <c r="AQ22" s="129">
        <v>-987653</v>
      </c>
      <c r="AR22" s="129">
        <v>0</v>
      </c>
      <c r="AS22" s="129">
        <v>-40394296</v>
      </c>
      <c r="AT22" s="129">
        <v>-2148633</v>
      </c>
      <c r="AU22" s="129">
        <v>-429727</v>
      </c>
      <c r="AV22" s="129">
        <v>-42972655</v>
      </c>
      <c r="AW22" s="662" t="s">
        <v>826</v>
      </c>
      <c r="AX22" s="324" t="s">
        <v>486</v>
      </c>
      <c r="AY22" s="663" t="s">
        <v>487</v>
      </c>
      <c r="AZ22" s="529" t="s">
        <v>1225</v>
      </c>
    </row>
    <row r="23" spans="1:52" ht="12.75" x14ac:dyDescent="0.2">
      <c r="A23" s="664">
        <v>16</v>
      </c>
      <c r="B23" s="665" t="s">
        <v>658</v>
      </c>
      <c r="C23" s="666" t="s">
        <v>486</v>
      </c>
      <c r="D23" s="667" t="s">
        <v>1211</v>
      </c>
      <c r="E23" s="668" t="s">
        <v>657</v>
      </c>
      <c r="F23" s="129">
        <v>-25758819</v>
      </c>
      <c r="G23" s="129">
        <v>-763415</v>
      </c>
      <c r="H23" s="129">
        <v>26856483</v>
      </c>
      <c r="I23" s="129">
        <v>1416588</v>
      </c>
      <c r="J23" s="129">
        <v>25439895</v>
      </c>
      <c r="K23" s="129">
        <v>444491</v>
      </c>
      <c r="L23" s="129">
        <v>0</v>
      </c>
      <c r="M23" s="129">
        <v>-25758819</v>
      </c>
      <c r="N23" s="755">
        <v>0.5</v>
      </c>
      <c r="O23" s="755">
        <v>0.49</v>
      </c>
      <c r="P23" s="755">
        <v>0</v>
      </c>
      <c r="Q23" s="755">
        <v>0.01</v>
      </c>
      <c r="R23" s="755">
        <v>1</v>
      </c>
      <c r="S23" s="129">
        <v>-381708</v>
      </c>
      <c r="T23" s="129">
        <v>-374073</v>
      </c>
      <c r="U23" s="129">
        <v>0</v>
      </c>
      <c r="V23" s="129">
        <v>-7634</v>
      </c>
      <c r="W23" s="129">
        <v>-763415</v>
      </c>
      <c r="X23" s="755">
        <v>0.5</v>
      </c>
      <c r="Y23" s="755">
        <v>0.49</v>
      </c>
      <c r="Z23" s="755">
        <v>0</v>
      </c>
      <c r="AA23" s="755">
        <v>0.01</v>
      </c>
      <c r="AB23" s="755">
        <v>1</v>
      </c>
      <c r="AC23" s="129">
        <v>-12497702</v>
      </c>
      <c r="AD23" s="129">
        <v>-12247748</v>
      </c>
      <c r="AE23" s="129">
        <v>0</v>
      </c>
      <c r="AF23" s="129">
        <v>-249954</v>
      </c>
      <c r="AG23" s="129">
        <v>-24995404</v>
      </c>
      <c r="AH23" s="755">
        <v>0.5</v>
      </c>
      <c r="AI23" s="755">
        <v>0.49</v>
      </c>
      <c r="AJ23" s="755">
        <v>0</v>
      </c>
      <c r="AK23" s="755">
        <v>0.01</v>
      </c>
      <c r="AL23" s="755">
        <v>1</v>
      </c>
      <c r="AM23" s="129">
        <v>0</v>
      </c>
      <c r="AN23" s="129">
        <v>0</v>
      </c>
      <c r="AO23" s="129">
        <v>0</v>
      </c>
      <c r="AP23" s="129">
        <v>0</v>
      </c>
      <c r="AQ23" s="129">
        <v>0</v>
      </c>
      <c r="AR23" s="129">
        <v>-12879410</v>
      </c>
      <c r="AS23" s="129">
        <v>-12621821</v>
      </c>
      <c r="AT23" s="129">
        <v>0</v>
      </c>
      <c r="AU23" s="129">
        <v>-257588</v>
      </c>
      <c r="AV23" s="129">
        <v>-25758819</v>
      </c>
      <c r="AW23" s="662" t="s">
        <v>657</v>
      </c>
      <c r="AX23" s="324" t="s">
        <v>486</v>
      </c>
      <c r="AY23" s="663" t="s">
        <v>492</v>
      </c>
      <c r="AZ23" s="529" t="s">
        <v>1226</v>
      </c>
    </row>
    <row r="24" spans="1:52" ht="12.75" x14ac:dyDescent="0.2">
      <c r="A24" s="664">
        <v>17</v>
      </c>
      <c r="B24" s="665" t="s">
        <v>660</v>
      </c>
      <c r="C24" s="666" t="s">
        <v>1213</v>
      </c>
      <c r="D24" s="667" t="s">
        <v>1214</v>
      </c>
      <c r="E24" s="668" t="s">
        <v>659</v>
      </c>
      <c r="F24" s="129">
        <v>-32332723</v>
      </c>
      <c r="G24" s="129">
        <v>1511474</v>
      </c>
      <c r="H24" s="129">
        <v>31016430</v>
      </c>
      <c r="I24" s="129">
        <v>1158208</v>
      </c>
      <c r="J24" s="129">
        <v>29858222</v>
      </c>
      <c r="K24" s="129">
        <v>-3985975</v>
      </c>
      <c r="L24" s="129">
        <v>2657317</v>
      </c>
      <c r="M24" s="129">
        <v>-29675406</v>
      </c>
      <c r="N24" s="755">
        <v>0.25</v>
      </c>
      <c r="O24" s="755">
        <v>0.48</v>
      </c>
      <c r="P24" s="755">
        <v>0.27</v>
      </c>
      <c r="Q24" s="755">
        <v>0</v>
      </c>
      <c r="R24" s="755">
        <v>1</v>
      </c>
      <c r="S24" s="129">
        <v>377869</v>
      </c>
      <c r="T24" s="129">
        <v>725508</v>
      </c>
      <c r="U24" s="129">
        <v>408098</v>
      </c>
      <c r="V24" s="129">
        <v>0</v>
      </c>
      <c r="W24" s="129">
        <v>1511474</v>
      </c>
      <c r="X24" s="755">
        <v>0.33</v>
      </c>
      <c r="Y24" s="755">
        <v>0.3</v>
      </c>
      <c r="Z24" s="755">
        <v>0.37</v>
      </c>
      <c r="AA24" s="755">
        <v>0</v>
      </c>
      <c r="AB24" s="755">
        <v>1</v>
      </c>
      <c r="AC24" s="129">
        <v>-9853213</v>
      </c>
      <c r="AD24" s="129">
        <v>-8957467</v>
      </c>
      <c r="AE24" s="129">
        <v>-11047542</v>
      </c>
      <c r="AF24" s="129">
        <v>0</v>
      </c>
      <c r="AG24" s="129">
        <v>-29858222</v>
      </c>
      <c r="AH24" s="755">
        <v>0.33</v>
      </c>
      <c r="AI24" s="755">
        <v>0.3</v>
      </c>
      <c r="AJ24" s="755">
        <v>0.37</v>
      </c>
      <c r="AK24" s="755">
        <v>0</v>
      </c>
      <c r="AL24" s="755">
        <v>1</v>
      </c>
      <c r="AM24" s="129">
        <v>-438457</v>
      </c>
      <c r="AN24" s="129">
        <v>-398597</v>
      </c>
      <c r="AO24" s="129">
        <v>-491604</v>
      </c>
      <c r="AP24" s="129">
        <v>0</v>
      </c>
      <c r="AQ24" s="129">
        <v>-1328658</v>
      </c>
      <c r="AR24" s="129">
        <v>-9913802</v>
      </c>
      <c r="AS24" s="129">
        <v>-8630557</v>
      </c>
      <c r="AT24" s="129">
        <v>-11131048</v>
      </c>
      <c r="AU24" s="129">
        <v>0</v>
      </c>
      <c r="AV24" s="129">
        <v>-29675406</v>
      </c>
      <c r="AW24" s="662" t="s">
        <v>659</v>
      </c>
      <c r="AX24" s="324" t="s">
        <v>576</v>
      </c>
      <c r="AY24" s="669" t="s">
        <v>485</v>
      </c>
      <c r="AZ24" s="529" t="s">
        <v>1227</v>
      </c>
    </row>
    <row r="25" spans="1:52" ht="12.75" x14ac:dyDescent="0.2">
      <c r="A25" s="664">
        <v>18</v>
      </c>
      <c r="B25" s="665" t="s">
        <v>662</v>
      </c>
      <c r="C25" s="666" t="s">
        <v>1217</v>
      </c>
      <c r="D25" s="667" t="s">
        <v>1228</v>
      </c>
      <c r="E25" s="668" t="s">
        <v>661</v>
      </c>
      <c r="F25" s="129">
        <v>-229660816</v>
      </c>
      <c r="G25" s="129">
        <v>-1417140</v>
      </c>
      <c r="H25" s="129">
        <v>185306260</v>
      </c>
      <c r="I25" s="129">
        <v>6962588</v>
      </c>
      <c r="J25" s="129">
        <v>178343672</v>
      </c>
      <c r="K25" s="129">
        <v>-49900004</v>
      </c>
      <c r="L25" s="129">
        <v>33266669</v>
      </c>
      <c r="M25" s="129">
        <v>-196394147</v>
      </c>
      <c r="N25" s="755">
        <v>0</v>
      </c>
      <c r="O25" s="755">
        <v>0.99</v>
      </c>
      <c r="P25" s="755">
        <v>0</v>
      </c>
      <c r="Q25" s="755">
        <v>0.01</v>
      </c>
      <c r="R25" s="755">
        <v>1</v>
      </c>
      <c r="S25" s="129">
        <v>0</v>
      </c>
      <c r="T25" s="129">
        <v>-1402969</v>
      </c>
      <c r="U25" s="129">
        <v>0</v>
      </c>
      <c r="V25" s="129">
        <v>-14171</v>
      </c>
      <c r="W25" s="129">
        <v>-1417140</v>
      </c>
      <c r="X25" s="755">
        <v>0</v>
      </c>
      <c r="Y25" s="755">
        <v>0.99</v>
      </c>
      <c r="Z25" s="755">
        <v>0</v>
      </c>
      <c r="AA25" s="755">
        <v>0.01</v>
      </c>
      <c r="AB25" s="755">
        <v>1</v>
      </c>
      <c r="AC25" s="129">
        <v>0</v>
      </c>
      <c r="AD25" s="129">
        <v>-176560235</v>
      </c>
      <c r="AE25" s="129">
        <v>0</v>
      </c>
      <c r="AF25" s="129">
        <v>-1783437</v>
      </c>
      <c r="AG25" s="129">
        <v>-178343672</v>
      </c>
      <c r="AH25" s="755">
        <v>0</v>
      </c>
      <c r="AI25" s="755">
        <v>0.99</v>
      </c>
      <c r="AJ25" s="755">
        <v>0</v>
      </c>
      <c r="AK25" s="755">
        <v>0.01</v>
      </c>
      <c r="AL25" s="755">
        <v>1</v>
      </c>
      <c r="AM25" s="129">
        <v>0</v>
      </c>
      <c r="AN25" s="129">
        <v>-16467001</v>
      </c>
      <c r="AO25" s="129">
        <v>0</v>
      </c>
      <c r="AP25" s="129">
        <v>-166333</v>
      </c>
      <c r="AQ25" s="129">
        <v>-16633335</v>
      </c>
      <c r="AR25" s="129">
        <v>0</v>
      </c>
      <c r="AS25" s="129">
        <v>-194430205</v>
      </c>
      <c r="AT25" s="129">
        <v>0</v>
      </c>
      <c r="AU25" s="129">
        <v>-1963941</v>
      </c>
      <c r="AV25" s="129">
        <v>-196394147</v>
      </c>
      <c r="AW25" s="662" t="s">
        <v>661</v>
      </c>
      <c r="AX25" s="324" t="s">
        <v>570</v>
      </c>
      <c r="AY25" s="663" t="s">
        <v>574</v>
      </c>
      <c r="AZ25" s="529" t="s">
        <v>1229</v>
      </c>
    </row>
    <row r="26" spans="1:52" ht="12.75" x14ac:dyDescent="0.2">
      <c r="A26" s="664">
        <v>19</v>
      </c>
      <c r="B26" s="665" t="s">
        <v>664</v>
      </c>
      <c r="C26" s="666" t="s">
        <v>1201</v>
      </c>
      <c r="D26" s="667" t="s">
        <v>1206</v>
      </c>
      <c r="E26" s="668" t="s">
        <v>663</v>
      </c>
      <c r="F26" s="129">
        <v>-26027914</v>
      </c>
      <c r="G26" s="129">
        <v>1473865</v>
      </c>
      <c r="H26" s="129">
        <v>21363529</v>
      </c>
      <c r="I26" s="129">
        <v>111723</v>
      </c>
      <c r="J26" s="129">
        <v>21251806</v>
      </c>
      <c r="K26" s="129">
        <v>-6249973</v>
      </c>
      <c r="L26" s="129">
        <v>4166649</v>
      </c>
      <c r="M26" s="129">
        <v>-21861265</v>
      </c>
      <c r="N26" s="755">
        <v>0.25</v>
      </c>
      <c r="O26" s="755">
        <v>0.375</v>
      </c>
      <c r="P26" s="755">
        <v>0.36499999999999999</v>
      </c>
      <c r="Q26" s="755">
        <v>0.01</v>
      </c>
      <c r="R26" s="755">
        <v>1</v>
      </c>
      <c r="S26" s="129">
        <v>368466</v>
      </c>
      <c r="T26" s="129">
        <v>552699</v>
      </c>
      <c r="U26" s="129">
        <v>537961</v>
      </c>
      <c r="V26" s="129">
        <v>14739</v>
      </c>
      <c r="W26" s="129">
        <v>1473865</v>
      </c>
      <c r="X26" s="755">
        <v>0.5</v>
      </c>
      <c r="Y26" s="755">
        <v>0.4</v>
      </c>
      <c r="Z26" s="755">
        <v>0.09</v>
      </c>
      <c r="AA26" s="755">
        <v>0.01</v>
      </c>
      <c r="AB26" s="755">
        <v>1</v>
      </c>
      <c r="AC26" s="129">
        <v>-10625903</v>
      </c>
      <c r="AD26" s="129">
        <v>-8500722</v>
      </c>
      <c r="AE26" s="129">
        <v>-1912663</v>
      </c>
      <c r="AF26" s="129">
        <v>-212518</v>
      </c>
      <c r="AG26" s="129">
        <v>-21251806</v>
      </c>
      <c r="AH26" s="755">
        <v>0.5</v>
      </c>
      <c r="AI26" s="755">
        <v>0.4</v>
      </c>
      <c r="AJ26" s="755">
        <v>0.09</v>
      </c>
      <c r="AK26" s="755">
        <v>0.01</v>
      </c>
      <c r="AL26" s="755">
        <v>1</v>
      </c>
      <c r="AM26" s="129">
        <v>-1041662</v>
      </c>
      <c r="AN26" s="129">
        <v>-833330</v>
      </c>
      <c r="AO26" s="129">
        <v>-187499</v>
      </c>
      <c r="AP26" s="129">
        <v>-20833</v>
      </c>
      <c r="AQ26" s="129">
        <v>-2083324</v>
      </c>
      <c r="AR26" s="129">
        <v>-11299099</v>
      </c>
      <c r="AS26" s="129">
        <v>-8781353</v>
      </c>
      <c r="AT26" s="129">
        <v>-1562201</v>
      </c>
      <c r="AU26" s="129">
        <v>-218613</v>
      </c>
      <c r="AV26" s="129">
        <v>-21861265</v>
      </c>
      <c r="AW26" s="662" t="s">
        <v>663</v>
      </c>
      <c r="AX26" s="324" t="s">
        <v>551</v>
      </c>
      <c r="AY26" s="663" t="s">
        <v>549</v>
      </c>
      <c r="AZ26" s="529" t="s">
        <v>1230</v>
      </c>
    </row>
    <row r="27" spans="1:52" ht="12.75" x14ac:dyDescent="0.2">
      <c r="A27" s="664">
        <v>20</v>
      </c>
      <c r="B27" s="665" t="s">
        <v>665</v>
      </c>
      <c r="C27" s="666" t="s">
        <v>486</v>
      </c>
      <c r="D27" s="667" t="s">
        <v>1204</v>
      </c>
      <c r="E27" s="668" t="s">
        <v>544</v>
      </c>
      <c r="F27" s="129">
        <v>-17356915</v>
      </c>
      <c r="G27" s="129">
        <v>1921754</v>
      </c>
      <c r="H27" s="129">
        <v>18470000</v>
      </c>
      <c r="I27" s="129">
        <v>1300000</v>
      </c>
      <c r="J27" s="129">
        <v>17170000</v>
      </c>
      <c r="K27" s="129">
        <v>-2108669</v>
      </c>
      <c r="L27" s="129">
        <v>1405779</v>
      </c>
      <c r="M27" s="129">
        <v>-15951136</v>
      </c>
      <c r="N27" s="755">
        <v>0.25</v>
      </c>
      <c r="O27" s="755">
        <v>0.73499999999999999</v>
      </c>
      <c r="P27" s="755">
        <v>0</v>
      </c>
      <c r="Q27" s="755">
        <v>1.4999999999999999E-2</v>
      </c>
      <c r="R27" s="755">
        <v>1</v>
      </c>
      <c r="S27" s="129">
        <v>480439</v>
      </c>
      <c r="T27" s="129">
        <v>1412489</v>
      </c>
      <c r="U27" s="129">
        <v>0</v>
      </c>
      <c r="V27" s="129">
        <v>28826</v>
      </c>
      <c r="W27" s="129">
        <v>1921754</v>
      </c>
      <c r="X27" s="755">
        <v>0.5</v>
      </c>
      <c r="Y27" s="755">
        <v>0.49</v>
      </c>
      <c r="Z27" s="755">
        <v>0</v>
      </c>
      <c r="AA27" s="755">
        <v>0.01</v>
      </c>
      <c r="AB27" s="755">
        <v>1</v>
      </c>
      <c r="AC27" s="129">
        <v>-8585000</v>
      </c>
      <c r="AD27" s="129">
        <v>-8413300</v>
      </c>
      <c r="AE27" s="129">
        <v>0</v>
      </c>
      <c r="AF27" s="129">
        <v>-171700</v>
      </c>
      <c r="AG27" s="129">
        <v>-17170000</v>
      </c>
      <c r="AH27" s="755">
        <v>0.5</v>
      </c>
      <c r="AI27" s="755">
        <v>0.49</v>
      </c>
      <c r="AJ27" s="755">
        <v>0</v>
      </c>
      <c r="AK27" s="755">
        <v>0.01</v>
      </c>
      <c r="AL27" s="755">
        <v>1</v>
      </c>
      <c r="AM27" s="129">
        <v>-351445</v>
      </c>
      <c r="AN27" s="129">
        <v>-344416</v>
      </c>
      <c r="AO27" s="129">
        <v>0</v>
      </c>
      <c r="AP27" s="129">
        <v>-7029</v>
      </c>
      <c r="AQ27" s="129">
        <v>-702890</v>
      </c>
      <c r="AR27" s="129">
        <v>-8456006</v>
      </c>
      <c r="AS27" s="129">
        <v>-7345227</v>
      </c>
      <c r="AT27" s="129">
        <v>0</v>
      </c>
      <c r="AU27" s="129">
        <v>-149903</v>
      </c>
      <c r="AV27" s="129">
        <v>-15951136</v>
      </c>
      <c r="AW27" s="662" t="s">
        <v>544</v>
      </c>
      <c r="AX27" s="324" t="s">
        <v>486</v>
      </c>
      <c r="AY27" s="663" t="s">
        <v>545</v>
      </c>
      <c r="AZ27" s="529" t="s">
        <v>1231</v>
      </c>
    </row>
    <row r="28" spans="1:52" ht="12.75" x14ac:dyDescent="0.2">
      <c r="A28" s="664">
        <v>21</v>
      </c>
      <c r="B28" s="665" t="s">
        <v>667</v>
      </c>
      <c r="C28" s="666" t="s">
        <v>486</v>
      </c>
      <c r="D28" s="667" t="s">
        <v>1204</v>
      </c>
      <c r="E28" s="668" t="s">
        <v>546</v>
      </c>
      <c r="F28" s="129">
        <v>-28978599</v>
      </c>
      <c r="G28" s="129">
        <v>1292974</v>
      </c>
      <c r="H28" s="129">
        <v>30723000</v>
      </c>
      <c r="I28" s="129">
        <v>1676689</v>
      </c>
      <c r="J28" s="129">
        <v>29046311</v>
      </c>
      <c r="K28" s="129">
        <v>-1225262</v>
      </c>
      <c r="L28" s="129">
        <v>816841</v>
      </c>
      <c r="M28" s="129">
        <v>-28161758</v>
      </c>
      <c r="N28" s="755">
        <v>0.25</v>
      </c>
      <c r="O28" s="755">
        <v>0.73499999999999999</v>
      </c>
      <c r="P28" s="755">
        <v>0</v>
      </c>
      <c r="Q28" s="755">
        <v>1.4999999999999999E-2</v>
      </c>
      <c r="R28" s="755">
        <v>1</v>
      </c>
      <c r="S28" s="129">
        <v>323244</v>
      </c>
      <c r="T28" s="129">
        <v>950336</v>
      </c>
      <c r="U28" s="129">
        <v>0</v>
      </c>
      <c r="V28" s="129">
        <v>19395</v>
      </c>
      <c r="W28" s="129">
        <v>1292974</v>
      </c>
      <c r="X28" s="755">
        <v>0.5</v>
      </c>
      <c r="Y28" s="755">
        <v>0.49</v>
      </c>
      <c r="Z28" s="755">
        <v>0</v>
      </c>
      <c r="AA28" s="755">
        <v>0.01</v>
      </c>
      <c r="AB28" s="755">
        <v>1</v>
      </c>
      <c r="AC28" s="129">
        <v>-14523156</v>
      </c>
      <c r="AD28" s="129">
        <v>-14232692</v>
      </c>
      <c r="AE28" s="129">
        <v>0</v>
      </c>
      <c r="AF28" s="129">
        <v>-290463</v>
      </c>
      <c r="AG28" s="129">
        <v>-29046311</v>
      </c>
      <c r="AH28" s="755">
        <v>0.5</v>
      </c>
      <c r="AI28" s="755">
        <v>0.49</v>
      </c>
      <c r="AJ28" s="755">
        <v>0</v>
      </c>
      <c r="AK28" s="755">
        <v>0.01</v>
      </c>
      <c r="AL28" s="755">
        <v>1</v>
      </c>
      <c r="AM28" s="129">
        <v>-204210</v>
      </c>
      <c r="AN28" s="129">
        <v>-200126</v>
      </c>
      <c r="AO28" s="129">
        <v>0</v>
      </c>
      <c r="AP28" s="129">
        <v>-4084</v>
      </c>
      <c r="AQ28" s="129">
        <v>-408421</v>
      </c>
      <c r="AR28" s="129">
        <v>-14404122</v>
      </c>
      <c r="AS28" s="129">
        <v>-13482483</v>
      </c>
      <c r="AT28" s="129">
        <v>0</v>
      </c>
      <c r="AU28" s="129">
        <v>-275153</v>
      </c>
      <c r="AV28" s="129">
        <v>-28161758</v>
      </c>
      <c r="AW28" s="662" t="s">
        <v>546</v>
      </c>
      <c r="AX28" s="324" t="s">
        <v>486</v>
      </c>
      <c r="AY28" s="663" t="s">
        <v>545</v>
      </c>
      <c r="AZ28" s="529" t="s">
        <v>1232</v>
      </c>
    </row>
    <row r="29" spans="1:52" ht="12.75" x14ac:dyDescent="0.2">
      <c r="A29" s="664">
        <v>22</v>
      </c>
      <c r="B29" s="665" t="s">
        <v>669</v>
      </c>
      <c r="C29" s="666" t="s">
        <v>1201</v>
      </c>
      <c r="D29" s="667" t="s">
        <v>1206</v>
      </c>
      <c r="E29" s="668" t="s">
        <v>668</v>
      </c>
      <c r="F29" s="129">
        <v>-8178851</v>
      </c>
      <c r="G29" s="129">
        <v>-109082</v>
      </c>
      <c r="H29" s="129">
        <v>8276989</v>
      </c>
      <c r="I29" s="129">
        <v>486985</v>
      </c>
      <c r="J29" s="129">
        <v>7790004</v>
      </c>
      <c r="K29" s="129">
        <v>-279765</v>
      </c>
      <c r="L29" s="129">
        <v>186510</v>
      </c>
      <c r="M29" s="129">
        <v>-7992341</v>
      </c>
      <c r="N29" s="755">
        <v>0.5</v>
      </c>
      <c r="O29" s="755">
        <v>0.4</v>
      </c>
      <c r="P29" s="755">
        <v>0.09</v>
      </c>
      <c r="Q29" s="755">
        <v>0.01</v>
      </c>
      <c r="R29" s="755">
        <v>1</v>
      </c>
      <c r="S29" s="129">
        <v>-54541</v>
      </c>
      <c r="T29" s="129">
        <v>-43633</v>
      </c>
      <c r="U29" s="129">
        <v>-9817</v>
      </c>
      <c r="V29" s="129">
        <v>-1091</v>
      </c>
      <c r="W29" s="129">
        <v>-109082</v>
      </c>
      <c r="X29" s="755">
        <v>0.5</v>
      </c>
      <c r="Y29" s="755">
        <v>0.4</v>
      </c>
      <c r="Z29" s="755">
        <v>0.09</v>
      </c>
      <c r="AA29" s="755">
        <v>0.01</v>
      </c>
      <c r="AB29" s="755">
        <v>1</v>
      </c>
      <c r="AC29" s="129">
        <v>-3895002</v>
      </c>
      <c r="AD29" s="129">
        <v>-3116002</v>
      </c>
      <c r="AE29" s="129">
        <v>-701100</v>
      </c>
      <c r="AF29" s="129">
        <v>-77900</v>
      </c>
      <c r="AG29" s="129">
        <v>-7790004</v>
      </c>
      <c r="AH29" s="755">
        <v>0.5</v>
      </c>
      <c r="AI29" s="755">
        <v>0.4</v>
      </c>
      <c r="AJ29" s="755">
        <v>0.09</v>
      </c>
      <c r="AK29" s="755">
        <v>0.01</v>
      </c>
      <c r="AL29" s="755">
        <v>1</v>
      </c>
      <c r="AM29" s="129">
        <v>-46628</v>
      </c>
      <c r="AN29" s="129">
        <v>-37302</v>
      </c>
      <c r="AO29" s="129">
        <v>-8393</v>
      </c>
      <c r="AP29" s="129">
        <v>-933</v>
      </c>
      <c r="AQ29" s="129">
        <v>-93255</v>
      </c>
      <c r="AR29" s="129">
        <v>-3996171</v>
      </c>
      <c r="AS29" s="129">
        <v>-3196936</v>
      </c>
      <c r="AT29" s="129">
        <v>-719311</v>
      </c>
      <c r="AU29" s="129">
        <v>-79923</v>
      </c>
      <c r="AV29" s="129">
        <v>-7992341</v>
      </c>
      <c r="AW29" s="662" t="s">
        <v>668</v>
      </c>
      <c r="AX29" s="324" t="s">
        <v>516</v>
      </c>
      <c r="AY29" s="663" t="s">
        <v>515</v>
      </c>
      <c r="AZ29" s="529" t="s">
        <v>1233</v>
      </c>
    </row>
    <row r="30" spans="1:52" ht="12.75" x14ac:dyDescent="0.2">
      <c r="A30" s="664">
        <v>23</v>
      </c>
      <c r="B30" s="665" t="s">
        <v>671</v>
      </c>
      <c r="C30" s="666" t="s">
        <v>1217</v>
      </c>
      <c r="D30" s="667" t="s">
        <v>1204</v>
      </c>
      <c r="E30" s="668" t="s">
        <v>670</v>
      </c>
      <c r="F30" s="129">
        <v>-43958057</v>
      </c>
      <c r="G30" s="129">
        <v>77879</v>
      </c>
      <c r="H30" s="129">
        <v>42508577</v>
      </c>
      <c r="I30" s="129">
        <v>1700000</v>
      </c>
      <c r="J30" s="129">
        <v>40808577</v>
      </c>
      <c r="K30" s="129">
        <v>-3227359</v>
      </c>
      <c r="L30" s="129">
        <v>2151573</v>
      </c>
      <c r="M30" s="129">
        <v>-41806484</v>
      </c>
      <c r="N30" s="755">
        <v>0</v>
      </c>
      <c r="O30" s="755">
        <v>0.99</v>
      </c>
      <c r="P30" s="755">
        <v>0</v>
      </c>
      <c r="Q30" s="755">
        <v>0.01</v>
      </c>
      <c r="R30" s="755">
        <v>1</v>
      </c>
      <c r="S30" s="129">
        <v>0</v>
      </c>
      <c r="T30" s="129">
        <v>77100</v>
      </c>
      <c r="U30" s="129">
        <v>0</v>
      </c>
      <c r="V30" s="129">
        <v>779</v>
      </c>
      <c r="W30" s="129">
        <v>77879</v>
      </c>
      <c r="X30" s="755">
        <v>0</v>
      </c>
      <c r="Y30" s="755">
        <v>0.99</v>
      </c>
      <c r="Z30" s="755">
        <v>0</v>
      </c>
      <c r="AA30" s="755">
        <v>0.01</v>
      </c>
      <c r="AB30" s="755">
        <v>1</v>
      </c>
      <c r="AC30" s="129">
        <v>0</v>
      </c>
      <c r="AD30" s="129">
        <v>-40400491</v>
      </c>
      <c r="AE30" s="129">
        <v>0</v>
      </c>
      <c r="AF30" s="129">
        <v>-408086</v>
      </c>
      <c r="AG30" s="129">
        <v>-40808577</v>
      </c>
      <c r="AH30" s="755">
        <v>0</v>
      </c>
      <c r="AI30" s="755">
        <v>0.99</v>
      </c>
      <c r="AJ30" s="755">
        <v>0</v>
      </c>
      <c r="AK30" s="755">
        <v>0.01</v>
      </c>
      <c r="AL30" s="755">
        <v>1</v>
      </c>
      <c r="AM30" s="129">
        <v>0</v>
      </c>
      <c r="AN30" s="129">
        <v>-1065028</v>
      </c>
      <c r="AO30" s="129">
        <v>0</v>
      </c>
      <c r="AP30" s="129">
        <v>-10758</v>
      </c>
      <c r="AQ30" s="129">
        <v>-1075786</v>
      </c>
      <c r="AR30" s="129">
        <v>0</v>
      </c>
      <c r="AS30" s="129">
        <v>-41388419</v>
      </c>
      <c r="AT30" s="129">
        <v>0</v>
      </c>
      <c r="AU30" s="129">
        <v>-418065</v>
      </c>
      <c r="AV30" s="129">
        <v>-41806484</v>
      </c>
      <c r="AW30" s="662" t="s">
        <v>670</v>
      </c>
      <c r="AX30" s="324" t="s">
        <v>570</v>
      </c>
      <c r="AY30" s="663" t="s">
        <v>1915</v>
      </c>
      <c r="AZ30" s="529" t="s">
        <v>1234</v>
      </c>
    </row>
    <row r="31" spans="1:52" ht="12.75" x14ac:dyDescent="0.2">
      <c r="A31" s="664">
        <v>24</v>
      </c>
      <c r="B31" s="665" t="s">
        <v>673</v>
      </c>
      <c r="C31" s="666" t="s">
        <v>1201</v>
      </c>
      <c r="D31" s="667" t="s">
        <v>1206</v>
      </c>
      <c r="E31" s="668" t="s">
        <v>672</v>
      </c>
      <c r="F31" s="129">
        <v>-9209672</v>
      </c>
      <c r="G31" s="129">
        <v>-146642</v>
      </c>
      <c r="H31" s="129">
        <v>10429653</v>
      </c>
      <c r="I31" s="129">
        <v>377421</v>
      </c>
      <c r="J31" s="129">
        <v>10052232</v>
      </c>
      <c r="K31" s="129">
        <v>989202</v>
      </c>
      <c r="L31" s="129">
        <v>0</v>
      </c>
      <c r="M31" s="129">
        <v>-9209672</v>
      </c>
      <c r="N31" s="755">
        <v>0.5</v>
      </c>
      <c r="O31" s="755">
        <v>0.4</v>
      </c>
      <c r="P31" s="755">
        <v>0.1</v>
      </c>
      <c r="Q31" s="755">
        <v>0</v>
      </c>
      <c r="R31" s="755">
        <v>1</v>
      </c>
      <c r="S31" s="129">
        <v>-73321</v>
      </c>
      <c r="T31" s="129">
        <v>-58657</v>
      </c>
      <c r="U31" s="129">
        <v>-14664</v>
      </c>
      <c r="V31" s="129">
        <v>0</v>
      </c>
      <c r="W31" s="129">
        <v>-146642</v>
      </c>
      <c r="X31" s="755">
        <v>0.5</v>
      </c>
      <c r="Y31" s="755">
        <v>0.4</v>
      </c>
      <c r="Z31" s="755">
        <v>0.1</v>
      </c>
      <c r="AA31" s="755">
        <v>0</v>
      </c>
      <c r="AB31" s="755">
        <v>1</v>
      </c>
      <c r="AC31" s="129">
        <v>-4531515</v>
      </c>
      <c r="AD31" s="129">
        <v>-3625212</v>
      </c>
      <c r="AE31" s="129">
        <v>-906303</v>
      </c>
      <c r="AF31" s="129">
        <v>0</v>
      </c>
      <c r="AG31" s="129">
        <v>-9063030</v>
      </c>
      <c r="AH31" s="755">
        <v>0.5</v>
      </c>
      <c r="AI31" s="755">
        <v>0.4</v>
      </c>
      <c r="AJ31" s="755">
        <v>0.1</v>
      </c>
      <c r="AK31" s="755">
        <v>0</v>
      </c>
      <c r="AL31" s="755">
        <v>1</v>
      </c>
      <c r="AM31" s="129">
        <v>0</v>
      </c>
      <c r="AN31" s="129">
        <v>0</v>
      </c>
      <c r="AO31" s="129">
        <v>0</v>
      </c>
      <c r="AP31" s="129">
        <v>0</v>
      </c>
      <c r="AQ31" s="129">
        <v>0</v>
      </c>
      <c r="AR31" s="129">
        <v>-4604836</v>
      </c>
      <c r="AS31" s="129">
        <v>-3683869</v>
      </c>
      <c r="AT31" s="129">
        <v>-920967</v>
      </c>
      <c r="AU31" s="129">
        <v>0</v>
      </c>
      <c r="AV31" s="129">
        <v>-9209672</v>
      </c>
      <c r="AW31" s="662" t="s">
        <v>672</v>
      </c>
      <c r="AX31" s="324" t="s">
        <v>552</v>
      </c>
      <c r="AY31" s="663" t="s">
        <v>512</v>
      </c>
      <c r="AZ31" s="529" t="s">
        <v>1235</v>
      </c>
    </row>
    <row r="32" spans="1:52" ht="12.75" x14ac:dyDescent="0.2">
      <c r="A32" s="664">
        <v>25</v>
      </c>
      <c r="B32" s="665" t="s">
        <v>1017</v>
      </c>
      <c r="C32" s="666" t="s">
        <v>486</v>
      </c>
      <c r="D32" s="667" t="s">
        <v>1224</v>
      </c>
      <c r="E32" s="668" t="s">
        <v>1027</v>
      </c>
      <c r="F32" s="129">
        <v>-85767224</v>
      </c>
      <c r="G32" s="129">
        <v>86598</v>
      </c>
      <c r="H32" s="129">
        <v>86496094</v>
      </c>
      <c r="I32" s="129">
        <v>5858845</v>
      </c>
      <c r="J32" s="129">
        <v>80637249</v>
      </c>
      <c r="K32" s="129">
        <v>-5216573</v>
      </c>
      <c r="L32" s="129">
        <v>3477715</v>
      </c>
      <c r="M32" s="129">
        <v>-82289508</v>
      </c>
      <c r="N32" s="755">
        <v>0.5</v>
      </c>
      <c r="O32" s="755">
        <v>0.49</v>
      </c>
      <c r="P32" s="755">
        <v>0</v>
      </c>
      <c r="Q32" s="755">
        <v>0.01</v>
      </c>
      <c r="R32" s="755">
        <v>1</v>
      </c>
      <c r="S32" s="129">
        <v>43299</v>
      </c>
      <c r="T32" s="129">
        <v>42433</v>
      </c>
      <c r="U32" s="129">
        <v>0</v>
      </c>
      <c r="V32" s="129">
        <v>866</v>
      </c>
      <c r="W32" s="129">
        <v>86598</v>
      </c>
      <c r="X32" s="755">
        <v>0.5</v>
      </c>
      <c r="Y32" s="755">
        <v>0.49</v>
      </c>
      <c r="Z32" s="755">
        <v>0</v>
      </c>
      <c r="AA32" s="755">
        <v>0.01</v>
      </c>
      <c r="AB32" s="755">
        <v>1</v>
      </c>
      <c r="AC32" s="129">
        <v>-40318625</v>
      </c>
      <c r="AD32" s="129">
        <v>-39512252</v>
      </c>
      <c r="AE32" s="129">
        <v>0</v>
      </c>
      <c r="AF32" s="129">
        <v>-806372</v>
      </c>
      <c r="AG32" s="129">
        <v>-80637249</v>
      </c>
      <c r="AH32" s="755">
        <v>0.5</v>
      </c>
      <c r="AI32" s="755">
        <v>0.49</v>
      </c>
      <c r="AJ32" s="755">
        <v>0</v>
      </c>
      <c r="AK32" s="755">
        <v>0.01</v>
      </c>
      <c r="AL32" s="755">
        <v>1</v>
      </c>
      <c r="AM32" s="129">
        <v>-869429</v>
      </c>
      <c r="AN32" s="129">
        <v>-852040</v>
      </c>
      <c r="AO32" s="129">
        <v>0</v>
      </c>
      <c r="AP32" s="129">
        <v>-17389</v>
      </c>
      <c r="AQ32" s="129">
        <v>-1738858</v>
      </c>
      <c r="AR32" s="129">
        <v>-41144754</v>
      </c>
      <c r="AS32" s="129">
        <v>-40321859</v>
      </c>
      <c r="AT32" s="129">
        <v>0</v>
      </c>
      <c r="AU32" s="129">
        <v>-822895</v>
      </c>
      <c r="AV32" s="129">
        <v>-82289508</v>
      </c>
      <c r="AW32" s="662" t="s">
        <v>1027</v>
      </c>
      <c r="AX32" s="324" t="s">
        <v>486</v>
      </c>
      <c r="AY32" s="663" t="s">
        <v>1916</v>
      </c>
      <c r="AZ32" s="529" t="s">
        <v>1236</v>
      </c>
    </row>
    <row r="33" spans="1:52" ht="12.75" x14ac:dyDescent="0.2">
      <c r="A33" s="664">
        <v>26</v>
      </c>
      <c r="B33" s="665" t="s">
        <v>674</v>
      </c>
      <c r="C33" s="666" t="s">
        <v>486</v>
      </c>
      <c r="D33" s="667" t="s">
        <v>1202</v>
      </c>
      <c r="E33" s="668" t="s">
        <v>493</v>
      </c>
      <c r="F33" s="129">
        <v>-23458437</v>
      </c>
      <c r="G33" s="129">
        <v>-587086</v>
      </c>
      <c r="H33" s="129">
        <v>26641110</v>
      </c>
      <c r="I33" s="129">
        <v>1057740</v>
      </c>
      <c r="J33" s="129">
        <v>25583370</v>
      </c>
      <c r="K33" s="129">
        <v>2712019</v>
      </c>
      <c r="L33" s="129">
        <v>0</v>
      </c>
      <c r="M33" s="129">
        <v>-23458437</v>
      </c>
      <c r="N33" s="755">
        <v>0.25</v>
      </c>
      <c r="O33" s="755">
        <v>0.74</v>
      </c>
      <c r="P33" s="755">
        <v>0</v>
      </c>
      <c r="Q33" s="755">
        <v>0.01</v>
      </c>
      <c r="R33" s="755">
        <v>1</v>
      </c>
      <c r="S33" s="129">
        <v>-146772</v>
      </c>
      <c r="T33" s="129">
        <v>-434444</v>
      </c>
      <c r="U33" s="129">
        <v>0</v>
      </c>
      <c r="V33" s="129">
        <v>-5871</v>
      </c>
      <c r="W33" s="129">
        <v>-587086</v>
      </c>
      <c r="X33" s="755">
        <v>0.5</v>
      </c>
      <c r="Y33" s="755">
        <v>0.49</v>
      </c>
      <c r="Z33" s="755">
        <v>0</v>
      </c>
      <c r="AA33" s="755">
        <v>0.01</v>
      </c>
      <c r="AB33" s="755">
        <v>1</v>
      </c>
      <c r="AC33" s="129">
        <v>-11435676</v>
      </c>
      <c r="AD33" s="129">
        <v>-11206962</v>
      </c>
      <c r="AE33" s="129">
        <v>0</v>
      </c>
      <c r="AF33" s="129">
        <v>-228714</v>
      </c>
      <c r="AG33" s="129">
        <v>-22871351</v>
      </c>
      <c r="AH33" s="755">
        <v>0.5</v>
      </c>
      <c r="AI33" s="755">
        <v>0.49</v>
      </c>
      <c r="AJ33" s="755">
        <v>0</v>
      </c>
      <c r="AK33" s="755">
        <v>0.01</v>
      </c>
      <c r="AL33" s="755">
        <v>1</v>
      </c>
      <c r="AM33" s="129">
        <v>0</v>
      </c>
      <c r="AN33" s="129">
        <v>0</v>
      </c>
      <c r="AO33" s="129">
        <v>0</v>
      </c>
      <c r="AP33" s="129">
        <v>0</v>
      </c>
      <c r="AQ33" s="129">
        <v>0</v>
      </c>
      <c r="AR33" s="129">
        <v>-11582447</v>
      </c>
      <c r="AS33" s="129">
        <v>-11641406</v>
      </c>
      <c r="AT33" s="129">
        <v>0</v>
      </c>
      <c r="AU33" s="129">
        <v>-234584</v>
      </c>
      <c r="AV33" s="129">
        <v>-23458437</v>
      </c>
      <c r="AW33" s="662" t="s">
        <v>493</v>
      </c>
      <c r="AX33" s="324" t="s">
        <v>486</v>
      </c>
      <c r="AY33" s="663" t="s">
        <v>494</v>
      </c>
      <c r="AZ33" s="529" t="s">
        <v>1237</v>
      </c>
    </row>
    <row r="34" spans="1:52" ht="12.75" x14ac:dyDescent="0.2">
      <c r="A34" s="664">
        <v>27</v>
      </c>
      <c r="B34" s="665" t="s">
        <v>676</v>
      </c>
      <c r="C34" s="666" t="s">
        <v>1217</v>
      </c>
      <c r="D34" s="667" t="s">
        <v>1218</v>
      </c>
      <c r="E34" s="668" t="s">
        <v>675</v>
      </c>
      <c r="F34" s="129">
        <v>-48693838</v>
      </c>
      <c r="G34" s="129">
        <v>787842</v>
      </c>
      <c r="H34" s="129">
        <v>59283728</v>
      </c>
      <c r="I34" s="129">
        <v>3470742</v>
      </c>
      <c r="J34" s="129">
        <v>55812986</v>
      </c>
      <c r="K34" s="129">
        <v>6331306</v>
      </c>
      <c r="L34" s="129">
        <v>0</v>
      </c>
      <c r="M34" s="129">
        <v>-48693838</v>
      </c>
      <c r="N34" s="755">
        <v>0.25</v>
      </c>
      <c r="O34" s="755">
        <v>0.74</v>
      </c>
      <c r="P34" s="755">
        <v>0</v>
      </c>
      <c r="Q34" s="755">
        <v>0.01</v>
      </c>
      <c r="R34" s="755">
        <v>1</v>
      </c>
      <c r="S34" s="129">
        <v>196960</v>
      </c>
      <c r="T34" s="129">
        <v>583003</v>
      </c>
      <c r="U34" s="129">
        <v>0</v>
      </c>
      <c r="V34" s="129">
        <v>7878</v>
      </c>
      <c r="W34" s="129">
        <v>787842</v>
      </c>
      <c r="X34" s="755">
        <v>0.5</v>
      </c>
      <c r="Y34" s="755">
        <v>0.49</v>
      </c>
      <c r="Z34" s="755">
        <v>0</v>
      </c>
      <c r="AA34" s="755">
        <v>0.01</v>
      </c>
      <c r="AB34" s="755">
        <v>1</v>
      </c>
      <c r="AC34" s="129">
        <v>-24740840</v>
      </c>
      <c r="AD34" s="129">
        <v>-24246023</v>
      </c>
      <c r="AE34" s="129">
        <v>0</v>
      </c>
      <c r="AF34" s="129">
        <v>-494817</v>
      </c>
      <c r="AG34" s="129">
        <v>-49481680</v>
      </c>
      <c r="AH34" s="755">
        <v>0.5</v>
      </c>
      <c r="AI34" s="755">
        <v>0.49</v>
      </c>
      <c r="AJ34" s="755">
        <v>0</v>
      </c>
      <c r="AK34" s="755">
        <v>0.01</v>
      </c>
      <c r="AL34" s="755">
        <v>1</v>
      </c>
      <c r="AM34" s="129">
        <v>0</v>
      </c>
      <c r="AN34" s="129">
        <v>0</v>
      </c>
      <c r="AO34" s="129">
        <v>0</v>
      </c>
      <c r="AP34" s="129">
        <v>0</v>
      </c>
      <c r="AQ34" s="129">
        <v>0</v>
      </c>
      <c r="AR34" s="129">
        <v>-24543880</v>
      </c>
      <c r="AS34" s="129">
        <v>-23663020</v>
      </c>
      <c r="AT34" s="129">
        <v>0</v>
      </c>
      <c r="AU34" s="129">
        <v>-486938</v>
      </c>
      <c r="AV34" s="129">
        <v>-48693838</v>
      </c>
      <c r="AW34" s="662" t="s">
        <v>675</v>
      </c>
      <c r="AX34" s="324" t="s">
        <v>570</v>
      </c>
      <c r="AY34" s="663" t="s">
        <v>575</v>
      </c>
      <c r="AZ34" s="529" t="s">
        <v>1238</v>
      </c>
    </row>
    <row r="35" spans="1:52" ht="12.75" x14ac:dyDescent="0.2">
      <c r="A35" s="664">
        <v>28</v>
      </c>
      <c r="B35" s="665" t="s">
        <v>678</v>
      </c>
      <c r="C35" s="666" t="s">
        <v>1201</v>
      </c>
      <c r="D35" s="667" t="s">
        <v>1211</v>
      </c>
      <c r="E35" s="668" t="s">
        <v>677</v>
      </c>
      <c r="F35" s="129">
        <v>-19281832</v>
      </c>
      <c r="G35" s="129">
        <v>292013</v>
      </c>
      <c r="H35" s="129">
        <v>19114375</v>
      </c>
      <c r="I35" s="129">
        <v>830782</v>
      </c>
      <c r="J35" s="129">
        <v>18283593</v>
      </c>
      <c r="K35" s="129">
        <v>-1290252</v>
      </c>
      <c r="L35" s="129">
        <v>860168</v>
      </c>
      <c r="M35" s="129">
        <v>-18421664</v>
      </c>
      <c r="N35" s="755">
        <v>0.5</v>
      </c>
      <c r="O35" s="755">
        <v>0.4</v>
      </c>
      <c r="P35" s="755">
        <v>0.09</v>
      </c>
      <c r="Q35" s="755">
        <v>0.01</v>
      </c>
      <c r="R35" s="755">
        <v>1</v>
      </c>
      <c r="S35" s="129">
        <v>146007</v>
      </c>
      <c r="T35" s="129">
        <v>116805</v>
      </c>
      <c r="U35" s="129">
        <v>26281</v>
      </c>
      <c r="V35" s="129">
        <v>2920</v>
      </c>
      <c r="W35" s="129">
        <v>292013</v>
      </c>
      <c r="X35" s="755">
        <v>0.5</v>
      </c>
      <c r="Y35" s="755">
        <v>0.4</v>
      </c>
      <c r="Z35" s="755">
        <v>0.09</v>
      </c>
      <c r="AA35" s="755">
        <v>0.01</v>
      </c>
      <c r="AB35" s="755">
        <v>1</v>
      </c>
      <c r="AC35" s="129">
        <v>-9141797</v>
      </c>
      <c r="AD35" s="129">
        <v>-7313437</v>
      </c>
      <c r="AE35" s="129">
        <v>-1645523</v>
      </c>
      <c r="AF35" s="129">
        <v>-182836</v>
      </c>
      <c r="AG35" s="129">
        <v>-18283593</v>
      </c>
      <c r="AH35" s="755">
        <v>0.5</v>
      </c>
      <c r="AI35" s="755">
        <v>0.4</v>
      </c>
      <c r="AJ35" s="755">
        <v>0.09</v>
      </c>
      <c r="AK35" s="755">
        <v>0.01</v>
      </c>
      <c r="AL35" s="755">
        <v>1</v>
      </c>
      <c r="AM35" s="129">
        <v>-215042</v>
      </c>
      <c r="AN35" s="129">
        <v>-172034</v>
      </c>
      <c r="AO35" s="129">
        <v>-38708</v>
      </c>
      <c r="AP35" s="129">
        <v>-4301</v>
      </c>
      <c r="AQ35" s="129">
        <v>-430084</v>
      </c>
      <c r="AR35" s="129">
        <v>-9210832</v>
      </c>
      <c r="AS35" s="129">
        <v>-7368666</v>
      </c>
      <c r="AT35" s="129">
        <v>-1657950</v>
      </c>
      <c r="AU35" s="129">
        <v>-184217</v>
      </c>
      <c r="AV35" s="129">
        <v>-18421664</v>
      </c>
      <c r="AW35" s="662" t="s">
        <v>677</v>
      </c>
      <c r="AX35" s="324" t="s">
        <v>528</v>
      </c>
      <c r="AY35" s="663" t="s">
        <v>1913</v>
      </c>
      <c r="AZ35" s="529" t="s">
        <v>1239</v>
      </c>
    </row>
    <row r="36" spans="1:52" ht="12.75" x14ac:dyDescent="0.2">
      <c r="A36" s="664">
        <v>29</v>
      </c>
      <c r="B36" s="665" t="s">
        <v>680</v>
      </c>
      <c r="C36" s="666" t="s">
        <v>1201</v>
      </c>
      <c r="D36" s="667" t="s">
        <v>1211</v>
      </c>
      <c r="E36" s="668" t="s">
        <v>679</v>
      </c>
      <c r="F36" s="129">
        <v>-16852644</v>
      </c>
      <c r="G36" s="129">
        <v>-60142</v>
      </c>
      <c r="H36" s="129">
        <v>14619733</v>
      </c>
      <c r="I36" s="129">
        <v>727637</v>
      </c>
      <c r="J36" s="129">
        <v>13892096</v>
      </c>
      <c r="K36" s="129">
        <v>-2900406</v>
      </c>
      <c r="L36" s="129">
        <v>1933604</v>
      </c>
      <c r="M36" s="129">
        <v>-14919040</v>
      </c>
      <c r="N36" s="755">
        <v>0.25</v>
      </c>
      <c r="O36" s="755">
        <v>0.42499999999999999</v>
      </c>
      <c r="P36" s="755">
        <v>0.32500000000000001</v>
      </c>
      <c r="Q36" s="755">
        <v>0</v>
      </c>
      <c r="R36" s="755">
        <v>1</v>
      </c>
      <c r="S36" s="129">
        <v>-15036</v>
      </c>
      <c r="T36" s="129">
        <v>-25560</v>
      </c>
      <c r="U36" s="129">
        <v>-19546</v>
      </c>
      <c r="V36" s="129">
        <v>0</v>
      </c>
      <c r="W36" s="129">
        <v>-60142</v>
      </c>
      <c r="X36" s="755">
        <v>0.5</v>
      </c>
      <c r="Y36" s="755">
        <v>0.4</v>
      </c>
      <c r="Z36" s="755">
        <v>0.1</v>
      </c>
      <c r="AA36" s="755">
        <v>0</v>
      </c>
      <c r="AB36" s="755">
        <v>1</v>
      </c>
      <c r="AC36" s="129">
        <v>-6946048</v>
      </c>
      <c r="AD36" s="129">
        <v>-5556838</v>
      </c>
      <c r="AE36" s="129">
        <v>-1389210</v>
      </c>
      <c r="AF36" s="129">
        <v>0</v>
      </c>
      <c r="AG36" s="129">
        <v>-13892096</v>
      </c>
      <c r="AH36" s="755">
        <v>0.5</v>
      </c>
      <c r="AI36" s="755">
        <v>0.4</v>
      </c>
      <c r="AJ36" s="755">
        <v>0.1</v>
      </c>
      <c r="AK36" s="755">
        <v>0</v>
      </c>
      <c r="AL36" s="755">
        <v>1</v>
      </c>
      <c r="AM36" s="129">
        <v>-483401</v>
      </c>
      <c r="AN36" s="129">
        <v>-386721</v>
      </c>
      <c r="AO36" s="129">
        <v>-96680</v>
      </c>
      <c r="AP36" s="129">
        <v>0</v>
      </c>
      <c r="AQ36" s="129">
        <v>-966802</v>
      </c>
      <c r="AR36" s="129">
        <v>-7444485</v>
      </c>
      <c r="AS36" s="129">
        <v>-5969120</v>
      </c>
      <c r="AT36" s="129">
        <v>-1505436</v>
      </c>
      <c r="AU36" s="129">
        <v>0</v>
      </c>
      <c r="AV36" s="129">
        <v>-14919040</v>
      </c>
      <c r="AW36" s="662" t="s">
        <v>679</v>
      </c>
      <c r="AX36" s="324" t="s">
        <v>553</v>
      </c>
      <c r="AY36" s="663" t="s">
        <v>512</v>
      </c>
      <c r="AZ36" s="529" t="s">
        <v>1240</v>
      </c>
    </row>
    <row r="37" spans="1:52" ht="12.75" x14ac:dyDescent="0.2">
      <c r="A37" s="664">
        <v>30</v>
      </c>
      <c r="B37" s="665" t="s">
        <v>682</v>
      </c>
      <c r="C37" s="666" t="s">
        <v>1213</v>
      </c>
      <c r="D37" s="667" t="s">
        <v>1214</v>
      </c>
      <c r="E37" s="668" t="s">
        <v>681</v>
      </c>
      <c r="F37" s="129">
        <v>-67351125</v>
      </c>
      <c r="G37" s="129">
        <v>-1383460</v>
      </c>
      <c r="H37" s="129">
        <v>61544650</v>
      </c>
      <c r="I37" s="129">
        <v>6718100</v>
      </c>
      <c r="J37" s="129">
        <v>54826550</v>
      </c>
      <c r="K37" s="129">
        <v>-11141115</v>
      </c>
      <c r="L37" s="129">
        <v>7427410</v>
      </c>
      <c r="M37" s="129">
        <v>-59923715</v>
      </c>
      <c r="N37" s="755">
        <v>0.25</v>
      </c>
      <c r="O37" s="755">
        <v>0.48</v>
      </c>
      <c r="P37" s="755">
        <v>0.27</v>
      </c>
      <c r="Q37" s="755">
        <v>0</v>
      </c>
      <c r="R37" s="755">
        <v>1</v>
      </c>
      <c r="S37" s="129">
        <v>-345865</v>
      </c>
      <c r="T37" s="129">
        <v>-664061</v>
      </c>
      <c r="U37" s="129">
        <v>-373534</v>
      </c>
      <c r="V37" s="129">
        <v>0</v>
      </c>
      <c r="W37" s="129">
        <v>-1383460</v>
      </c>
      <c r="X37" s="755">
        <v>0.33</v>
      </c>
      <c r="Y37" s="755">
        <v>0.3</v>
      </c>
      <c r="Z37" s="755">
        <v>0.37</v>
      </c>
      <c r="AA37" s="755">
        <v>0</v>
      </c>
      <c r="AB37" s="755">
        <v>1</v>
      </c>
      <c r="AC37" s="129">
        <v>-18092762</v>
      </c>
      <c r="AD37" s="129">
        <v>-16447965</v>
      </c>
      <c r="AE37" s="129">
        <v>-20285824</v>
      </c>
      <c r="AF37" s="129">
        <v>0</v>
      </c>
      <c r="AG37" s="129">
        <v>-54826550</v>
      </c>
      <c r="AH37" s="755">
        <v>0.33</v>
      </c>
      <c r="AI37" s="755">
        <v>0.3</v>
      </c>
      <c r="AJ37" s="755">
        <v>0.37</v>
      </c>
      <c r="AK37" s="755">
        <v>0</v>
      </c>
      <c r="AL37" s="755">
        <v>1</v>
      </c>
      <c r="AM37" s="129">
        <v>-1225523</v>
      </c>
      <c r="AN37" s="129">
        <v>-1114112</v>
      </c>
      <c r="AO37" s="129">
        <v>-1374071</v>
      </c>
      <c r="AP37" s="129">
        <v>0</v>
      </c>
      <c r="AQ37" s="129">
        <v>-3713705</v>
      </c>
      <c r="AR37" s="129">
        <v>-19664149</v>
      </c>
      <c r="AS37" s="129">
        <v>-18226137</v>
      </c>
      <c r="AT37" s="129">
        <v>-22033429</v>
      </c>
      <c r="AU37" s="129">
        <v>0</v>
      </c>
      <c r="AV37" s="129">
        <v>-59923715</v>
      </c>
      <c r="AW37" s="662" t="s">
        <v>681</v>
      </c>
      <c r="AX37" s="324" t="s">
        <v>576</v>
      </c>
      <c r="AY37" s="669" t="s">
        <v>485</v>
      </c>
      <c r="AZ37" s="529" t="s">
        <v>1241</v>
      </c>
    </row>
    <row r="38" spans="1:52" ht="12.75" x14ac:dyDescent="0.2">
      <c r="A38" s="664">
        <v>31</v>
      </c>
      <c r="B38" s="665" t="s">
        <v>684</v>
      </c>
      <c r="C38" s="666" t="s">
        <v>1201</v>
      </c>
      <c r="D38" s="667" t="s">
        <v>1211</v>
      </c>
      <c r="E38" s="668" t="s">
        <v>683</v>
      </c>
      <c r="F38" s="129">
        <v>-13814180</v>
      </c>
      <c r="G38" s="129">
        <v>-900863</v>
      </c>
      <c r="H38" s="129">
        <v>12582156</v>
      </c>
      <c r="I38" s="129">
        <v>1105588</v>
      </c>
      <c r="J38" s="129">
        <v>11476568</v>
      </c>
      <c r="K38" s="129">
        <v>-1436749</v>
      </c>
      <c r="L38" s="129">
        <v>957833</v>
      </c>
      <c r="M38" s="129">
        <v>-12856347</v>
      </c>
      <c r="N38" s="755">
        <v>0.5</v>
      </c>
      <c r="O38" s="755">
        <v>0.4</v>
      </c>
      <c r="P38" s="755">
        <v>0.09</v>
      </c>
      <c r="Q38" s="755">
        <v>0.01</v>
      </c>
      <c r="R38" s="755">
        <v>1</v>
      </c>
      <c r="S38" s="129">
        <v>-450432</v>
      </c>
      <c r="T38" s="129">
        <v>-360345</v>
      </c>
      <c r="U38" s="129">
        <v>-81078</v>
      </c>
      <c r="V38" s="129">
        <v>-9009</v>
      </c>
      <c r="W38" s="129">
        <v>-900863</v>
      </c>
      <c r="X38" s="755">
        <v>0.5</v>
      </c>
      <c r="Y38" s="755">
        <v>0.4</v>
      </c>
      <c r="Z38" s="755">
        <v>0.09</v>
      </c>
      <c r="AA38" s="755">
        <v>0.01</v>
      </c>
      <c r="AB38" s="755">
        <v>1</v>
      </c>
      <c r="AC38" s="129">
        <v>-5738284</v>
      </c>
      <c r="AD38" s="129">
        <v>-4590627</v>
      </c>
      <c r="AE38" s="129">
        <v>-1032891</v>
      </c>
      <c r="AF38" s="129">
        <v>-114766</v>
      </c>
      <c r="AG38" s="129">
        <v>-11476568</v>
      </c>
      <c r="AH38" s="755">
        <v>0.5</v>
      </c>
      <c r="AI38" s="755">
        <v>0.4</v>
      </c>
      <c r="AJ38" s="755">
        <v>0.09</v>
      </c>
      <c r="AK38" s="755">
        <v>0.01</v>
      </c>
      <c r="AL38" s="755">
        <v>1</v>
      </c>
      <c r="AM38" s="129">
        <v>-239458</v>
      </c>
      <c r="AN38" s="129">
        <v>-191567</v>
      </c>
      <c r="AO38" s="129">
        <v>-43102</v>
      </c>
      <c r="AP38" s="129">
        <v>-4789</v>
      </c>
      <c r="AQ38" s="129">
        <v>-478916</v>
      </c>
      <c r="AR38" s="129">
        <v>-6428174</v>
      </c>
      <c r="AS38" s="129">
        <v>-5142539</v>
      </c>
      <c r="AT38" s="129">
        <v>-1157071</v>
      </c>
      <c r="AU38" s="129">
        <v>-128563</v>
      </c>
      <c r="AV38" s="129">
        <v>-12856347</v>
      </c>
      <c r="AW38" s="662" t="s">
        <v>683</v>
      </c>
      <c r="AX38" s="324" t="s">
        <v>528</v>
      </c>
      <c r="AY38" s="663" t="s">
        <v>1913</v>
      </c>
      <c r="AZ38" s="529" t="s">
        <v>1242</v>
      </c>
    </row>
    <row r="39" spans="1:52" ht="12.75" x14ac:dyDescent="0.2">
      <c r="A39" s="664">
        <v>32</v>
      </c>
      <c r="B39" s="665" t="s">
        <v>685</v>
      </c>
      <c r="C39" s="666" t="s">
        <v>486</v>
      </c>
      <c r="D39" s="667" t="s">
        <v>1202</v>
      </c>
      <c r="E39" s="668" t="s">
        <v>824</v>
      </c>
      <c r="F39" s="129">
        <v>-76519827</v>
      </c>
      <c r="G39" s="129">
        <v>-223869</v>
      </c>
      <c r="H39" s="129">
        <v>73702727</v>
      </c>
      <c r="I39" s="129">
        <v>4797494</v>
      </c>
      <c r="J39" s="129">
        <v>68905233</v>
      </c>
      <c r="K39" s="129">
        <v>-7390725</v>
      </c>
      <c r="L39" s="129">
        <v>4927150</v>
      </c>
      <c r="M39" s="129">
        <v>-71592677</v>
      </c>
      <c r="N39" s="755">
        <v>0.5</v>
      </c>
      <c r="O39" s="755">
        <v>0.49</v>
      </c>
      <c r="P39" s="755">
        <v>0</v>
      </c>
      <c r="Q39" s="755">
        <v>0.01</v>
      </c>
      <c r="R39" s="755">
        <v>1</v>
      </c>
      <c r="S39" s="129">
        <v>-111935</v>
      </c>
      <c r="T39" s="129">
        <v>-109696</v>
      </c>
      <c r="U39" s="129">
        <v>0</v>
      </c>
      <c r="V39" s="129">
        <v>-2239</v>
      </c>
      <c r="W39" s="129">
        <v>-223869</v>
      </c>
      <c r="X39" s="755">
        <v>0.5</v>
      </c>
      <c r="Y39" s="755">
        <v>0.49</v>
      </c>
      <c r="Z39" s="755">
        <v>0</v>
      </c>
      <c r="AA39" s="755">
        <v>0.01</v>
      </c>
      <c r="AB39" s="755">
        <v>1</v>
      </c>
      <c r="AC39" s="129">
        <v>-34452617</v>
      </c>
      <c r="AD39" s="129">
        <v>-33763564</v>
      </c>
      <c r="AE39" s="129">
        <v>0</v>
      </c>
      <c r="AF39" s="129">
        <v>-689052</v>
      </c>
      <c r="AG39" s="129">
        <v>-68905233</v>
      </c>
      <c r="AH39" s="755">
        <v>0.5</v>
      </c>
      <c r="AI39" s="755">
        <v>0.49</v>
      </c>
      <c r="AJ39" s="755">
        <v>0</v>
      </c>
      <c r="AK39" s="755">
        <v>0.01</v>
      </c>
      <c r="AL39" s="755">
        <v>1</v>
      </c>
      <c r="AM39" s="129">
        <v>-1231788</v>
      </c>
      <c r="AN39" s="129">
        <v>-1207152</v>
      </c>
      <c r="AO39" s="129">
        <v>0</v>
      </c>
      <c r="AP39" s="129">
        <v>-24636</v>
      </c>
      <c r="AQ39" s="129">
        <v>-2463575</v>
      </c>
      <c r="AR39" s="129">
        <v>-35796339</v>
      </c>
      <c r="AS39" s="129">
        <v>-35080412</v>
      </c>
      <c r="AT39" s="129">
        <v>0</v>
      </c>
      <c r="AU39" s="129">
        <v>-715927</v>
      </c>
      <c r="AV39" s="129">
        <v>-71592677</v>
      </c>
      <c r="AW39" s="662" t="s">
        <v>824</v>
      </c>
      <c r="AX39" s="324" t="s">
        <v>486</v>
      </c>
      <c r="AY39" s="663" t="s">
        <v>524</v>
      </c>
      <c r="AZ39" s="529" t="s">
        <v>1243</v>
      </c>
    </row>
    <row r="40" spans="1:52" ht="12.75" x14ac:dyDescent="0.2">
      <c r="A40" s="664">
        <v>33</v>
      </c>
      <c r="B40" s="665" t="s">
        <v>687</v>
      </c>
      <c r="C40" s="666" t="s">
        <v>486</v>
      </c>
      <c r="D40" s="667" t="s">
        <v>1224</v>
      </c>
      <c r="E40" s="668" t="s">
        <v>488</v>
      </c>
      <c r="F40" s="129">
        <v>-96290178</v>
      </c>
      <c r="G40" s="129">
        <v>2093822</v>
      </c>
      <c r="H40" s="129">
        <v>92872274</v>
      </c>
      <c r="I40" s="129">
        <v>3371274</v>
      </c>
      <c r="J40" s="129">
        <v>89501000</v>
      </c>
      <c r="K40" s="129">
        <v>-8883000</v>
      </c>
      <c r="L40" s="129">
        <v>5922000</v>
      </c>
      <c r="M40" s="129">
        <v>-90368178</v>
      </c>
      <c r="N40" s="755">
        <v>0</v>
      </c>
      <c r="O40" s="755">
        <v>0.94</v>
      </c>
      <c r="P40" s="755">
        <v>0.05</v>
      </c>
      <c r="Q40" s="755">
        <v>0.01</v>
      </c>
      <c r="R40" s="755">
        <v>1</v>
      </c>
      <c r="S40" s="129">
        <v>0</v>
      </c>
      <c r="T40" s="129">
        <v>1968193</v>
      </c>
      <c r="U40" s="129">
        <v>104691</v>
      </c>
      <c r="V40" s="129">
        <v>20938</v>
      </c>
      <c r="W40" s="129">
        <v>2093822</v>
      </c>
      <c r="X40" s="755">
        <v>0</v>
      </c>
      <c r="Y40" s="755">
        <v>0.94</v>
      </c>
      <c r="Z40" s="755">
        <v>0.05</v>
      </c>
      <c r="AA40" s="755">
        <v>0.01</v>
      </c>
      <c r="AB40" s="755">
        <v>1</v>
      </c>
      <c r="AC40" s="129">
        <v>0</v>
      </c>
      <c r="AD40" s="129">
        <v>-84130940</v>
      </c>
      <c r="AE40" s="129">
        <v>-4475050</v>
      </c>
      <c r="AF40" s="129">
        <v>-895010</v>
      </c>
      <c r="AG40" s="129">
        <v>-89501000</v>
      </c>
      <c r="AH40" s="755">
        <v>0</v>
      </c>
      <c r="AI40" s="755">
        <v>0.94</v>
      </c>
      <c r="AJ40" s="755">
        <v>0.05</v>
      </c>
      <c r="AK40" s="755">
        <v>0.01</v>
      </c>
      <c r="AL40" s="755">
        <v>1</v>
      </c>
      <c r="AM40" s="129">
        <v>0</v>
      </c>
      <c r="AN40" s="129">
        <v>-2783340</v>
      </c>
      <c r="AO40" s="129">
        <v>-148050</v>
      </c>
      <c r="AP40" s="129">
        <v>-29610</v>
      </c>
      <c r="AQ40" s="129">
        <v>-2961000</v>
      </c>
      <c r="AR40" s="129">
        <v>0</v>
      </c>
      <c r="AS40" s="129">
        <v>-84946087</v>
      </c>
      <c r="AT40" s="129">
        <v>-4518409</v>
      </c>
      <c r="AU40" s="129">
        <v>-903682</v>
      </c>
      <c r="AV40" s="129">
        <v>-90368178</v>
      </c>
      <c r="AW40" s="662" t="s">
        <v>488</v>
      </c>
      <c r="AX40" s="324" t="s">
        <v>486</v>
      </c>
      <c r="AY40" s="663" t="s">
        <v>487</v>
      </c>
      <c r="AZ40" s="529" t="s">
        <v>1244</v>
      </c>
    </row>
    <row r="41" spans="1:52" ht="12.75" x14ac:dyDescent="0.2">
      <c r="A41" s="664">
        <v>34</v>
      </c>
      <c r="B41" s="665" t="s">
        <v>689</v>
      </c>
      <c r="C41" s="666" t="s">
        <v>1201</v>
      </c>
      <c r="D41" s="667" t="s">
        <v>1211</v>
      </c>
      <c r="E41" s="668" t="s">
        <v>688</v>
      </c>
      <c r="F41" s="129">
        <v>-12820494</v>
      </c>
      <c r="G41" s="129">
        <v>-1053731</v>
      </c>
      <c r="H41" s="129">
        <v>14335000</v>
      </c>
      <c r="I41" s="129">
        <v>634772</v>
      </c>
      <c r="J41" s="129">
        <v>13700228</v>
      </c>
      <c r="K41" s="129">
        <v>1933465</v>
      </c>
      <c r="L41" s="129">
        <v>0</v>
      </c>
      <c r="M41" s="129">
        <v>-12820494</v>
      </c>
      <c r="N41" s="755">
        <v>0.25</v>
      </c>
      <c r="O41" s="755">
        <v>0.42499999999999999</v>
      </c>
      <c r="P41" s="755">
        <v>0.32500000000000001</v>
      </c>
      <c r="Q41" s="755">
        <v>0</v>
      </c>
      <c r="R41" s="755">
        <v>1</v>
      </c>
      <c r="S41" s="129">
        <v>-263433</v>
      </c>
      <c r="T41" s="129">
        <v>-447836</v>
      </c>
      <c r="U41" s="129">
        <v>-342463</v>
      </c>
      <c r="V41" s="129">
        <v>0</v>
      </c>
      <c r="W41" s="129">
        <v>-1053731</v>
      </c>
      <c r="X41" s="755">
        <v>0.5</v>
      </c>
      <c r="Y41" s="755">
        <v>0.4</v>
      </c>
      <c r="Z41" s="755">
        <v>0.1</v>
      </c>
      <c r="AA41" s="755">
        <v>0</v>
      </c>
      <c r="AB41" s="755">
        <v>1</v>
      </c>
      <c r="AC41" s="129">
        <v>-5883382</v>
      </c>
      <c r="AD41" s="129">
        <v>-4706705</v>
      </c>
      <c r="AE41" s="129">
        <v>-1176676</v>
      </c>
      <c r="AF41" s="129">
        <v>0</v>
      </c>
      <c r="AG41" s="129">
        <v>-11766763</v>
      </c>
      <c r="AH41" s="755">
        <v>0.5</v>
      </c>
      <c r="AI41" s="755">
        <v>0.4</v>
      </c>
      <c r="AJ41" s="755">
        <v>0.1</v>
      </c>
      <c r="AK41" s="755">
        <v>0</v>
      </c>
      <c r="AL41" s="755">
        <v>1</v>
      </c>
      <c r="AM41" s="129">
        <v>0</v>
      </c>
      <c r="AN41" s="129">
        <v>0</v>
      </c>
      <c r="AO41" s="129">
        <v>0</v>
      </c>
      <c r="AP41" s="129">
        <v>0</v>
      </c>
      <c r="AQ41" s="129">
        <v>0</v>
      </c>
      <c r="AR41" s="129">
        <v>-6146814</v>
      </c>
      <c r="AS41" s="129">
        <v>-5154541</v>
      </c>
      <c r="AT41" s="129">
        <v>-1519139</v>
      </c>
      <c r="AU41" s="129">
        <v>0</v>
      </c>
      <c r="AV41" s="129">
        <v>-12820494</v>
      </c>
      <c r="AW41" s="662" t="s">
        <v>688</v>
      </c>
      <c r="AX41" s="324" t="s">
        <v>553</v>
      </c>
      <c r="AY41" s="663" t="s">
        <v>512</v>
      </c>
      <c r="AZ41" s="529" t="s">
        <v>1245</v>
      </c>
    </row>
    <row r="42" spans="1:52" ht="14.25" x14ac:dyDescent="0.2">
      <c r="A42" s="664">
        <v>35</v>
      </c>
      <c r="B42" s="665" t="s">
        <v>691</v>
      </c>
      <c r="C42" s="666" t="s">
        <v>1213</v>
      </c>
      <c r="D42" s="667" t="s">
        <v>1214</v>
      </c>
      <c r="E42" s="668" t="s">
        <v>1919</v>
      </c>
      <c r="F42" s="129">
        <v>-60467691</v>
      </c>
      <c r="G42" s="129">
        <v>-829658</v>
      </c>
      <c r="H42" s="129">
        <v>58773505</v>
      </c>
      <c r="I42" s="129">
        <v>3430158</v>
      </c>
      <c r="J42" s="129">
        <v>55343347</v>
      </c>
      <c r="K42" s="129">
        <v>-4294686</v>
      </c>
      <c r="L42" s="129">
        <v>2863124</v>
      </c>
      <c r="M42" s="129">
        <v>-57604567</v>
      </c>
      <c r="N42" s="755">
        <v>0.25</v>
      </c>
      <c r="O42" s="755">
        <v>0.48</v>
      </c>
      <c r="P42" s="755">
        <v>0.27</v>
      </c>
      <c r="Q42" s="755">
        <v>0</v>
      </c>
      <c r="R42" s="755">
        <v>1</v>
      </c>
      <c r="S42" s="129">
        <v>-207415</v>
      </c>
      <c r="T42" s="129">
        <v>-398236</v>
      </c>
      <c r="U42" s="129">
        <v>-224008</v>
      </c>
      <c r="V42" s="129">
        <v>0</v>
      </c>
      <c r="W42" s="129">
        <v>-829658</v>
      </c>
      <c r="X42" s="755">
        <v>0.33</v>
      </c>
      <c r="Y42" s="755">
        <v>0.3</v>
      </c>
      <c r="Z42" s="755">
        <v>0.37</v>
      </c>
      <c r="AA42" s="755">
        <v>0</v>
      </c>
      <c r="AB42" s="755">
        <v>1</v>
      </c>
      <c r="AC42" s="129">
        <v>-18263305</v>
      </c>
      <c r="AD42" s="129">
        <v>-16603004</v>
      </c>
      <c r="AE42" s="129">
        <v>-20477038</v>
      </c>
      <c r="AF42" s="129">
        <v>0</v>
      </c>
      <c r="AG42" s="129">
        <v>-55343347</v>
      </c>
      <c r="AH42" s="755">
        <v>0.33</v>
      </c>
      <c r="AI42" s="755">
        <v>0.3</v>
      </c>
      <c r="AJ42" s="755">
        <v>0.37</v>
      </c>
      <c r="AK42" s="755">
        <v>0</v>
      </c>
      <c r="AL42" s="755">
        <v>1</v>
      </c>
      <c r="AM42" s="129">
        <v>-472415</v>
      </c>
      <c r="AN42" s="129">
        <v>-429469</v>
      </c>
      <c r="AO42" s="129">
        <v>-529678</v>
      </c>
      <c r="AP42" s="129">
        <v>0</v>
      </c>
      <c r="AQ42" s="129">
        <v>-1431562</v>
      </c>
      <c r="AR42" s="129">
        <v>-18943134</v>
      </c>
      <c r="AS42" s="129">
        <v>-17430709</v>
      </c>
      <c r="AT42" s="129">
        <v>-21230724</v>
      </c>
      <c r="AU42" s="129">
        <v>0</v>
      </c>
      <c r="AV42" s="129">
        <v>-57604567</v>
      </c>
      <c r="AW42" s="662" t="s">
        <v>690</v>
      </c>
      <c r="AX42" s="324" t="s">
        <v>576</v>
      </c>
      <c r="AY42" s="669" t="s">
        <v>485</v>
      </c>
      <c r="AZ42" s="529" t="s">
        <v>1246</v>
      </c>
    </row>
    <row r="43" spans="1:52" ht="12.75" x14ac:dyDescent="0.2">
      <c r="A43" s="664">
        <v>36</v>
      </c>
      <c r="B43" s="665" t="s">
        <v>693</v>
      </c>
      <c r="C43" s="666" t="s">
        <v>1201</v>
      </c>
      <c r="D43" s="667" t="s">
        <v>1228</v>
      </c>
      <c r="E43" s="668" t="s">
        <v>692</v>
      </c>
      <c r="F43" s="129">
        <v>-9466418</v>
      </c>
      <c r="G43" s="129">
        <v>2305930</v>
      </c>
      <c r="H43" s="129">
        <v>11279160</v>
      </c>
      <c r="I43" s="129">
        <v>746823</v>
      </c>
      <c r="J43" s="129">
        <v>10532337</v>
      </c>
      <c r="K43" s="129">
        <v>-1240011</v>
      </c>
      <c r="L43" s="129">
        <v>826674</v>
      </c>
      <c r="M43" s="129">
        <v>-8639744</v>
      </c>
      <c r="N43" s="755">
        <v>0.25</v>
      </c>
      <c r="O43" s="755">
        <v>0</v>
      </c>
      <c r="P43" s="755">
        <v>0.74</v>
      </c>
      <c r="Q43" s="755">
        <v>0.01</v>
      </c>
      <c r="R43" s="755">
        <v>1</v>
      </c>
      <c r="S43" s="129">
        <v>576483</v>
      </c>
      <c r="T43" s="129">
        <v>0</v>
      </c>
      <c r="U43" s="129">
        <v>1706388</v>
      </c>
      <c r="V43" s="129">
        <v>23059</v>
      </c>
      <c r="W43" s="129">
        <v>2305930</v>
      </c>
      <c r="X43" s="755">
        <v>0.5</v>
      </c>
      <c r="Y43" s="755">
        <v>0.4</v>
      </c>
      <c r="Z43" s="755">
        <v>0.09</v>
      </c>
      <c r="AA43" s="755">
        <v>0.01</v>
      </c>
      <c r="AB43" s="755">
        <v>1</v>
      </c>
      <c r="AC43" s="129">
        <v>-5266169</v>
      </c>
      <c r="AD43" s="129">
        <v>-4212935</v>
      </c>
      <c r="AE43" s="129">
        <v>-947910</v>
      </c>
      <c r="AF43" s="129">
        <v>-105323</v>
      </c>
      <c r="AG43" s="129">
        <v>-10532337</v>
      </c>
      <c r="AH43" s="755">
        <v>0.5</v>
      </c>
      <c r="AI43" s="755">
        <v>0.4</v>
      </c>
      <c r="AJ43" s="755">
        <v>0.09</v>
      </c>
      <c r="AK43" s="755">
        <v>0.01</v>
      </c>
      <c r="AL43" s="755">
        <v>1</v>
      </c>
      <c r="AM43" s="129">
        <v>-206669</v>
      </c>
      <c r="AN43" s="129">
        <v>-165335</v>
      </c>
      <c r="AO43" s="129">
        <v>-37200</v>
      </c>
      <c r="AP43" s="129">
        <v>-4133</v>
      </c>
      <c r="AQ43" s="129">
        <v>-413337</v>
      </c>
      <c r="AR43" s="129">
        <v>-4896354</v>
      </c>
      <c r="AS43" s="129">
        <v>-4378270</v>
      </c>
      <c r="AT43" s="129">
        <v>721278</v>
      </c>
      <c r="AU43" s="129">
        <v>-86397</v>
      </c>
      <c r="AV43" s="129">
        <v>-8639744</v>
      </c>
      <c r="AW43" s="662" t="s">
        <v>692</v>
      </c>
      <c r="AX43" s="324" t="s">
        <v>535</v>
      </c>
      <c r="AY43" s="663" t="s">
        <v>534</v>
      </c>
      <c r="AZ43" s="529" t="s">
        <v>1247</v>
      </c>
    </row>
    <row r="44" spans="1:52" ht="12.75" x14ac:dyDescent="0.2">
      <c r="A44" s="664">
        <v>37</v>
      </c>
      <c r="B44" s="665" t="s">
        <v>695</v>
      </c>
      <c r="C44" s="666" t="s">
        <v>1201</v>
      </c>
      <c r="D44" s="667" t="s">
        <v>1211</v>
      </c>
      <c r="E44" s="668" t="s">
        <v>694</v>
      </c>
      <c r="F44" s="129">
        <v>-20092023</v>
      </c>
      <c r="G44" s="129">
        <v>-37906</v>
      </c>
      <c r="H44" s="129">
        <v>16540241</v>
      </c>
      <c r="I44" s="129">
        <v>1216983</v>
      </c>
      <c r="J44" s="129">
        <v>15323258</v>
      </c>
      <c r="K44" s="129">
        <v>-4730859</v>
      </c>
      <c r="L44" s="129">
        <v>3153906</v>
      </c>
      <c r="M44" s="129">
        <v>-16938117</v>
      </c>
      <c r="N44" s="755">
        <v>0.25</v>
      </c>
      <c r="O44" s="755">
        <v>0.35</v>
      </c>
      <c r="P44" s="755">
        <v>0.4</v>
      </c>
      <c r="Q44" s="755">
        <v>0</v>
      </c>
      <c r="R44" s="755">
        <v>1</v>
      </c>
      <c r="S44" s="129">
        <v>-9477</v>
      </c>
      <c r="T44" s="129">
        <v>-13267</v>
      </c>
      <c r="U44" s="129">
        <v>-15163</v>
      </c>
      <c r="V44" s="129">
        <v>0</v>
      </c>
      <c r="W44" s="129">
        <v>-37906</v>
      </c>
      <c r="X44" s="755">
        <v>0.5</v>
      </c>
      <c r="Y44" s="755">
        <v>0.4</v>
      </c>
      <c r="Z44" s="755">
        <v>0.1</v>
      </c>
      <c r="AA44" s="755">
        <v>0</v>
      </c>
      <c r="AB44" s="755">
        <v>1</v>
      </c>
      <c r="AC44" s="129">
        <v>-7661629</v>
      </c>
      <c r="AD44" s="129">
        <v>-6129303</v>
      </c>
      <c r="AE44" s="129">
        <v>-1532326</v>
      </c>
      <c r="AF44" s="129">
        <v>0</v>
      </c>
      <c r="AG44" s="129">
        <v>-15323258</v>
      </c>
      <c r="AH44" s="755">
        <v>0.5</v>
      </c>
      <c r="AI44" s="755">
        <v>0.4</v>
      </c>
      <c r="AJ44" s="755">
        <v>0.1</v>
      </c>
      <c r="AK44" s="755">
        <v>0</v>
      </c>
      <c r="AL44" s="755">
        <v>1</v>
      </c>
      <c r="AM44" s="129">
        <v>-788477</v>
      </c>
      <c r="AN44" s="129">
        <v>-630781</v>
      </c>
      <c r="AO44" s="129">
        <v>-157695</v>
      </c>
      <c r="AP44" s="129">
        <v>0</v>
      </c>
      <c r="AQ44" s="129">
        <v>-1576953</v>
      </c>
      <c r="AR44" s="129">
        <v>-8459582</v>
      </c>
      <c r="AS44" s="129">
        <v>-6773352</v>
      </c>
      <c r="AT44" s="129">
        <v>-1705184</v>
      </c>
      <c r="AU44" s="129">
        <v>0</v>
      </c>
      <c r="AV44" s="129">
        <v>-16938117</v>
      </c>
      <c r="AW44" s="662" t="s">
        <v>694</v>
      </c>
      <c r="AX44" s="324" t="s">
        <v>536</v>
      </c>
      <c r="AY44" s="663" t="s">
        <v>512</v>
      </c>
      <c r="AZ44" s="529" t="s">
        <v>1248</v>
      </c>
    </row>
    <row r="45" spans="1:52" ht="12.75" x14ac:dyDescent="0.2">
      <c r="A45" s="664">
        <v>38</v>
      </c>
      <c r="B45" s="665" t="s">
        <v>697</v>
      </c>
      <c r="C45" s="666" t="s">
        <v>1201</v>
      </c>
      <c r="D45" s="667" t="s">
        <v>1206</v>
      </c>
      <c r="E45" s="668" t="s">
        <v>696</v>
      </c>
      <c r="F45" s="129">
        <v>-17482228</v>
      </c>
      <c r="G45" s="129">
        <v>167207</v>
      </c>
      <c r="H45" s="129">
        <v>17463380</v>
      </c>
      <c r="I45" s="129">
        <v>507729</v>
      </c>
      <c r="J45" s="129">
        <v>16955651</v>
      </c>
      <c r="K45" s="129">
        <v>-693784</v>
      </c>
      <c r="L45" s="129">
        <v>462523</v>
      </c>
      <c r="M45" s="129">
        <v>-17019705</v>
      </c>
      <c r="N45" s="755">
        <v>0.5</v>
      </c>
      <c r="O45" s="755">
        <v>0.4</v>
      </c>
      <c r="P45" s="755">
        <v>0.09</v>
      </c>
      <c r="Q45" s="755">
        <v>0.01</v>
      </c>
      <c r="R45" s="755">
        <v>1</v>
      </c>
      <c r="S45" s="129">
        <v>83604</v>
      </c>
      <c r="T45" s="129">
        <v>66883</v>
      </c>
      <c r="U45" s="129">
        <v>15049</v>
      </c>
      <c r="V45" s="129">
        <v>1672</v>
      </c>
      <c r="W45" s="129">
        <v>167207</v>
      </c>
      <c r="X45" s="755">
        <v>0.5</v>
      </c>
      <c r="Y45" s="755">
        <v>0.4</v>
      </c>
      <c r="Z45" s="755">
        <v>0.09</v>
      </c>
      <c r="AA45" s="755">
        <v>0.01</v>
      </c>
      <c r="AB45" s="755">
        <v>1</v>
      </c>
      <c r="AC45" s="129">
        <v>-8477826</v>
      </c>
      <c r="AD45" s="129">
        <v>-6782260</v>
      </c>
      <c r="AE45" s="129">
        <v>-1526009</v>
      </c>
      <c r="AF45" s="129">
        <v>-169557</v>
      </c>
      <c r="AG45" s="129">
        <v>-16955651</v>
      </c>
      <c r="AH45" s="755">
        <v>0.5</v>
      </c>
      <c r="AI45" s="755">
        <v>0.4</v>
      </c>
      <c r="AJ45" s="755">
        <v>0.09</v>
      </c>
      <c r="AK45" s="755">
        <v>0.01</v>
      </c>
      <c r="AL45" s="755">
        <v>1</v>
      </c>
      <c r="AM45" s="129">
        <v>-115631</v>
      </c>
      <c r="AN45" s="129">
        <v>-92505</v>
      </c>
      <c r="AO45" s="129">
        <v>-20814</v>
      </c>
      <c r="AP45" s="129">
        <v>-2313</v>
      </c>
      <c r="AQ45" s="129">
        <v>-231261</v>
      </c>
      <c r="AR45" s="129">
        <v>-8509853</v>
      </c>
      <c r="AS45" s="129">
        <v>-6807882</v>
      </c>
      <c r="AT45" s="129">
        <v>-1531773</v>
      </c>
      <c r="AU45" s="129">
        <v>-170197</v>
      </c>
      <c r="AV45" s="129">
        <v>-17019705</v>
      </c>
      <c r="AW45" s="662" t="s">
        <v>696</v>
      </c>
      <c r="AX45" s="324" t="s">
        <v>559</v>
      </c>
      <c r="AY45" s="663" t="s">
        <v>558</v>
      </c>
      <c r="AZ45" s="529" t="s">
        <v>1249</v>
      </c>
    </row>
    <row r="46" spans="1:52" ht="12.75" x14ac:dyDescent="0.2">
      <c r="A46" s="664">
        <v>39</v>
      </c>
      <c r="B46" s="665" t="s">
        <v>1048</v>
      </c>
      <c r="C46" s="666" t="s">
        <v>486</v>
      </c>
      <c r="D46" s="667" t="s">
        <v>1202</v>
      </c>
      <c r="E46" s="668" t="s">
        <v>1250</v>
      </c>
      <c r="F46" s="129">
        <v>-93183986</v>
      </c>
      <c r="G46" s="129">
        <v>-2576097</v>
      </c>
      <c r="H46" s="129">
        <v>83155227</v>
      </c>
      <c r="I46" s="129">
        <v>3942370</v>
      </c>
      <c r="J46" s="129">
        <v>79212857</v>
      </c>
      <c r="K46" s="129">
        <v>-11395032</v>
      </c>
      <c r="L46" s="129">
        <v>7596688</v>
      </c>
      <c r="M46" s="129">
        <v>-85587298</v>
      </c>
      <c r="N46" s="755">
        <v>0.25</v>
      </c>
      <c r="O46" s="755">
        <v>0.74</v>
      </c>
      <c r="P46" s="755">
        <v>0</v>
      </c>
      <c r="Q46" s="755">
        <v>0.01</v>
      </c>
      <c r="R46" s="755">
        <v>1</v>
      </c>
      <c r="S46" s="129">
        <v>-644024</v>
      </c>
      <c r="T46" s="129">
        <v>-1906312</v>
      </c>
      <c r="U46" s="129">
        <v>0</v>
      </c>
      <c r="V46" s="129">
        <v>-25761</v>
      </c>
      <c r="W46" s="129">
        <v>-2576097</v>
      </c>
      <c r="X46" s="755">
        <v>0.5</v>
      </c>
      <c r="Y46" s="755">
        <v>0.49</v>
      </c>
      <c r="Z46" s="755">
        <v>0</v>
      </c>
      <c r="AA46" s="755">
        <v>0.01</v>
      </c>
      <c r="AB46" s="755">
        <v>1</v>
      </c>
      <c r="AC46" s="129">
        <v>-39606429</v>
      </c>
      <c r="AD46" s="129">
        <v>-38814300</v>
      </c>
      <c r="AE46" s="129">
        <v>0</v>
      </c>
      <c r="AF46" s="129">
        <v>-792129</v>
      </c>
      <c r="AG46" s="129">
        <v>-79212857</v>
      </c>
      <c r="AH46" s="755">
        <v>0.5</v>
      </c>
      <c r="AI46" s="755">
        <v>0.49</v>
      </c>
      <c r="AJ46" s="755">
        <v>0</v>
      </c>
      <c r="AK46" s="755">
        <v>0.01</v>
      </c>
      <c r="AL46" s="755">
        <v>1</v>
      </c>
      <c r="AM46" s="129">
        <v>-1899172</v>
      </c>
      <c r="AN46" s="129">
        <v>-1861189</v>
      </c>
      <c r="AO46" s="129">
        <v>0</v>
      </c>
      <c r="AP46" s="129">
        <v>-37983</v>
      </c>
      <c r="AQ46" s="129">
        <v>-3798344</v>
      </c>
      <c r="AR46" s="129">
        <v>-42149625</v>
      </c>
      <c r="AS46" s="129">
        <v>-42581800</v>
      </c>
      <c r="AT46" s="129">
        <v>0</v>
      </c>
      <c r="AU46" s="129">
        <v>-855873</v>
      </c>
      <c r="AV46" s="129">
        <v>-85587298</v>
      </c>
      <c r="AW46" s="662" t="s">
        <v>1251</v>
      </c>
      <c r="AX46" s="324" t="s">
        <v>486</v>
      </c>
      <c r="AY46" s="663" t="s">
        <v>500</v>
      </c>
      <c r="AZ46" s="529" t="s">
        <v>1252</v>
      </c>
    </row>
    <row r="47" spans="1:52" ht="12.75" x14ac:dyDescent="0.2">
      <c r="A47" s="664">
        <v>40</v>
      </c>
      <c r="B47" s="665" t="s">
        <v>699</v>
      </c>
      <c r="C47" s="666" t="s">
        <v>1201</v>
      </c>
      <c r="D47" s="667" t="s">
        <v>1204</v>
      </c>
      <c r="E47" s="668" t="s">
        <v>698</v>
      </c>
      <c r="F47" s="129">
        <v>-13320408</v>
      </c>
      <c r="G47" s="129">
        <v>-826542</v>
      </c>
      <c r="H47" s="129">
        <v>11998458</v>
      </c>
      <c r="I47" s="129">
        <v>468639</v>
      </c>
      <c r="J47" s="129">
        <v>11529819</v>
      </c>
      <c r="K47" s="129">
        <v>-964047</v>
      </c>
      <c r="L47" s="129">
        <v>642698</v>
      </c>
      <c r="M47" s="129">
        <v>-12677710</v>
      </c>
      <c r="N47" s="755">
        <v>0.25</v>
      </c>
      <c r="O47" s="755">
        <v>0.56000000000000005</v>
      </c>
      <c r="P47" s="755">
        <v>0.17499999999999999</v>
      </c>
      <c r="Q47" s="755">
        <v>1.4999999999999999E-2</v>
      </c>
      <c r="R47" s="755">
        <v>1</v>
      </c>
      <c r="S47" s="129">
        <v>-206636</v>
      </c>
      <c r="T47" s="129">
        <v>-462864</v>
      </c>
      <c r="U47" s="129">
        <v>-144645</v>
      </c>
      <c r="V47" s="129">
        <v>-12398</v>
      </c>
      <c r="W47" s="129">
        <v>-826542</v>
      </c>
      <c r="X47" s="755">
        <v>0.5</v>
      </c>
      <c r="Y47" s="755">
        <v>0.4</v>
      </c>
      <c r="Z47" s="755">
        <v>0.09</v>
      </c>
      <c r="AA47" s="755">
        <v>0.01</v>
      </c>
      <c r="AB47" s="755">
        <v>1</v>
      </c>
      <c r="AC47" s="129">
        <v>-5764910</v>
      </c>
      <c r="AD47" s="129">
        <v>-4611928</v>
      </c>
      <c r="AE47" s="129">
        <v>-1037684</v>
      </c>
      <c r="AF47" s="129">
        <v>-115298</v>
      </c>
      <c r="AG47" s="129">
        <v>-11529819</v>
      </c>
      <c r="AH47" s="755">
        <v>0.5</v>
      </c>
      <c r="AI47" s="755">
        <v>0.4</v>
      </c>
      <c r="AJ47" s="755">
        <v>0.09</v>
      </c>
      <c r="AK47" s="755">
        <v>0.01</v>
      </c>
      <c r="AL47" s="755">
        <v>1</v>
      </c>
      <c r="AM47" s="129">
        <v>-160675</v>
      </c>
      <c r="AN47" s="129">
        <v>-128540</v>
      </c>
      <c r="AO47" s="129">
        <v>-28921</v>
      </c>
      <c r="AP47" s="129">
        <v>-3213</v>
      </c>
      <c r="AQ47" s="129">
        <v>-321349</v>
      </c>
      <c r="AR47" s="129">
        <v>-6132220</v>
      </c>
      <c r="AS47" s="129">
        <v>-5203331</v>
      </c>
      <c r="AT47" s="129">
        <v>-1211250</v>
      </c>
      <c r="AU47" s="129">
        <v>-130910</v>
      </c>
      <c r="AV47" s="129">
        <v>-12677710</v>
      </c>
      <c r="AW47" s="662" t="s">
        <v>698</v>
      </c>
      <c r="AX47" s="324" t="s">
        <v>547</v>
      </c>
      <c r="AY47" s="663" t="s">
        <v>545</v>
      </c>
      <c r="AZ47" s="529" t="s">
        <v>1253</v>
      </c>
    </row>
    <row r="48" spans="1:52" ht="12.75" x14ac:dyDescent="0.2">
      <c r="A48" s="664">
        <v>41</v>
      </c>
      <c r="B48" s="665" t="s">
        <v>701</v>
      </c>
      <c r="C48" s="666" t="s">
        <v>1217</v>
      </c>
      <c r="D48" s="667" t="s">
        <v>1204</v>
      </c>
      <c r="E48" s="668" t="s">
        <v>700</v>
      </c>
      <c r="F48" s="129">
        <v>-26228334</v>
      </c>
      <c r="G48" s="129">
        <v>279441</v>
      </c>
      <c r="H48" s="129">
        <v>26559201</v>
      </c>
      <c r="I48" s="129">
        <v>1678121</v>
      </c>
      <c r="J48" s="129">
        <v>24881080</v>
      </c>
      <c r="K48" s="129">
        <v>-1626695</v>
      </c>
      <c r="L48" s="129">
        <v>1084463</v>
      </c>
      <c r="M48" s="129">
        <v>-25143871</v>
      </c>
      <c r="N48" s="755">
        <v>0</v>
      </c>
      <c r="O48" s="755">
        <v>0.99</v>
      </c>
      <c r="P48" s="755">
        <v>0</v>
      </c>
      <c r="Q48" s="755">
        <v>0.01</v>
      </c>
      <c r="R48" s="755">
        <v>1</v>
      </c>
      <c r="S48" s="129">
        <v>0</v>
      </c>
      <c r="T48" s="129">
        <v>276647</v>
      </c>
      <c r="U48" s="129">
        <v>0</v>
      </c>
      <c r="V48" s="129">
        <v>2794</v>
      </c>
      <c r="W48" s="129">
        <v>279441</v>
      </c>
      <c r="X48" s="755">
        <v>0</v>
      </c>
      <c r="Y48" s="755">
        <v>0.99</v>
      </c>
      <c r="Z48" s="755">
        <v>0</v>
      </c>
      <c r="AA48" s="755">
        <v>0.01</v>
      </c>
      <c r="AB48" s="755">
        <v>1</v>
      </c>
      <c r="AC48" s="129">
        <v>0</v>
      </c>
      <c r="AD48" s="129">
        <v>-24632269</v>
      </c>
      <c r="AE48" s="129">
        <v>0</v>
      </c>
      <c r="AF48" s="129">
        <v>-248811</v>
      </c>
      <c r="AG48" s="129">
        <v>-24881080</v>
      </c>
      <c r="AH48" s="755">
        <v>0</v>
      </c>
      <c r="AI48" s="755">
        <v>0.99</v>
      </c>
      <c r="AJ48" s="755">
        <v>0</v>
      </c>
      <c r="AK48" s="755">
        <v>0.01</v>
      </c>
      <c r="AL48" s="755">
        <v>1</v>
      </c>
      <c r="AM48" s="129">
        <v>0</v>
      </c>
      <c r="AN48" s="129">
        <v>-536809</v>
      </c>
      <c r="AO48" s="129">
        <v>0</v>
      </c>
      <c r="AP48" s="129">
        <v>-5422</v>
      </c>
      <c r="AQ48" s="129">
        <v>-542232</v>
      </c>
      <c r="AR48" s="129">
        <v>0</v>
      </c>
      <c r="AS48" s="129">
        <v>-24892432</v>
      </c>
      <c r="AT48" s="129">
        <v>0</v>
      </c>
      <c r="AU48" s="129">
        <v>-251439</v>
      </c>
      <c r="AV48" s="129">
        <v>-25143871</v>
      </c>
      <c r="AW48" s="662" t="s">
        <v>700</v>
      </c>
      <c r="AX48" s="324" t="s">
        <v>570</v>
      </c>
      <c r="AY48" s="663" t="s">
        <v>1915</v>
      </c>
      <c r="AZ48" s="529" t="s">
        <v>1254</v>
      </c>
    </row>
    <row r="49" spans="1:52" ht="12.75" x14ac:dyDescent="0.2">
      <c r="A49" s="664">
        <v>42</v>
      </c>
      <c r="B49" s="665" t="s">
        <v>703</v>
      </c>
      <c r="C49" s="666" t="s">
        <v>1217</v>
      </c>
      <c r="D49" s="667" t="s">
        <v>1218</v>
      </c>
      <c r="E49" s="668" t="s">
        <v>702</v>
      </c>
      <c r="F49" s="129">
        <v>-22412602</v>
      </c>
      <c r="G49" s="129">
        <v>4164704</v>
      </c>
      <c r="H49" s="129">
        <v>23316708</v>
      </c>
      <c r="I49" s="129">
        <v>1612422</v>
      </c>
      <c r="J49" s="129">
        <v>21704286</v>
      </c>
      <c r="K49" s="129">
        <v>-4873020</v>
      </c>
      <c r="L49" s="129">
        <v>3248680</v>
      </c>
      <c r="M49" s="129">
        <v>-19163922</v>
      </c>
      <c r="N49" s="755">
        <v>0.25</v>
      </c>
      <c r="O49" s="755">
        <v>0.74</v>
      </c>
      <c r="P49" s="755">
        <v>0</v>
      </c>
      <c r="Q49" s="755">
        <v>0.01</v>
      </c>
      <c r="R49" s="755">
        <v>1</v>
      </c>
      <c r="S49" s="129">
        <v>1041176</v>
      </c>
      <c r="T49" s="129">
        <v>3081881</v>
      </c>
      <c r="U49" s="129">
        <v>0</v>
      </c>
      <c r="V49" s="129">
        <v>41647</v>
      </c>
      <c r="W49" s="129">
        <v>4164704</v>
      </c>
      <c r="X49" s="755">
        <v>0.5</v>
      </c>
      <c r="Y49" s="755">
        <v>0.49</v>
      </c>
      <c r="Z49" s="755">
        <v>0</v>
      </c>
      <c r="AA49" s="755">
        <v>0.01</v>
      </c>
      <c r="AB49" s="755">
        <v>1</v>
      </c>
      <c r="AC49" s="129">
        <v>-10852143</v>
      </c>
      <c r="AD49" s="129">
        <v>-10635100</v>
      </c>
      <c r="AE49" s="129">
        <v>0</v>
      </c>
      <c r="AF49" s="129">
        <v>-217043</v>
      </c>
      <c r="AG49" s="129">
        <v>-21704286</v>
      </c>
      <c r="AH49" s="755">
        <v>0.5</v>
      </c>
      <c r="AI49" s="755">
        <v>0.49</v>
      </c>
      <c r="AJ49" s="755">
        <v>0</v>
      </c>
      <c r="AK49" s="755">
        <v>0.01</v>
      </c>
      <c r="AL49" s="755">
        <v>1</v>
      </c>
      <c r="AM49" s="129">
        <v>-812170</v>
      </c>
      <c r="AN49" s="129">
        <v>-795927</v>
      </c>
      <c r="AO49" s="129">
        <v>0</v>
      </c>
      <c r="AP49" s="129">
        <v>-16243</v>
      </c>
      <c r="AQ49" s="129">
        <v>-1624340</v>
      </c>
      <c r="AR49" s="129">
        <v>-10623137</v>
      </c>
      <c r="AS49" s="129">
        <v>-8349146</v>
      </c>
      <c r="AT49" s="129">
        <v>0</v>
      </c>
      <c r="AU49" s="129">
        <v>-191639</v>
      </c>
      <c r="AV49" s="129">
        <v>-19163922</v>
      </c>
      <c r="AW49" s="662" t="s">
        <v>702</v>
      </c>
      <c r="AX49" s="324" t="s">
        <v>570</v>
      </c>
      <c r="AY49" s="663" t="s">
        <v>575</v>
      </c>
      <c r="AZ49" s="529" t="s">
        <v>1255</v>
      </c>
    </row>
    <row r="50" spans="1:52" ht="12.75" x14ac:dyDescent="0.2">
      <c r="A50" s="664">
        <v>43</v>
      </c>
      <c r="B50" s="665" t="s">
        <v>705</v>
      </c>
      <c r="C50" s="666" t="s">
        <v>1201</v>
      </c>
      <c r="D50" s="667" t="s">
        <v>1211</v>
      </c>
      <c r="E50" s="668" t="s">
        <v>704</v>
      </c>
      <c r="F50" s="129">
        <v>-78524629</v>
      </c>
      <c r="G50" s="129">
        <v>-2407425</v>
      </c>
      <c r="H50" s="129">
        <v>54666143</v>
      </c>
      <c r="I50" s="129">
        <v>1997125</v>
      </c>
      <c r="J50" s="129">
        <v>52669018</v>
      </c>
      <c r="K50" s="129">
        <v>-23448186</v>
      </c>
      <c r="L50" s="129">
        <v>15632124</v>
      </c>
      <c r="M50" s="129">
        <v>-62892505</v>
      </c>
      <c r="N50" s="755">
        <v>0.5</v>
      </c>
      <c r="O50" s="755">
        <v>0.4</v>
      </c>
      <c r="P50" s="755">
        <v>0.09</v>
      </c>
      <c r="Q50" s="755">
        <v>0.01</v>
      </c>
      <c r="R50" s="755">
        <v>1</v>
      </c>
      <c r="S50" s="129">
        <v>-1203713</v>
      </c>
      <c r="T50" s="129">
        <v>-962970</v>
      </c>
      <c r="U50" s="129">
        <v>-216668</v>
      </c>
      <c r="V50" s="129">
        <v>-24074</v>
      </c>
      <c r="W50" s="129">
        <v>-2407425</v>
      </c>
      <c r="X50" s="755">
        <v>0.5</v>
      </c>
      <c r="Y50" s="755">
        <v>0.4</v>
      </c>
      <c r="Z50" s="755">
        <v>0.09</v>
      </c>
      <c r="AA50" s="755">
        <v>0.01</v>
      </c>
      <c r="AB50" s="755">
        <v>1</v>
      </c>
      <c r="AC50" s="129">
        <v>-26334509</v>
      </c>
      <c r="AD50" s="129">
        <v>-21067607</v>
      </c>
      <c r="AE50" s="129">
        <v>-4740212</v>
      </c>
      <c r="AF50" s="129">
        <v>-526690</v>
      </c>
      <c r="AG50" s="129">
        <v>-52669018</v>
      </c>
      <c r="AH50" s="755">
        <v>0.5</v>
      </c>
      <c r="AI50" s="755">
        <v>0.4</v>
      </c>
      <c r="AJ50" s="755">
        <v>0.09</v>
      </c>
      <c r="AK50" s="755">
        <v>0.01</v>
      </c>
      <c r="AL50" s="755">
        <v>1</v>
      </c>
      <c r="AM50" s="129">
        <v>-3908031</v>
      </c>
      <c r="AN50" s="129">
        <v>-3126425</v>
      </c>
      <c r="AO50" s="129">
        <v>-703446</v>
      </c>
      <c r="AP50" s="129">
        <v>-78161</v>
      </c>
      <c r="AQ50" s="129">
        <v>-7816062</v>
      </c>
      <c r="AR50" s="129">
        <v>-31446253</v>
      </c>
      <c r="AS50" s="129">
        <v>-25157002</v>
      </c>
      <c r="AT50" s="129">
        <v>-5660325</v>
      </c>
      <c r="AU50" s="129">
        <v>-628925</v>
      </c>
      <c r="AV50" s="129">
        <v>-62892505</v>
      </c>
      <c r="AW50" s="662" t="s">
        <v>704</v>
      </c>
      <c r="AX50" s="324" t="s">
        <v>503</v>
      </c>
      <c r="AY50" s="663" t="s">
        <v>502</v>
      </c>
      <c r="AZ50" s="529" t="s">
        <v>1256</v>
      </c>
    </row>
    <row r="51" spans="1:52" ht="12.75" x14ac:dyDescent="0.2">
      <c r="A51" s="664">
        <v>44</v>
      </c>
      <c r="B51" s="665" t="s">
        <v>707</v>
      </c>
      <c r="C51" s="666" t="s">
        <v>1257</v>
      </c>
      <c r="D51" s="667" t="s">
        <v>1214</v>
      </c>
      <c r="E51" s="668" t="s">
        <v>706</v>
      </c>
      <c r="F51" s="129">
        <v>-252551467</v>
      </c>
      <c r="G51" s="129">
        <v>1728454</v>
      </c>
      <c r="H51" s="129">
        <v>205344542</v>
      </c>
      <c r="I51" s="129">
        <v>9291945</v>
      </c>
      <c r="J51" s="129">
        <v>196052597</v>
      </c>
      <c r="K51" s="129">
        <v>-58227324</v>
      </c>
      <c r="L51" s="129">
        <v>38818216</v>
      </c>
      <c r="M51" s="129">
        <v>-213733251</v>
      </c>
      <c r="N51" s="755">
        <v>0.25</v>
      </c>
      <c r="O51" s="755">
        <v>0.48</v>
      </c>
      <c r="P51" s="755">
        <v>0.27</v>
      </c>
      <c r="Q51" s="755">
        <v>0</v>
      </c>
      <c r="R51" s="755">
        <v>1</v>
      </c>
      <c r="S51" s="129">
        <v>432113</v>
      </c>
      <c r="T51" s="129">
        <v>829658</v>
      </c>
      <c r="U51" s="129">
        <v>466683</v>
      </c>
      <c r="V51" s="129">
        <v>0</v>
      </c>
      <c r="W51" s="129">
        <v>1728454</v>
      </c>
      <c r="X51" s="755">
        <v>0.33</v>
      </c>
      <c r="Y51" s="755">
        <v>0.3</v>
      </c>
      <c r="Z51" s="755">
        <v>0.37</v>
      </c>
      <c r="AA51" s="755">
        <v>0</v>
      </c>
      <c r="AB51" s="755">
        <v>1</v>
      </c>
      <c r="AC51" s="129">
        <v>-64697357</v>
      </c>
      <c r="AD51" s="129">
        <v>-58815779</v>
      </c>
      <c r="AE51" s="129">
        <v>-72539461</v>
      </c>
      <c r="AF51" s="129">
        <v>0</v>
      </c>
      <c r="AG51" s="129">
        <v>-196052597</v>
      </c>
      <c r="AH51" s="755">
        <v>0.33</v>
      </c>
      <c r="AI51" s="755">
        <v>0.3</v>
      </c>
      <c r="AJ51" s="755">
        <v>0.37</v>
      </c>
      <c r="AK51" s="755">
        <v>0</v>
      </c>
      <c r="AL51" s="755">
        <v>1</v>
      </c>
      <c r="AM51" s="129">
        <v>-6405006</v>
      </c>
      <c r="AN51" s="129">
        <v>-5822732</v>
      </c>
      <c r="AO51" s="129">
        <v>-7181370</v>
      </c>
      <c r="AP51" s="129">
        <v>0</v>
      </c>
      <c r="AQ51" s="129">
        <v>-19409108</v>
      </c>
      <c r="AR51" s="129">
        <v>-70670249</v>
      </c>
      <c r="AS51" s="129">
        <v>-63808854</v>
      </c>
      <c r="AT51" s="129">
        <v>-79254148</v>
      </c>
      <c r="AU51" s="129">
        <v>0</v>
      </c>
      <c r="AV51" s="129">
        <v>-213733251</v>
      </c>
      <c r="AW51" s="662" t="s">
        <v>706</v>
      </c>
      <c r="AX51" s="324" t="s">
        <v>576</v>
      </c>
      <c r="AY51" s="669" t="s">
        <v>485</v>
      </c>
      <c r="AZ51" s="529" t="s">
        <v>1258</v>
      </c>
    </row>
    <row r="52" spans="1:52" ht="12.75" x14ac:dyDescent="0.2">
      <c r="A52" s="664">
        <v>45</v>
      </c>
      <c r="B52" s="665" t="s">
        <v>709</v>
      </c>
      <c r="C52" s="666" t="s">
        <v>1201</v>
      </c>
      <c r="D52" s="667" t="s">
        <v>1228</v>
      </c>
      <c r="E52" s="668" t="s">
        <v>708</v>
      </c>
      <c r="F52" s="129">
        <v>-16494267</v>
      </c>
      <c r="G52" s="129">
        <v>788168</v>
      </c>
      <c r="H52" s="129">
        <v>15265667</v>
      </c>
      <c r="I52" s="129">
        <v>958333</v>
      </c>
      <c r="J52" s="129">
        <v>14307334</v>
      </c>
      <c r="K52" s="129">
        <v>-2975101</v>
      </c>
      <c r="L52" s="129">
        <v>1983401</v>
      </c>
      <c r="M52" s="129">
        <v>-14510866</v>
      </c>
      <c r="N52" s="755">
        <v>0.25</v>
      </c>
      <c r="O52" s="755">
        <v>0.4</v>
      </c>
      <c r="P52" s="755">
        <v>0.34</v>
      </c>
      <c r="Q52" s="755">
        <v>0.01</v>
      </c>
      <c r="R52" s="755">
        <v>1</v>
      </c>
      <c r="S52" s="129">
        <v>197042</v>
      </c>
      <c r="T52" s="129">
        <v>315267</v>
      </c>
      <c r="U52" s="129">
        <v>267977</v>
      </c>
      <c r="V52" s="129">
        <v>7882</v>
      </c>
      <c r="W52" s="129">
        <v>788168</v>
      </c>
      <c r="X52" s="755">
        <v>0.5</v>
      </c>
      <c r="Y52" s="755">
        <v>0.4</v>
      </c>
      <c r="Z52" s="755">
        <v>0.09</v>
      </c>
      <c r="AA52" s="755">
        <v>0.01</v>
      </c>
      <c r="AB52" s="755">
        <v>1</v>
      </c>
      <c r="AC52" s="129">
        <v>-7153667</v>
      </c>
      <c r="AD52" s="129">
        <v>-5722934</v>
      </c>
      <c r="AE52" s="129">
        <v>-1287660</v>
      </c>
      <c r="AF52" s="129">
        <v>-143073</v>
      </c>
      <c r="AG52" s="129">
        <v>-14307334</v>
      </c>
      <c r="AH52" s="755">
        <v>0.5</v>
      </c>
      <c r="AI52" s="755">
        <v>0.4</v>
      </c>
      <c r="AJ52" s="755">
        <v>0.09</v>
      </c>
      <c r="AK52" s="755">
        <v>0.01</v>
      </c>
      <c r="AL52" s="755">
        <v>1</v>
      </c>
      <c r="AM52" s="129">
        <v>-495850</v>
      </c>
      <c r="AN52" s="129">
        <v>-396680</v>
      </c>
      <c r="AO52" s="129">
        <v>-89253</v>
      </c>
      <c r="AP52" s="129">
        <v>-9917</v>
      </c>
      <c r="AQ52" s="129">
        <v>-991700</v>
      </c>
      <c r="AR52" s="129">
        <v>-7452475</v>
      </c>
      <c r="AS52" s="129">
        <v>-5804347</v>
      </c>
      <c r="AT52" s="129">
        <v>-1108936</v>
      </c>
      <c r="AU52" s="129">
        <v>-145109</v>
      </c>
      <c r="AV52" s="129">
        <v>-14510866</v>
      </c>
      <c r="AW52" s="662" t="s">
        <v>708</v>
      </c>
      <c r="AX52" s="324" t="s">
        <v>564</v>
      </c>
      <c r="AY52" s="663" t="s">
        <v>1917</v>
      </c>
      <c r="AZ52" s="529" t="s">
        <v>1259</v>
      </c>
    </row>
    <row r="53" spans="1:52" ht="12.75" x14ac:dyDescent="0.2">
      <c r="A53" s="664">
        <v>46</v>
      </c>
      <c r="B53" s="665" t="s">
        <v>711</v>
      </c>
      <c r="C53" s="666" t="s">
        <v>1201</v>
      </c>
      <c r="D53" s="667" t="s">
        <v>1202</v>
      </c>
      <c r="E53" s="668" t="s">
        <v>710</v>
      </c>
      <c r="F53" s="129">
        <v>-38550102</v>
      </c>
      <c r="G53" s="129">
        <v>-194198</v>
      </c>
      <c r="H53" s="129">
        <v>34836248</v>
      </c>
      <c r="I53" s="129">
        <v>1770582</v>
      </c>
      <c r="J53" s="129">
        <v>33065666</v>
      </c>
      <c r="K53" s="129">
        <v>-5290238</v>
      </c>
      <c r="L53" s="129">
        <v>3526825</v>
      </c>
      <c r="M53" s="129">
        <v>-35023277</v>
      </c>
      <c r="N53" s="755">
        <v>0.5</v>
      </c>
      <c r="O53" s="755">
        <v>0.4</v>
      </c>
      <c r="P53" s="755">
        <v>0.09</v>
      </c>
      <c r="Q53" s="755">
        <v>0.01</v>
      </c>
      <c r="R53" s="755">
        <v>1</v>
      </c>
      <c r="S53" s="129">
        <v>-97099</v>
      </c>
      <c r="T53" s="129">
        <v>-77679</v>
      </c>
      <c r="U53" s="129">
        <v>-17478</v>
      </c>
      <c r="V53" s="129">
        <v>-1942</v>
      </c>
      <c r="W53" s="129">
        <v>-194198</v>
      </c>
      <c r="X53" s="755">
        <v>0.5</v>
      </c>
      <c r="Y53" s="755">
        <v>0.4</v>
      </c>
      <c r="Z53" s="755">
        <v>0.09</v>
      </c>
      <c r="AA53" s="755">
        <v>0.01</v>
      </c>
      <c r="AB53" s="755">
        <v>1</v>
      </c>
      <c r="AC53" s="129">
        <v>-16532833</v>
      </c>
      <c r="AD53" s="129">
        <v>-13226266</v>
      </c>
      <c r="AE53" s="129">
        <v>-2975910</v>
      </c>
      <c r="AF53" s="129">
        <v>-330657</v>
      </c>
      <c r="AG53" s="129">
        <v>-33065666</v>
      </c>
      <c r="AH53" s="755">
        <v>0.5</v>
      </c>
      <c r="AI53" s="755">
        <v>0.4</v>
      </c>
      <c r="AJ53" s="755">
        <v>0.09</v>
      </c>
      <c r="AK53" s="755">
        <v>0.01</v>
      </c>
      <c r="AL53" s="755">
        <v>1</v>
      </c>
      <c r="AM53" s="129">
        <v>-881706</v>
      </c>
      <c r="AN53" s="129">
        <v>-705365</v>
      </c>
      <c r="AO53" s="129">
        <v>-158707</v>
      </c>
      <c r="AP53" s="129">
        <v>-17634</v>
      </c>
      <c r="AQ53" s="129">
        <v>-1763413</v>
      </c>
      <c r="AR53" s="129">
        <v>-17511638</v>
      </c>
      <c r="AS53" s="129">
        <v>-14009311</v>
      </c>
      <c r="AT53" s="129">
        <v>-3152095</v>
      </c>
      <c r="AU53" s="129">
        <v>-350233</v>
      </c>
      <c r="AV53" s="129">
        <v>-35023277</v>
      </c>
      <c r="AW53" s="662" t="s">
        <v>710</v>
      </c>
      <c r="AX53" s="324" t="s">
        <v>543</v>
      </c>
      <c r="AY53" s="663" t="s">
        <v>542</v>
      </c>
      <c r="AZ53" s="529" t="s">
        <v>1260</v>
      </c>
    </row>
    <row r="54" spans="1:52" ht="14.25" x14ac:dyDescent="0.2">
      <c r="A54" s="664">
        <v>47</v>
      </c>
      <c r="B54" s="665" t="s">
        <v>713</v>
      </c>
      <c r="C54" s="666" t="s">
        <v>1201</v>
      </c>
      <c r="D54" s="667" t="s">
        <v>1204</v>
      </c>
      <c r="E54" s="668" t="s">
        <v>1863</v>
      </c>
      <c r="F54" s="129">
        <v>-24641723</v>
      </c>
      <c r="G54" s="129">
        <v>-549034</v>
      </c>
      <c r="H54" s="129">
        <v>23402895</v>
      </c>
      <c r="I54" s="129">
        <v>787974</v>
      </c>
      <c r="J54" s="129">
        <v>22614921</v>
      </c>
      <c r="K54" s="129">
        <v>-1477768</v>
      </c>
      <c r="L54" s="129">
        <v>985179</v>
      </c>
      <c r="M54" s="129">
        <v>-23656544</v>
      </c>
      <c r="N54" s="755">
        <v>0.5</v>
      </c>
      <c r="O54" s="755">
        <v>0.4</v>
      </c>
      <c r="P54" s="755">
        <v>0.1</v>
      </c>
      <c r="Q54" s="755">
        <v>0</v>
      </c>
      <c r="R54" s="755">
        <v>1</v>
      </c>
      <c r="S54" s="129">
        <v>-274517</v>
      </c>
      <c r="T54" s="129">
        <v>-219614</v>
      </c>
      <c r="U54" s="129">
        <v>-54903</v>
      </c>
      <c r="V54" s="129">
        <v>0</v>
      </c>
      <c r="W54" s="129">
        <v>-549034</v>
      </c>
      <c r="X54" s="755">
        <v>0.5</v>
      </c>
      <c r="Y54" s="755">
        <v>0.4</v>
      </c>
      <c r="Z54" s="755">
        <v>0.1</v>
      </c>
      <c r="AA54" s="755">
        <v>0</v>
      </c>
      <c r="AB54" s="755">
        <v>1</v>
      </c>
      <c r="AC54" s="129">
        <v>-11307461</v>
      </c>
      <c r="AD54" s="129">
        <v>-9045968</v>
      </c>
      <c r="AE54" s="129">
        <v>-2261492</v>
      </c>
      <c r="AF54" s="129">
        <v>0</v>
      </c>
      <c r="AG54" s="129">
        <v>-22614921</v>
      </c>
      <c r="AH54" s="755">
        <v>0.5</v>
      </c>
      <c r="AI54" s="755">
        <v>0.4</v>
      </c>
      <c r="AJ54" s="755">
        <v>0.1</v>
      </c>
      <c r="AK54" s="755">
        <v>0</v>
      </c>
      <c r="AL54" s="755">
        <v>1</v>
      </c>
      <c r="AM54" s="129">
        <v>-246295</v>
      </c>
      <c r="AN54" s="129">
        <v>-197036</v>
      </c>
      <c r="AO54" s="129">
        <v>-49259</v>
      </c>
      <c r="AP54" s="129">
        <v>0</v>
      </c>
      <c r="AQ54" s="129">
        <v>-492589</v>
      </c>
      <c r="AR54" s="129">
        <v>-11828272</v>
      </c>
      <c r="AS54" s="129">
        <v>-9462618</v>
      </c>
      <c r="AT54" s="129">
        <v>-2365654</v>
      </c>
      <c r="AU54" s="129">
        <v>0</v>
      </c>
      <c r="AV54" s="129">
        <v>-23656544</v>
      </c>
      <c r="AW54" s="662" t="s">
        <v>712</v>
      </c>
      <c r="AX54" s="324" t="s">
        <v>513</v>
      </c>
      <c r="AY54" s="663" t="s">
        <v>512</v>
      </c>
      <c r="AZ54" s="529" t="s">
        <v>1261</v>
      </c>
    </row>
    <row r="55" spans="1:52" ht="12.75" x14ac:dyDescent="0.2">
      <c r="A55" s="664">
        <v>48</v>
      </c>
      <c r="B55" s="665" t="s">
        <v>715</v>
      </c>
      <c r="C55" s="666" t="s">
        <v>1201</v>
      </c>
      <c r="D55" s="667" t="s">
        <v>1211</v>
      </c>
      <c r="E55" s="668" t="s">
        <v>714</v>
      </c>
      <c r="F55" s="129">
        <v>-8632695</v>
      </c>
      <c r="G55" s="129">
        <v>-99566</v>
      </c>
      <c r="H55" s="129">
        <v>9125556</v>
      </c>
      <c r="I55" s="129">
        <v>463442</v>
      </c>
      <c r="J55" s="129">
        <v>8662114</v>
      </c>
      <c r="K55" s="129">
        <v>128985</v>
      </c>
      <c r="L55" s="129">
        <v>0</v>
      </c>
      <c r="M55" s="129">
        <v>-8632695</v>
      </c>
      <c r="N55" s="755">
        <v>0.5</v>
      </c>
      <c r="O55" s="755">
        <v>0.4</v>
      </c>
      <c r="P55" s="755">
        <v>0.09</v>
      </c>
      <c r="Q55" s="755">
        <v>0.01</v>
      </c>
      <c r="R55" s="755">
        <v>1</v>
      </c>
      <c r="S55" s="129">
        <v>-49783</v>
      </c>
      <c r="T55" s="129">
        <v>-39826</v>
      </c>
      <c r="U55" s="129">
        <v>-8961</v>
      </c>
      <c r="V55" s="129">
        <v>-996</v>
      </c>
      <c r="W55" s="129">
        <v>-99566</v>
      </c>
      <c r="X55" s="755">
        <v>0.5</v>
      </c>
      <c r="Y55" s="755">
        <v>0.4</v>
      </c>
      <c r="Z55" s="755">
        <v>0.09</v>
      </c>
      <c r="AA55" s="755">
        <v>0.01</v>
      </c>
      <c r="AB55" s="755">
        <v>1</v>
      </c>
      <c r="AC55" s="129">
        <v>-4266565</v>
      </c>
      <c r="AD55" s="129">
        <v>-3413252</v>
      </c>
      <c r="AE55" s="129">
        <v>-767982</v>
      </c>
      <c r="AF55" s="129">
        <v>-85331</v>
      </c>
      <c r="AG55" s="129">
        <v>-8533129</v>
      </c>
      <c r="AH55" s="755">
        <v>0.5</v>
      </c>
      <c r="AI55" s="755">
        <v>0.4</v>
      </c>
      <c r="AJ55" s="755">
        <v>0.09</v>
      </c>
      <c r="AK55" s="755">
        <v>0.01</v>
      </c>
      <c r="AL55" s="755">
        <v>1</v>
      </c>
      <c r="AM55" s="129">
        <v>0</v>
      </c>
      <c r="AN55" s="129">
        <v>0</v>
      </c>
      <c r="AO55" s="129">
        <v>0</v>
      </c>
      <c r="AP55" s="129">
        <v>0</v>
      </c>
      <c r="AQ55" s="129">
        <v>0</v>
      </c>
      <c r="AR55" s="129">
        <v>-4316347</v>
      </c>
      <c r="AS55" s="129">
        <v>-3453078</v>
      </c>
      <c r="AT55" s="129">
        <v>-776943</v>
      </c>
      <c r="AU55" s="129">
        <v>-86327</v>
      </c>
      <c r="AV55" s="129">
        <v>-8632695</v>
      </c>
      <c r="AW55" s="662" t="s">
        <v>714</v>
      </c>
      <c r="AX55" s="324" t="s">
        <v>528</v>
      </c>
      <c r="AY55" s="663" t="s">
        <v>1913</v>
      </c>
      <c r="AZ55" s="529" t="s">
        <v>1262</v>
      </c>
    </row>
    <row r="56" spans="1:52" ht="14.25" x14ac:dyDescent="0.2">
      <c r="A56" s="664">
        <v>49</v>
      </c>
      <c r="B56" s="665" t="s">
        <v>717</v>
      </c>
      <c r="C56" s="666" t="s">
        <v>486</v>
      </c>
      <c r="D56" s="667" t="s">
        <v>1211</v>
      </c>
      <c r="E56" s="668" t="s">
        <v>1867</v>
      </c>
      <c r="F56" s="129">
        <v>-43415302</v>
      </c>
      <c r="G56" s="129">
        <v>-6642302</v>
      </c>
      <c r="H56" s="129">
        <v>36700188</v>
      </c>
      <c r="I56" s="129">
        <v>2335349</v>
      </c>
      <c r="J56" s="129">
        <v>34364839</v>
      </c>
      <c r="K56" s="129">
        <v>-2408161</v>
      </c>
      <c r="L56" s="129">
        <v>1605441</v>
      </c>
      <c r="M56" s="129">
        <v>-41809861</v>
      </c>
      <c r="N56" s="755">
        <v>0.5</v>
      </c>
      <c r="O56" s="755">
        <v>0.49</v>
      </c>
      <c r="P56" s="755">
        <v>0</v>
      </c>
      <c r="Q56" s="755">
        <v>0.01</v>
      </c>
      <c r="R56" s="755">
        <v>1</v>
      </c>
      <c r="S56" s="129">
        <v>-3321151</v>
      </c>
      <c r="T56" s="129">
        <v>-3254728</v>
      </c>
      <c r="U56" s="129">
        <v>0</v>
      </c>
      <c r="V56" s="129">
        <v>-66423</v>
      </c>
      <c r="W56" s="129">
        <v>-6642302</v>
      </c>
      <c r="X56" s="755">
        <v>0.5</v>
      </c>
      <c r="Y56" s="755">
        <v>0.49</v>
      </c>
      <c r="Z56" s="755">
        <v>0</v>
      </c>
      <c r="AA56" s="755">
        <v>0.01</v>
      </c>
      <c r="AB56" s="755">
        <v>1</v>
      </c>
      <c r="AC56" s="129">
        <v>-17182420</v>
      </c>
      <c r="AD56" s="129">
        <v>-16838771</v>
      </c>
      <c r="AE56" s="129">
        <v>0</v>
      </c>
      <c r="AF56" s="129">
        <v>-343648</v>
      </c>
      <c r="AG56" s="129">
        <v>-34364839</v>
      </c>
      <c r="AH56" s="755">
        <v>0.5</v>
      </c>
      <c r="AI56" s="755">
        <v>0.49</v>
      </c>
      <c r="AJ56" s="755">
        <v>0</v>
      </c>
      <c r="AK56" s="755">
        <v>0.01</v>
      </c>
      <c r="AL56" s="755">
        <v>1</v>
      </c>
      <c r="AM56" s="129">
        <v>-401360</v>
      </c>
      <c r="AN56" s="129">
        <v>-393333</v>
      </c>
      <c r="AO56" s="129">
        <v>0</v>
      </c>
      <c r="AP56" s="129">
        <v>-8027</v>
      </c>
      <c r="AQ56" s="129">
        <v>-802720</v>
      </c>
      <c r="AR56" s="129">
        <v>-20904931</v>
      </c>
      <c r="AS56" s="129">
        <v>-20486832</v>
      </c>
      <c r="AT56" s="129">
        <v>0</v>
      </c>
      <c r="AU56" s="129">
        <v>-418099</v>
      </c>
      <c r="AV56" s="129">
        <v>-41809861</v>
      </c>
      <c r="AW56" s="662" t="s">
        <v>716</v>
      </c>
      <c r="AX56" s="324" t="s">
        <v>486</v>
      </c>
      <c r="AY56" s="663" t="s">
        <v>492</v>
      </c>
      <c r="AZ56" s="529" t="s">
        <v>1263</v>
      </c>
    </row>
    <row r="57" spans="1:52" ht="12.75" x14ac:dyDescent="0.2">
      <c r="A57" s="664">
        <v>50</v>
      </c>
      <c r="B57" s="665" t="s">
        <v>719</v>
      </c>
      <c r="C57" s="666" t="s">
        <v>1201</v>
      </c>
      <c r="D57" s="667" t="s">
        <v>1206</v>
      </c>
      <c r="E57" s="668" t="s">
        <v>718</v>
      </c>
      <c r="F57" s="129">
        <v>-17044573</v>
      </c>
      <c r="G57" s="129">
        <v>2589199</v>
      </c>
      <c r="H57" s="129">
        <v>19591687</v>
      </c>
      <c r="I57" s="129">
        <v>1407669</v>
      </c>
      <c r="J57" s="129">
        <v>18184018</v>
      </c>
      <c r="K57" s="129">
        <v>-1449754</v>
      </c>
      <c r="L57" s="129">
        <v>966503</v>
      </c>
      <c r="M57" s="129">
        <v>-16078070</v>
      </c>
      <c r="N57" s="755">
        <v>0.25</v>
      </c>
      <c r="O57" s="755">
        <v>0.375</v>
      </c>
      <c r="P57" s="755">
        <v>0.36499999999999999</v>
      </c>
      <c r="Q57" s="755">
        <v>0.01</v>
      </c>
      <c r="R57" s="755">
        <v>1</v>
      </c>
      <c r="S57" s="129">
        <v>647300</v>
      </c>
      <c r="T57" s="129">
        <v>970950</v>
      </c>
      <c r="U57" s="129">
        <v>945058</v>
      </c>
      <c r="V57" s="129">
        <v>25892</v>
      </c>
      <c r="W57" s="129">
        <v>2589199</v>
      </c>
      <c r="X57" s="755">
        <v>0.5</v>
      </c>
      <c r="Y57" s="755">
        <v>0.4</v>
      </c>
      <c r="Z57" s="755">
        <v>0.09</v>
      </c>
      <c r="AA57" s="755">
        <v>0.01</v>
      </c>
      <c r="AB57" s="755">
        <v>1</v>
      </c>
      <c r="AC57" s="129">
        <v>-9092009</v>
      </c>
      <c r="AD57" s="129">
        <v>-7273607</v>
      </c>
      <c r="AE57" s="129">
        <v>-1636562</v>
      </c>
      <c r="AF57" s="129">
        <v>-181840</v>
      </c>
      <c r="AG57" s="129">
        <v>-18184018</v>
      </c>
      <c r="AH57" s="755">
        <v>0.5</v>
      </c>
      <c r="AI57" s="755">
        <v>0.4</v>
      </c>
      <c r="AJ57" s="755">
        <v>0.09</v>
      </c>
      <c r="AK57" s="755">
        <v>0.01</v>
      </c>
      <c r="AL57" s="755">
        <v>1</v>
      </c>
      <c r="AM57" s="129">
        <v>-241626</v>
      </c>
      <c r="AN57" s="129">
        <v>-193301</v>
      </c>
      <c r="AO57" s="129">
        <v>-43493</v>
      </c>
      <c r="AP57" s="129">
        <v>-4833</v>
      </c>
      <c r="AQ57" s="129">
        <v>-483251</v>
      </c>
      <c r="AR57" s="129">
        <v>-8686335</v>
      </c>
      <c r="AS57" s="129">
        <v>-6495958</v>
      </c>
      <c r="AT57" s="129">
        <v>-734997</v>
      </c>
      <c r="AU57" s="129">
        <v>-160781</v>
      </c>
      <c r="AV57" s="129">
        <v>-16078070</v>
      </c>
      <c r="AW57" s="662" t="s">
        <v>718</v>
      </c>
      <c r="AX57" s="324" t="s">
        <v>551</v>
      </c>
      <c r="AY57" s="663" t="s">
        <v>549</v>
      </c>
      <c r="AZ57" s="529" t="s">
        <v>1264</v>
      </c>
    </row>
    <row r="58" spans="1:52" ht="12.75" x14ac:dyDescent="0.2">
      <c r="A58" s="664">
        <v>51</v>
      </c>
      <c r="B58" s="665" t="s">
        <v>721</v>
      </c>
      <c r="C58" s="666" t="s">
        <v>1201</v>
      </c>
      <c r="D58" s="667" t="s">
        <v>1211</v>
      </c>
      <c r="E58" s="668" t="s">
        <v>720</v>
      </c>
      <c r="F58" s="129">
        <v>-52257535</v>
      </c>
      <c r="G58" s="129">
        <v>-2650731</v>
      </c>
      <c r="H58" s="129">
        <v>41016950</v>
      </c>
      <c r="I58" s="129">
        <v>2234549</v>
      </c>
      <c r="J58" s="129">
        <v>38782401</v>
      </c>
      <c r="K58" s="129">
        <v>-10824403</v>
      </c>
      <c r="L58" s="129">
        <v>7216269</v>
      </c>
      <c r="M58" s="129">
        <v>-45041266</v>
      </c>
      <c r="N58" s="755">
        <v>0.5</v>
      </c>
      <c r="O58" s="755">
        <v>0.4</v>
      </c>
      <c r="P58" s="755">
        <v>0.09</v>
      </c>
      <c r="Q58" s="755">
        <v>0.01</v>
      </c>
      <c r="R58" s="755">
        <v>1</v>
      </c>
      <c r="S58" s="129">
        <v>-1325365</v>
      </c>
      <c r="T58" s="129">
        <v>-1060292</v>
      </c>
      <c r="U58" s="129">
        <v>-238566</v>
      </c>
      <c r="V58" s="129">
        <v>-26507</v>
      </c>
      <c r="W58" s="129">
        <v>-2650731</v>
      </c>
      <c r="X58" s="755">
        <v>0.5</v>
      </c>
      <c r="Y58" s="755">
        <v>0.4</v>
      </c>
      <c r="Z58" s="755">
        <v>0.09</v>
      </c>
      <c r="AA58" s="755">
        <v>0.01</v>
      </c>
      <c r="AB58" s="755">
        <v>1</v>
      </c>
      <c r="AC58" s="129">
        <v>-19391201</v>
      </c>
      <c r="AD58" s="129">
        <v>-15512960</v>
      </c>
      <c r="AE58" s="129">
        <v>-3490416</v>
      </c>
      <c r="AF58" s="129">
        <v>-387824</v>
      </c>
      <c r="AG58" s="129">
        <v>-38782401</v>
      </c>
      <c r="AH58" s="755">
        <v>0.5</v>
      </c>
      <c r="AI58" s="755">
        <v>0.4</v>
      </c>
      <c r="AJ58" s="755">
        <v>0.09</v>
      </c>
      <c r="AK58" s="755">
        <v>0.01</v>
      </c>
      <c r="AL58" s="755">
        <v>1</v>
      </c>
      <c r="AM58" s="129">
        <v>-1804067</v>
      </c>
      <c r="AN58" s="129">
        <v>-1443254</v>
      </c>
      <c r="AO58" s="129">
        <v>-324732</v>
      </c>
      <c r="AP58" s="129">
        <v>-36081</v>
      </c>
      <c r="AQ58" s="129">
        <v>-3608134</v>
      </c>
      <c r="AR58" s="129">
        <v>-22520633</v>
      </c>
      <c r="AS58" s="129">
        <v>-18016506</v>
      </c>
      <c r="AT58" s="129">
        <v>-4053714</v>
      </c>
      <c r="AU58" s="129">
        <v>-450413</v>
      </c>
      <c r="AV58" s="129">
        <v>-45041266</v>
      </c>
      <c r="AW58" s="662" t="s">
        <v>720</v>
      </c>
      <c r="AX58" s="324" t="s">
        <v>528</v>
      </c>
      <c r="AY58" s="663" t="s">
        <v>1913</v>
      </c>
      <c r="AZ58" s="529" t="s">
        <v>1265</v>
      </c>
    </row>
    <row r="59" spans="1:52" ht="12.75" x14ac:dyDescent="0.2">
      <c r="A59" s="664">
        <v>52</v>
      </c>
      <c r="B59" s="665" t="s">
        <v>723</v>
      </c>
      <c r="C59" s="666" t="s">
        <v>1201</v>
      </c>
      <c r="D59" s="667" t="s">
        <v>1224</v>
      </c>
      <c r="E59" s="668" t="s">
        <v>722</v>
      </c>
      <c r="F59" s="129">
        <v>-37947229</v>
      </c>
      <c r="G59" s="129">
        <v>-320425</v>
      </c>
      <c r="H59" s="129">
        <v>34550639</v>
      </c>
      <c r="I59" s="129">
        <v>989940</v>
      </c>
      <c r="J59" s="129">
        <v>33560699</v>
      </c>
      <c r="K59" s="129">
        <v>-4066105</v>
      </c>
      <c r="L59" s="129">
        <v>2710737</v>
      </c>
      <c r="M59" s="129">
        <v>-35236492</v>
      </c>
      <c r="N59" s="755">
        <v>0.5</v>
      </c>
      <c r="O59" s="755">
        <v>0.4</v>
      </c>
      <c r="P59" s="755">
        <v>0.1</v>
      </c>
      <c r="Q59" s="755">
        <v>0</v>
      </c>
      <c r="R59" s="755">
        <v>1</v>
      </c>
      <c r="S59" s="129">
        <v>-160213</v>
      </c>
      <c r="T59" s="129">
        <v>-128170</v>
      </c>
      <c r="U59" s="129">
        <v>-32043</v>
      </c>
      <c r="V59" s="129">
        <v>0</v>
      </c>
      <c r="W59" s="129">
        <v>-320425</v>
      </c>
      <c r="X59" s="755">
        <v>0.5</v>
      </c>
      <c r="Y59" s="755">
        <v>0.4</v>
      </c>
      <c r="Z59" s="755">
        <v>0.1</v>
      </c>
      <c r="AA59" s="755">
        <v>0</v>
      </c>
      <c r="AB59" s="755">
        <v>1</v>
      </c>
      <c r="AC59" s="129">
        <v>-16780350</v>
      </c>
      <c r="AD59" s="129">
        <v>-13424280</v>
      </c>
      <c r="AE59" s="129">
        <v>-3356070</v>
      </c>
      <c r="AF59" s="129">
        <v>0</v>
      </c>
      <c r="AG59" s="129">
        <v>-33560699</v>
      </c>
      <c r="AH59" s="755">
        <v>0.5</v>
      </c>
      <c r="AI59" s="755">
        <v>0.4</v>
      </c>
      <c r="AJ59" s="755">
        <v>0.1</v>
      </c>
      <c r="AK59" s="755">
        <v>0</v>
      </c>
      <c r="AL59" s="755">
        <v>1</v>
      </c>
      <c r="AM59" s="129">
        <v>-677684</v>
      </c>
      <c r="AN59" s="129">
        <v>-542147</v>
      </c>
      <c r="AO59" s="129">
        <v>-135537</v>
      </c>
      <c r="AP59" s="129">
        <v>0</v>
      </c>
      <c r="AQ59" s="129">
        <v>-1355368</v>
      </c>
      <c r="AR59" s="129">
        <v>-17618246</v>
      </c>
      <c r="AS59" s="129">
        <v>-14094597</v>
      </c>
      <c r="AT59" s="129">
        <v>-3523649</v>
      </c>
      <c r="AU59" s="129">
        <v>0</v>
      </c>
      <c r="AV59" s="129">
        <v>-35236492</v>
      </c>
      <c r="AW59" s="662" t="s">
        <v>722</v>
      </c>
      <c r="AX59" s="324" t="s">
        <v>529</v>
      </c>
      <c r="AY59" s="663" t="s">
        <v>512</v>
      </c>
      <c r="AZ59" s="529" t="s">
        <v>1266</v>
      </c>
    </row>
    <row r="60" spans="1:52" ht="12.75" x14ac:dyDescent="0.2">
      <c r="A60" s="664">
        <v>53</v>
      </c>
      <c r="B60" s="665" t="s">
        <v>725</v>
      </c>
      <c r="C60" s="666" t="s">
        <v>1201</v>
      </c>
      <c r="D60" s="667" t="s">
        <v>1202</v>
      </c>
      <c r="E60" s="668" t="s">
        <v>724</v>
      </c>
      <c r="F60" s="129">
        <v>-58164458</v>
      </c>
      <c r="G60" s="129">
        <v>-775777</v>
      </c>
      <c r="H60" s="129">
        <v>58214885</v>
      </c>
      <c r="I60" s="129">
        <v>1045472</v>
      </c>
      <c r="J60" s="129">
        <v>57169413</v>
      </c>
      <c r="K60" s="129">
        <v>-219268</v>
      </c>
      <c r="L60" s="129">
        <v>146179</v>
      </c>
      <c r="M60" s="129">
        <v>-58018279</v>
      </c>
      <c r="N60" s="755">
        <v>0.5</v>
      </c>
      <c r="O60" s="755">
        <v>0.4</v>
      </c>
      <c r="P60" s="755">
        <v>0.1</v>
      </c>
      <c r="Q60" s="755">
        <v>0</v>
      </c>
      <c r="R60" s="755">
        <v>1</v>
      </c>
      <c r="S60" s="129">
        <v>-387889</v>
      </c>
      <c r="T60" s="129">
        <v>-310311</v>
      </c>
      <c r="U60" s="129">
        <v>-77578</v>
      </c>
      <c r="V60" s="129">
        <v>0</v>
      </c>
      <c r="W60" s="129">
        <v>-775777</v>
      </c>
      <c r="X60" s="755">
        <v>0.5</v>
      </c>
      <c r="Y60" s="755">
        <v>0.4</v>
      </c>
      <c r="Z60" s="755">
        <v>0.1</v>
      </c>
      <c r="AA60" s="755">
        <v>0</v>
      </c>
      <c r="AB60" s="755">
        <v>1</v>
      </c>
      <c r="AC60" s="129">
        <v>-28584707</v>
      </c>
      <c r="AD60" s="129">
        <v>-22867765</v>
      </c>
      <c r="AE60" s="129">
        <v>-5716941</v>
      </c>
      <c r="AF60" s="129">
        <v>0</v>
      </c>
      <c r="AG60" s="129">
        <v>-57169413</v>
      </c>
      <c r="AH60" s="755">
        <v>0.5</v>
      </c>
      <c r="AI60" s="755">
        <v>0.4</v>
      </c>
      <c r="AJ60" s="755">
        <v>0.1</v>
      </c>
      <c r="AK60" s="755">
        <v>0</v>
      </c>
      <c r="AL60" s="755">
        <v>1</v>
      </c>
      <c r="AM60" s="129">
        <v>-36545</v>
      </c>
      <c r="AN60" s="129">
        <v>-29236</v>
      </c>
      <c r="AO60" s="129">
        <v>-7309</v>
      </c>
      <c r="AP60" s="129">
        <v>0</v>
      </c>
      <c r="AQ60" s="129">
        <v>-73089</v>
      </c>
      <c r="AR60" s="129">
        <v>-29009140</v>
      </c>
      <c r="AS60" s="129">
        <v>-23207312</v>
      </c>
      <c r="AT60" s="129">
        <v>-5801828</v>
      </c>
      <c r="AU60" s="129">
        <v>0</v>
      </c>
      <c r="AV60" s="129">
        <v>-58018279</v>
      </c>
      <c r="AW60" s="662" t="s">
        <v>724</v>
      </c>
      <c r="AX60" s="324" t="s">
        <v>560</v>
      </c>
      <c r="AY60" s="663" t="s">
        <v>512</v>
      </c>
      <c r="AZ60" s="529" t="s">
        <v>1267</v>
      </c>
    </row>
    <row r="61" spans="1:52" ht="12.75" x14ac:dyDescent="0.2">
      <c r="A61" s="664">
        <v>54</v>
      </c>
      <c r="B61" s="665" t="s">
        <v>727</v>
      </c>
      <c r="C61" s="666" t="s">
        <v>486</v>
      </c>
      <c r="D61" s="667" t="s">
        <v>1204</v>
      </c>
      <c r="E61" s="668" t="s">
        <v>726</v>
      </c>
      <c r="F61" s="129">
        <v>-70659807</v>
      </c>
      <c r="G61" s="129">
        <v>-1076958</v>
      </c>
      <c r="H61" s="129">
        <v>63931017</v>
      </c>
      <c r="I61" s="129">
        <v>2749584</v>
      </c>
      <c r="J61" s="129">
        <v>61181433</v>
      </c>
      <c r="K61" s="129">
        <v>-8401416</v>
      </c>
      <c r="L61" s="129">
        <v>5600944</v>
      </c>
      <c r="M61" s="129">
        <v>-65058863</v>
      </c>
      <c r="N61" s="755">
        <v>0.5</v>
      </c>
      <c r="O61" s="755">
        <v>0.49</v>
      </c>
      <c r="P61" s="755">
        <v>0</v>
      </c>
      <c r="Q61" s="755">
        <v>0.01</v>
      </c>
      <c r="R61" s="755">
        <v>1</v>
      </c>
      <c r="S61" s="129">
        <v>-538479</v>
      </c>
      <c r="T61" s="129">
        <v>-527709</v>
      </c>
      <c r="U61" s="129">
        <v>0</v>
      </c>
      <c r="V61" s="129">
        <v>-10770</v>
      </c>
      <c r="W61" s="129">
        <v>-1076958</v>
      </c>
      <c r="X61" s="755">
        <v>0.5</v>
      </c>
      <c r="Y61" s="755">
        <v>0.49</v>
      </c>
      <c r="Z61" s="755">
        <v>0</v>
      </c>
      <c r="AA61" s="755">
        <v>0.01</v>
      </c>
      <c r="AB61" s="755">
        <v>1</v>
      </c>
      <c r="AC61" s="129">
        <v>-30590717</v>
      </c>
      <c r="AD61" s="129">
        <v>-29978902</v>
      </c>
      <c r="AE61" s="129">
        <v>0</v>
      </c>
      <c r="AF61" s="129">
        <v>-611814</v>
      </c>
      <c r="AG61" s="129">
        <v>-61181433</v>
      </c>
      <c r="AH61" s="755">
        <v>0.5</v>
      </c>
      <c r="AI61" s="755">
        <v>0.49</v>
      </c>
      <c r="AJ61" s="755">
        <v>0</v>
      </c>
      <c r="AK61" s="755">
        <v>0.01</v>
      </c>
      <c r="AL61" s="755">
        <v>1</v>
      </c>
      <c r="AM61" s="129">
        <v>-1400236</v>
      </c>
      <c r="AN61" s="129">
        <v>-1372231</v>
      </c>
      <c r="AO61" s="129">
        <v>0</v>
      </c>
      <c r="AP61" s="129">
        <v>-28005</v>
      </c>
      <c r="AQ61" s="129">
        <v>-2800472</v>
      </c>
      <c r="AR61" s="129">
        <v>-32529432</v>
      </c>
      <c r="AS61" s="129">
        <v>-31878843</v>
      </c>
      <c r="AT61" s="129">
        <v>0</v>
      </c>
      <c r="AU61" s="129">
        <v>-650589</v>
      </c>
      <c r="AV61" s="129">
        <v>-65058863</v>
      </c>
      <c r="AW61" s="662" t="s">
        <v>726</v>
      </c>
      <c r="AX61" s="324" t="s">
        <v>486</v>
      </c>
      <c r="AY61" s="663" t="s">
        <v>505</v>
      </c>
      <c r="AZ61" s="529" t="s">
        <v>1268</v>
      </c>
    </row>
    <row r="62" spans="1:52" ht="12.75" x14ac:dyDescent="0.2">
      <c r="A62" s="664">
        <v>55</v>
      </c>
      <c r="B62" s="665" t="s">
        <v>728</v>
      </c>
      <c r="C62" s="666" t="s">
        <v>486</v>
      </c>
      <c r="D62" s="667" t="s">
        <v>1204</v>
      </c>
      <c r="E62" s="668" t="s">
        <v>507</v>
      </c>
      <c r="F62" s="129">
        <v>-79445853</v>
      </c>
      <c r="G62" s="129">
        <v>5984709</v>
      </c>
      <c r="H62" s="129">
        <v>83760000</v>
      </c>
      <c r="I62" s="129">
        <v>4300000</v>
      </c>
      <c r="J62" s="129">
        <v>79460000</v>
      </c>
      <c r="K62" s="129">
        <v>-5970562</v>
      </c>
      <c r="L62" s="129">
        <v>3980375</v>
      </c>
      <c r="M62" s="129">
        <v>-75465478</v>
      </c>
      <c r="N62" s="755">
        <v>0.5</v>
      </c>
      <c r="O62" s="755">
        <v>0.49</v>
      </c>
      <c r="P62" s="755">
        <v>0</v>
      </c>
      <c r="Q62" s="755">
        <v>0.01</v>
      </c>
      <c r="R62" s="755">
        <v>1</v>
      </c>
      <c r="S62" s="129">
        <v>2992355</v>
      </c>
      <c r="T62" s="129">
        <v>2932507</v>
      </c>
      <c r="U62" s="129">
        <v>0</v>
      </c>
      <c r="V62" s="129">
        <v>59847</v>
      </c>
      <c r="W62" s="129">
        <v>5984709</v>
      </c>
      <c r="X62" s="755">
        <v>0.5</v>
      </c>
      <c r="Y62" s="755">
        <v>0.49</v>
      </c>
      <c r="Z62" s="755">
        <v>0</v>
      </c>
      <c r="AA62" s="755">
        <v>0.01</v>
      </c>
      <c r="AB62" s="755">
        <v>1</v>
      </c>
      <c r="AC62" s="129">
        <v>-39730000</v>
      </c>
      <c r="AD62" s="129">
        <v>-38935400</v>
      </c>
      <c r="AE62" s="129">
        <v>0</v>
      </c>
      <c r="AF62" s="129">
        <v>-794600</v>
      </c>
      <c r="AG62" s="129">
        <v>-79460000</v>
      </c>
      <c r="AH62" s="755">
        <v>0.5</v>
      </c>
      <c r="AI62" s="755">
        <v>0.49</v>
      </c>
      <c r="AJ62" s="755">
        <v>0</v>
      </c>
      <c r="AK62" s="755">
        <v>0.01</v>
      </c>
      <c r="AL62" s="755">
        <v>1</v>
      </c>
      <c r="AM62" s="129">
        <v>-995094</v>
      </c>
      <c r="AN62" s="129">
        <v>-975192</v>
      </c>
      <c r="AO62" s="129">
        <v>0</v>
      </c>
      <c r="AP62" s="129">
        <v>-19902</v>
      </c>
      <c r="AQ62" s="129">
        <v>-1990187</v>
      </c>
      <c r="AR62" s="129">
        <v>-37732739</v>
      </c>
      <c r="AS62" s="129">
        <v>-36978084</v>
      </c>
      <c r="AT62" s="129">
        <v>0</v>
      </c>
      <c r="AU62" s="129">
        <v>-754655</v>
      </c>
      <c r="AV62" s="129">
        <v>-75465478</v>
      </c>
      <c r="AW62" s="662" t="s">
        <v>507</v>
      </c>
      <c r="AX62" s="324" t="s">
        <v>486</v>
      </c>
      <c r="AY62" s="663" t="s">
        <v>505</v>
      </c>
      <c r="AZ62" s="529" t="s">
        <v>1269</v>
      </c>
    </row>
    <row r="63" spans="1:52" ht="12.75" x14ac:dyDescent="0.2">
      <c r="A63" s="664">
        <v>56</v>
      </c>
      <c r="B63" s="665" t="s">
        <v>730</v>
      </c>
      <c r="C63" s="666" t="s">
        <v>1201</v>
      </c>
      <c r="D63" s="667" t="s">
        <v>1206</v>
      </c>
      <c r="E63" s="668" t="s">
        <v>729</v>
      </c>
      <c r="F63" s="129">
        <v>-17906326</v>
      </c>
      <c r="G63" s="129">
        <v>-172517</v>
      </c>
      <c r="H63" s="129">
        <v>19234271</v>
      </c>
      <c r="I63" s="129">
        <v>1042366</v>
      </c>
      <c r="J63" s="129">
        <v>18191905</v>
      </c>
      <c r="K63" s="129">
        <v>458096</v>
      </c>
      <c r="L63" s="129">
        <v>0</v>
      </c>
      <c r="M63" s="129">
        <v>-17906326</v>
      </c>
      <c r="N63" s="755">
        <v>0.5</v>
      </c>
      <c r="O63" s="755">
        <v>0.4</v>
      </c>
      <c r="P63" s="755">
        <v>0.09</v>
      </c>
      <c r="Q63" s="755">
        <v>0.01</v>
      </c>
      <c r="R63" s="755">
        <v>1</v>
      </c>
      <c r="S63" s="129">
        <v>-86259</v>
      </c>
      <c r="T63" s="129">
        <v>-69007</v>
      </c>
      <c r="U63" s="129">
        <v>-15527</v>
      </c>
      <c r="V63" s="129">
        <v>-1725</v>
      </c>
      <c r="W63" s="129">
        <v>-172517</v>
      </c>
      <c r="X63" s="755">
        <v>0.5</v>
      </c>
      <c r="Y63" s="755">
        <v>0.4</v>
      </c>
      <c r="Z63" s="755">
        <v>0.09</v>
      </c>
      <c r="AA63" s="755">
        <v>0.01</v>
      </c>
      <c r="AB63" s="755">
        <v>1</v>
      </c>
      <c r="AC63" s="129">
        <v>-8866905</v>
      </c>
      <c r="AD63" s="129">
        <v>-7093524</v>
      </c>
      <c r="AE63" s="129">
        <v>-1596043</v>
      </c>
      <c r="AF63" s="129">
        <v>-177338</v>
      </c>
      <c r="AG63" s="129">
        <v>-17733809</v>
      </c>
      <c r="AH63" s="755">
        <v>0.5</v>
      </c>
      <c r="AI63" s="755">
        <v>0.4</v>
      </c>
      <c r="AJ63" s="755">
        <v>0.09</v>
      </c>
      <c r="AK63" s="755">
        <v>0.01</v>
      </c>
      <c r="AL63" s="755">
        <v>1</v>
      </c>
      <c r="AM63" s="129">
        <v>0</v>
      </c>
      <c r="AN63" s="129">
        <v>0</v>
      </c>
      <c r="AO63" s="129">
        <v>0</v>
      </c>
      <c r="AP63" s="129">
        <v>0</v>
      </c>
      <c r="AQ63" s="129">
        <v>0</v>
      </c>
      <c r="AR63" s="129">
        <v>-8953163</v>
      </c>
      <c r="AS63" s="129">
        <v>-7162530</v>
      </c>
      <c r="AT63" s="129">
        <v>-1611569</v>
      </c>
      <c r="AU63" s="129">
        <v>-179063</v>
      </c>
      <c r="AV63" s="129">
        <v>-17906326</v>
      </c>
      <c r="AW63" s="662" t="s">
        <v>729</v>
      </c>
      <c r="AX63" s="324" t="s">
        <v>516</v>
      </c>
      <c r="AY63" s="663" t="s">
        <v>515</v>
      </c>
      <c r="AZ63" s="529" t="s">
        <v>1270</v>
      </c>
    </row>
    <row r="64" spans="1:52" ht="12.75" x14ac:dyDescent="0.2">
      <c r="A64" s="664">
        <v>57</v>
      </c>
      <c r="B64" s="665" t="s">
        <v>732</v>
      </c>
      <c r="C64" s="666" t="s">
        <v>1201</v>
      </c>
      <c r="D64" s="667" t="s">
        <v>1202</v>
      </c>
      <c r="E64" s="668" t="s">
        <v>731</v>
      </c>
      <c r="F64" s="129">
        <v>-33443563</v>
      </c>
      <c r="G64" s="129">
        <v>-1086322</v>
      </c>
      <c r="H64" s="129">
        <v>30507115</v>
      </c>
      <c r="I64" s="129">
        <v>1492000</v>
      </c>
      <c r="J64" s="129">
        <v>29015115</v>
      </c>
      <c r="K64" s="129">
        <v>-3342126</v>
      </c>
      <c r="L64" s="129">
        <v>2228084</v>
      </c>
      <c r="M64" s="129">
        <v>-31215479</v>
      </c>
      <c r="N64" s="755">
        <v>0.25</v>
      </c>
      <c r="O64" s="755">
        <v>0.2</v>
      </c>
      <c r="P64" s="755">
        <v>0.55000000000000004</v>
      </c>
      <c r="Q64" s="755">
        <v>0</v>
      </c>
      <c r="R64" s="755">
        <v>1</v>
      </c>
      <c r="S64" s="129">
        <v>-271581</v>
      </c>
      <c r="T64" s="129">
        <v>-217264</v>
      </c>
      <c r="U64" s="129">
        <v>-597477</v>
      </c>
      <c r="V64" s="129">
        <v>0</v>
      </c>
      <c r="W64" s="129">
        <v>-1086322</v>
      </c>
      <c r="X64" s="755">
        <v>0.5</v>
      </c>
      <c r="Y64" s="755">
        <v>0.4</v>
      </c>
      <c r="Z64" s="755">
        <v>0.1</v>
      </c>
      <c r="AA64" s="755">
        <v>0</v>
      </c>
      <c r="AB64" s="755">
        <v>1</v>
      </c>
      <c r="AC64" s="129">
        <v>-14507558</v>
      </c>
      <c r="AD64" s="129">
        <v>-11606046</v>
      </c>
      <c r="AE64" s="129">
        <v>-2901512</v>
      </c>
      <c r="AF64" s="129">
        <v>0</v>
      </c>
      <c r="AG64" s="129">
        <v>-29015115</v>
      </c>
      <c r="AH64" s="755">
        <v>0.5</v>
      </c>
      <c r="AI64" s="755">
        <v>0.4</v>
      </c>
      <c r="AJ64" s="755">
        <v>0.1</v>
      </c>
      <c r="AK64" s="755">
        <v>0</v>
      </c>
      <c r="AL64" s="755">
        <v>1</v>
      </c>
      <c r="AM64" s="129">
        <v>-557021</v>
      </c>
      <c r="AN64" s="129">
        <v>-445617</v>
      </c>
      <c r="AO64" s="129">
        <v>-111404</v>
      </c>
      <c r="AP64" s="129">
        <v>0</v>
      </c>
      <c r="AQ64" s="129">
        <v>-1114042</v>
      </c>
      <c r="AR64" s="129">
        <v>-15336159</v>
      </c>
      <c r="AS64" s="129">
        <v>-12268927</v>
      </c>
      <c r="AT64" s="129">
        <v>-3610393</v>
      </c>
      <c r="AU64" s="129">
        <v>0</v>
      </c>
      <c r="AV64" s="129">
        <v>-31215479</v>
      </c>
      <c r="AW64" s="662" t="s">
        <v>731</v>
      </c>
      <c r="AX64" s="324" t="s">
        <v>568</v>
      </c>
      <c r="AY64" s="663" t="s">
        <v>512</v>
      </c>
      <c r="AZ64" s="529" t="s">
        <v>1271</v>
      </c>
    </row>
    <row r="65" spans="1:52" ht="12.75" x14ac:dyDescent="0.2">
      <c r="A65" s="664">
        <v>58</v>
      </c>
      <c r="B65" s="665" t="s">
        <v>734</v>
      </c>
      <c r="C65" s="666" t="s">
        <v>1201</v>
      </c>
      <c r="D65" s="667" t="s">
        <v>1204</v>
      </c>
      <c r="E65" s="668" t="s">
        <v>733</v>
      </c>
      <c r="F65" s="129">
        <v>-11502465</v>
      </c>
      <c r="G65" s="129">
        <v>838864</v>
      </c>
      <c r="H65" s="129">
        <v>12943069</v>
      </c>
      <c r="I65" s="129">
        <v>915396</v>
      </c>
      <c r="J65" s="129">
        <v>12027673</v>
      </c>
      <c r="K65" s="129">
        <v>-313656</v>
      </c>
      <c r="L65" s="129">
        <v>209104</v>
      </c>
      <c r="M65" s="129">
        <v>-11293361</v>
      </c>
      <c r="N65" s="755">
        <v>0.25</v>
      </c>
      <c r="O65" s="755">
        <v>0.56000000000000005</v>
      </c>
      <c r="P65" s="755">
        <v>0.17499999999999999</v>
      </c>
      <c r="Q65" s="755">
        <v>1.4999999999999999E-2</v>
      </c>
      <c r="R65" s="755">
        <v>1</v>
      </c>
      <c r="S65" s="129">
        <v>209716</v>
      </c>
      <c r="T65" s="129">
        <v>469764</v>
      </c>
      <c r="U65" s="129">
        <v>146801</v>
      </c>
      <c r="V65" s="129">
        <v>12583</v>
      </c>
      <c r="W65" s="129">
        <v>838864</v>
      </c>
      <c r="X65" s="755">
        <v>0.5</v>
      </c>
      <c r="Y65" s="755">
        <v>0.4</v>
      </c>
      <c r="Z65" s="755">
        <v>0.09</v>
      </c>
      <c r="AA65" s="755">
        <v>0.01</v>
      </c>
      <c r="AB65" s="755">
        <v>1</v>
      </c>
      <c r="AC65" s="129">
        <v>-6013837</v>
      </c>
      <c r="AD65" s="129">
        <v>-4811069</v>
      </c>
      <c r="AE65" s="129">
        <v>-1082491</v>
      </c>
      <c r="AF65" s="129">
        <v>-120277</v>
      </c>
      <c r="AG65" s="129">
        <v>-12027673</v>
      </c>
      <c r="AH65" s="755">
        <v>0.5</v>
      </c>
      <c r="AI65" s="755">
        <v>0.4</v>
      </c>
      <c r="AJ65" s="755">
        <v>0.09</v>
      </c>
      <c r="AK65" s="755">
        <v>0.01</v>
      </c>
      <c r="AL65" s="755">
        <v>1</v>
      </c>
      <c r="AM65" s="129">
        <v>-52276</v>
      </c>
      <c r="AN65" s="129">
        <v>-41821</v>
      </c>
      <c r="AO65" s="129">
        <v>-9410</v>
      </c>
      <c r="AP65" s="129">
        <v>-1046</v>
      </c>
      <c r="AQ65" s="129">
        <v>-104552</v>
      </c>
      <c r="AR65" s="129">
        <v>-5856397</v>
      </c>
      <c r="AS65" s="129">
        <v>-4383126</v>
      </c>
      <c r="AT65" s="129">
        <v>-945099</v>
      </c>
      <c r="AU65" s="129">
        <v>-108739</v>
      </c>
      <c r="AV65" s="129">
        <v>-11293361</v>
      </c>
      <c r="AW65" s="662" t="s">
        <v>733</v>
      </c>
      <c r="AX65" s="324" t="s">
        <v>547</v>
      </c>
      <c r="AY65" s="663" t="s">
        <v>545</v>
      </c>
      <c r="AZ65" s="529" t="s">
        <v>1272</v>
      </c>
    </row>
    <row r="66" spans="1:52" ht="12.75" x14ac:dyDescent="0.2">
      <c r="A66" s="664">
        <v>59</v>
      </c>
      <c r="B66" s="665" t="s">
        <v>0</v>
      </c>
      <c r="C66" s="666" t="s">
        <v>1257</v>
      </c>
      <c r="D66" s="667" t="s">
        <v>1214</v>
      </c>
      <c r="E66" s="668" t="s">
        <v>735</v>
      </c>
      <c r="F66" s="129">
        <v>-169836989</v>
      </c>
      <c r="G66" s="129">
        <v>15562227</v>
      </c>
      <c r="H66" s="129">
        <v>135716799</v>
      </c>
      <c r="I66" s="129">
        <v>2349273</v>
      </c>
      <c r="J66" s="129">
        <v>133367526</v>
      </c>
      <c r="K66" s="129">
        <v>-52031690</v>
      </c>
      <c r="L66" s="129">
        <v>34687793</v>
      </c>
      <c r="M66" s="129">
        <v>-135149196</v>
      </c>
      <c r="N66" s="755">
        <v>0.25</v>
      </c>
      <c r="O66" s="755">
        <v>0.48</v>
      </c>
      <c r="P66" s="755">
        <v>0.27</v>
      </c>
      <c r="Q66" s="755">
        <v>0</v>
      </c>
      <c r="R66" s="755">
        <v>1</v>
      </c>
      <c r="S66" s="129">
        <v>3890557</v>
      </c>
      <c r="T66" s="129">
        <v>7469869</v>
      </c>
      <c r="U66" s="129">
        <v>4201801</v>
      </c>
      <c r="V66" s="129">
        <v>0</v>
      </c>
      <c r="W66" s="129">
        <v>15562227</v>
      </c>
      <c r="X66" s="755">
        <v>0.33</v>
      </c>
      <c r="Y66" s="755">
        <v>0.3</v>
      </c>
      <c r="Z66" s="755">
        <v>0.37</v>
      </c>
      <c r="AA66" s="755">
        <v>0</v>
      </c>
      <c r="AB66" s="755">
        <v>1</v>
      </c>
      <c r="AC66" s="129">
        <v>-44011284</v>
      </c>
      <c r="AD66" s="129">
        <v>-40010258</v>
      </c>
      <c r="AE66" s="129">
        <v>-49345985</v>
      </c>
      <c r="AF66" s="129">
        <v>0</v>
      </c>
      <c r="AG66" s="129">
        <v>-133367526</v>
      </c>
      <c r="AH66" s="755">
        <v>0.33</v>
      </c>
      <c r="AI66" s="755">
        <v>0.3</v>
      </c>
      <c r="AJ66" s="755">
        <v>0.37</v>
      </c>
      <c r="AK66" s="755">
        <v>0</v>
      </c>
      <c r="AL66" s="755">
        <v>1</v>
      </c>
      <c r="AM66" s="129">
        <v>-5723486</v>
      </c>
      <c r="AN66" s="129">
        <v>-5203169</v>
      </c>
      <c r="AO66" s="129">
        <v>-6417242</v>
      </c>
      <c r="AP66" s="129">
        <v>0</v>
      </c>
      <c r="AQ66" s="129">
        <v>-17343897</v>
      </c>
      <c r="AR66" s="129">
        <v>-45844213</v>
      </c>
      <c r="AS66" s="129">
        <v>-37743558</v>
      </c>
      <c r="AT66" s="129">
        <v>-51561425</v>
      </c>
      <c r="AU66" s="129">
        <v>0</v>
      </c>
      <c r="AV66" s="129">
        <v>-135149196</v>
      </c>
      <c r="AW66" s="662" t="s">
        <v>735</v>
      </c>
      <c r="AX66" s="324" t="s">
        <v>35</v>
      </c>
      <c r="AY66" s="669" t="s">
        <v>485</v>
      </c>
      <c r="AZ66" s="529" t="s">
        <v>1273</v>
      </c>
    </row>
    <row r="67" spans="1:52" ht="12.75" x14ac:dyDescent="0.2">
      <c r="A67" s="664">
        <v>60</v>
      </c>
      <c r="B67" s="665" t="s">
        <v>2</v>
      </c>
      <c r="C67" s="666" t="s">
        <v>1201</v>
      </c>
      <c r="D67" s="667" t="s">
        <v>1211</v>
      </c>
      <c r="E67" s="668" t="s">
        <v>1</v>
      </c>
      <c r="F67" s="129">
        <v>-34053693</v>
      </c>
      <c r="G67" s="129">
        <v>2582162</v>
      </c>
      <c r="H67" s="129">
        <v>35435378</v>
      </c>
      <c r="I67" s="129">
        <v>1929926</v>
      </c>
      <c r="J67" s="129">
        <v>33505452</v>
      </c>
      <c r="K67" s="129">
        <v>-3130403</v>
      </c>
      <c r="L67" s="129">
        <v>2086935</v>
      </c>
      <c r="M67" s="129">
        <v>-31966758</v>
      </c>
      <c r="N67" s="755">
        <v>0.5</v>
      </c>
      <c r="O67" s="755">
        <v>0.4</v>
      </c>
      <c r="P67" s="755">
        <v>0.09</v>
      </c>
      <c r="Q67" s="755">
        <v>0.01</v>
      </c>
      <c r="R67" s="755">
        <v>1</v>
      </c>
      <c r="S67" s="129">
        <v>1291081</v>
      </c>
      <c r="T67" s="129">
        <v>1032865</v>
      </c>
      <c r="U67" s="129">
        <v>232395</v>
      </c>
      <c r="V67" s="129">
        <v>25822</v>
      </c>
      <c r="W67" s="129">
        <v>2582162</v>
      </c>
      <c r="X67" s="755">
        <v>0.5</v>
      </c>
      <c r="Y67" s="755">
        <v>0.4</v>
      </c>
      <c r="Z67" s="755">
        <v>0.09</v>
      </c>
      <c r="AA67" s="755">
        <v>0.01</v>
      </c>
      <c r="AB67" s="755">
        <v>1</v>
      </c>
      <c r="AC67" s="129">
        <v>-16752726</v>
      </c>
      <c r="AD67" s="129">
        <v>-13402181</v>
      </c>
      <c r="AE67" s="129">
        <v>-3015491</v>
      </c>
      <c r="AF67" s="129">
        <v>-335055</v>
      </c>
      <c r="AG67" s="129">
        <v>-33505452</v>
      </c>
      <c r="AH67" s="755">
        <v>0.5</v>
      </c>
      <c r="AI67" s="755">
        <v>0.4</v>
      </c>
      <c r="AJ67" s="755">
        <v>0.09</v>
      </c>
      <c r="AK67" s="755">
        <v>0.01</v>
      </c>
      <c r="AL67" s="755">
        <v>1</v>
      </c>
      <c r="AM67" s="129">
        <v>-521734</v>
      </c>
      <c r="AN67" s="129">
        <v>-417387</v>
      </c>
      <c r="AO67" s="129">
        <v>-93912</v>
      </c>
      <c r="AP67" s="129">
        <v>-10435</v>
      </c>
      <c r="AQ67" s="129">
        <v>-1043468</v>
      </c>
      <c r="AR67" s="129">
        <v>-15983379</v>
      </c>
      <c r="AS67" s="129">
        <v>-12786703</v>
      </c>
      <c r="AT67" s="129">
        <v>-2877008</v>
      </c>
      <c r="AU67" s="129">
        <v>-319668</v>
      </c>
      <c r="AV67" s="129">
        <v>-31966758</v>
      </c>
      <c r="AW67" s="662" t="s">
        <v>1</v>
      </c>
      <c r="AX67" s="324" t="s">
        <v>528</v>
      </c>
      <c r="AY67" s="663" t="s">
        <v>1913</v>
      </c>
      <c r="AZ67" s="529" t="s">
        <v>1274</v>
      </c>
    </row>
    <row r="68" spans="1:52" ht="12.75" x14ac:dyDescent="0.2">
      <c r="A68" s="664">
        <v>61</v>
      </c>
      <c r="B68" s="665" t="s">
        <v>4</v>
      </c>
      <c r="C68" s="666" t="s">
        <v>1201</v>
      </c>
      <c r="D68" s="667" t="s">
        <v>1204</v>
      </c>
      <c r="E68" s="668" t="s">
        <v>3</v>
      </c>
      <c r="F68" s="129">
        <v>-5018197</v>
      </c>
      <c r="G68" s="129">
        <v>-70413</v>
      </c>
      <c r="H68" s="129">
        <v>5672447</v>
      </c>
      <c r="I68" s="129">
        <v>432574</v>
      </c>
      <c r="J68" s="129">
        <v>5239873</v>
      </c>
      <c r="K68" s="129">
        <v>292089</v>
      </c>
      <c r="L68" s="129">
        <v>0</v>
      </c>
      <c r="M68" s="129">
        <v>-5018197</v>
      </c>
      <c r="N68" s="755">
        <v>0.5</v>
      </c>
      <c r="O68" s="755">
        <v>0.4</v>
      </c>
      <c r="P68" s="755">
        <v>0.1</v>
      </c>
      <c r="Q68" s="755">
        <v>0</v>
      </c>
      <c r="R68" s="755">
        <v>1</v>
      </c>
      <c r="S68" s="129">
        <v>-35207</v>
      </c>
      <c r="T68" s="129">
        <v>-28165</v>
      </c>
      <c r="U68" s="129">
        <v>-7041</v>
      </c>
      <c r="V68" s="129">
        <v>0</v>
      </c>
      <c r="W68" s="129">
        <v>-70413</v>
      </c>
      <c r="X68" s="755">
        <v>0.5</v>
      </c>
      <c r="Y68" s="755">
        <v>0.4</v>
      </c>
      <c r="Z68" s="755">
        <v>0.1</v>
      </c>
      <c r="AA68" s="755">
        <v>0</v>
      </c>
      <c r="AB68" s="755">
        <v>1</v>
      </c>
      <c r="AC68" s="129">
        <v>-2473892</v>
      </c>
      <c r="AD68" s="129">
        <v>-1979114</v>
      </c>
      <c r="AE68" s="129">
        <v>-494778</v>
      </c>
      <c r="AF68" s="129">
        <v>0</v>
      </c>
      <c r="AG68" s="129">
        <v>-4947784</v>
      </c>
      <c r="AH68" s="755">
        <v>0.5</v>
      </c>
      <c r="AI68" s="755">
        <v>0.4</v>
      </c>
      <c r="AJ68" s="755">
        <v>0.1</v>
      </c>
      <c r="AK68" s="755">
        <v>0</v>
      </c>
      <c r="AL68" s="755">
        <v>1</v>
      </c>
      <c r="AM68" s="129">
        <v>0</v>
      </c>
      <c r="AN68" s="129">
        <v>0</v>
      </c>
      <c r="AO68" s="129">
        <v>0</v>
      </c>
      <c r="AP68" s="129">
        <v>0</v>
      </c>
      <c r="AQ68" s="129">
        <v>0</v>
      </c>
      <c r="AR68" s="129">
        <v>-2509099</v>
      </c>
      <c r="AS68" s="129">
        <v>-2007279</v>
      </c>
      <c r="AT68" s="129">
        <v>-501820</v>
      </c>
      <c r="AU68" s="129">
        <v>0</v>
      </c>
      <c r="AV68" s="129">
        <v>-5018197</v>
      </c>
      <c r="AW68" s="662" t="s">
        <v>3</v>
      </c>
      <c r="AX68" s="324" t="s">
        <v>513</v>
      </c>
      <c r="AY68" s="663" t="s">
        <v>512</v>
      </c>
      <c r="AZ68" s="529" t="s">
        <v>1275</v>
      </c>
    </row>
    <row r="69" spans="1:52" ht="12.75" x14ac:dyDescent="0.2">
      <c r="A69" s="664">
        <v>62</v>
      </c>
      <c r="B69" s="665" t="s">
        <v>6</v>
      </c>
      <c r="C69" s="666" t="s">
        <v>486</v>
      </c>
      <c r="D69" s="667" t="s">
        <v>1224</v>
      </c>
      <c r="E69" s="668" t="s">
        <v>5</v>
      </c>
      <c r="F69" s="129">
        <v>-97496954</v>
      </c>
      <c r="G69" s="129">
        <v>154046</v>
      </c>
      <c r="H69" s="129">
        <v>100838709</v>
      </c>
      <c r="I69" s="129">
        <v>5508644</v>
      </c>
      <c r="J69" s="129">
        <v>95330065</v>
      </c>
      <c r="K69" s="129">
        <v>-2320935</v>
      </c>
      <c r="L69" s="129">
        <v>1547290</v>
      </c>
      <c r="M69" s="129">
        <v>-95949664</v>
      </c>
      <c r="N69" s="755">
        <v>0</v>
      </c>
      <c r="O69" s="755">
        <v>1</v>
      </c>
      <c r="P69" s="755">
        <v>0</v>
      </c>
      <c r="Q69" s="755">
        <v>0</v>
      </c>
      <c r="R69" s="755">
        <v>1</v>
      </c>
      <c r="S69" s="129">
        <v>0</v>
      </c>
      <c r="T69" s="129">
        <v>154046</v>
      </c>
      <c r="U69" s="129">
        <v>0</v>
      </c>
      <c r="V69" s="129">
        <v>0</v>
      </c>
      <c r="W69" s="129">
        <v>154046</v>
      </c>
      <c r="X69" s="755">
        <v>0</v>
      </c>
      <c r="Y69" s="755">
        <v>1</v>
      </c>
      <c r="Z69" s="755">
        <v>0</v>
      </c>
      <c r="AA69" s="755">
        <v>0</v>
      </c>
      <c r="AB69" s="755">
        <v>1</v>
      </c>
      <c r="AC69" s="129">
        <v>0</v>
      </c>
      <c r="AD69" s="129">
        <v>-95330065</v>
      </c>
      <c r="AE69" s="129">
        <v>0</v>
      </c>
      <c r="AF69" s="129">
        <v>0</v>
      </c>
      <c r="AG69" s="129">
        <v>-95330065</v>
      </c>
      <c r="AH69" s="755">
        <v>0</v>
      </c>
      <c r="AI69" s="755">
        <v>1</v>
      </c>
      <c r="AJ69" s="755">
        <v>0</v>
      </c>
      <c r="AK69" s="755">
        <v>0</v>
      </c>
      <c r="AL69" s="755">
        <v>1</v>
      </c>
      <c r="AM69" s="129">
        <v>0</v>
      </c>
      <c r="AN69" s="129">
        <v>-773645</v>
      </c>
      <c r="AO69" s="129">
        <v>0</v>
      </c>
      <c r="AP69" s="129">
        <v>0</v>
      </c>
      <c r="AQ69" s="129">
        <v>-773645</v>
      </c>
      <c r="AR69" s="129">
        <v>0</v>
      </c>
      <c r="AS69" s="129">
        <v>-95949664</v>
      </c>
      <c r="AT69" s="129">
        <v>0</v>
      </c>
      <c r="AU69" s="129">
        <v>0</v>
      </c>
      <c r="AV69" s="129">
        <v>-95949664</v>
      </c>
      <c r="AW69" s="662" t="s">
        <v>5</v>
      </c>
      <c r="AX69" s="324" t="s">
        <v>486</v>
      </c>
      <c r="AY69" s="663" t="s">
        <v>512</v>
      </c>
      <c r="AZ69" s="529" t="s">
        <v>1276</v>
      </c>
    </row>
    <row r="70" spans="1:52" ht="12.75" x14ac:dyDescent="0.2">
      <c r="A70" s="664">
        <v>63</v>
      </c>
      <c r="B70" s="665" t="s">
        <v>8</v>
      </c>
      <c r="C70" s="666" t="s">
        <v>1201</v>
      </c>
      <c r="D70" s="667" t="s">
        <v>1224</v>
      </c>
      <c r="E70" s="668" t="s">
        <v>7</v>
      </c>
      <c r="F70" s="129">
        <v>-19043032</v>
      </c>
      <c r="G70" s="129">
        <v>-1240636</v>
      </c>
      <c r="H70" s="129">
        <v>18683984</v>
      </c>
      <c r="I70" s="129">
        <v>1242073</v>
      </c>
      <c r="J70" s="129">
        <v>17441911</v>
      </c>
      <c r="K70" s="129">
        <v>-360485</v>
      </c>
      <c r="L70" s="129">
        <v>240323</v>
      </c>
      <c r="M70" s="129">
        <v>-18802709</v>
      </c>
      <c r="N70" s="755">
        <v>0.5</v>
      </c>
      <c r="O70" s="755">
        <v>0.4</v>
      </c>
      <c r="P70" s="755">
        <v>0.1</v>
      </c>
      <c r="Q70" s="755">
        <v>0</v>
      </c>
      <c r="R70" s="755">
        <v>1</v>
      </c>
      <c r="S70" s="129">
        <v>-620318</v>
      </c>
      <c r="T70" s="129">
        <v>-496254</v>
      </c>
      <c r="U70" s="129">
        <v>-124064</v>
      </c>
      <c r="V70" s="129">
        <v>0</v>
      </c>
      <c r="W70" s="129">
        <v>-1240636</v>
      </c>
      <c r="X70" s="755">
        <v>0.5</v>
      </c>
      <c r="Y70" s="755">
        <v>0.4</v>
      </c>
      <c r="Z70" s="755">
        <v>0.1</v>
      </c>
      <c r="AA70" s="755">
        <v>0</v>
      </c>
      <c r="AB70" s="755">
        <v>1</v>
      </c>
      <c r="AC70" s="129">
        <v>-8720956</v>
      </c>
      <c r="AD70" s="129">
        <v>-6976764</v>
      </c>
      <c r="AE70" s="129">
        <v>-1744191</v>
      </c>
      <c r="AF70" s="129">
        <v>0</v>
      </c>
      <c r="AG70" s="129">
        <v>-17441911</v>
      </c>
      <c r="AH70" s="755">
        <v>0.5</v>
      </c>
      <c r="AI70" s="755">
        <v>0.4</v>
      </c>
      <c r="AJ70" s="755">
        <v>0.1</v>
      </c>
      <c r="AK70" s="755">
        <v>0</v>
      </c>
      <c r="AL70" s="755">
        <v>1</v>
      </c>
      <c r="AM70" s="129">
        <v>-60081</v>
      </c>
      <c r="AN70" s="129">
        <v>-48065</v>
      </c>
      <c r="AO70" s="129">
        <v>-12016</v>
      </c>
      <c r="AP70" s="129">
        <v>0</v>
      </c>
      <c r="AQ70" s="129">
        <v>-120162</v>
      </c>
      <c r="AR70" s="129">
        <v>-9401354</v>
      </c>
      <c r="AS70" s="129">
        <v>-7521083</v>
      </c>
      <c r="AT70" s="129">
        <v>-1880271</v>
      </c>
      <c r="AU70" s="129">
        <v>0</v>
      </c>
      <c r="AV70" s="129">
        <v>-18802709</v>
      </c>
      <c r="AW70" s="662" t="s">
        <v>7</v>
      </c>
      <c r="AX70" s="324" t="s">
        <v>529</v>
      </c>
      <c r="AY70" s="663" t="s">
        <v>512</v>
      </c>
      <c r="AZ70" s="529" t="s">
        <v>1277</v>
      </c>
    </row>
    <row r="71" spans="1:52" ht="12.75" x14ac:dyDescent="0.2">
      <c r="A71" s="664">
        <v>64</v>
      </c>
      <c r="B71" s="665" t="s">
        <v>10</v>
      </c>
      <c r="C71" s="666" t="s">
        <v>1217</v>
      </c>
      <c r="D71" s="667" t="s">
        <v>1228</v>
      </c>
      <c r="E71" s="668" t="s">
        <v>9</v>
      </c>
      <c r="F71" s="129">
        <v>-49616198</v>
      </c>
      <c r="G71" s="129">
        <v>-843519</v>
      </c>
      <c r="H71" s="129">
        <v>52484395</v>
      </c>
      <c r="I71" s="129">
        <v>2639928</v>
      </c>
      <c r="J71" s="129">
        <v>49844467</v>
      </c>
      <c r="K71" s="129">
        <v>1071788</v>
      </c>
      <c r="L71" s="129">
        <v>0</v>
      </c>
      <c r="M71" s="129">
        <v>-49616198</v>
      </c>
      <c r="N71" s="755">
        <v>0</v>
      </c>
      <c r="O71" s="755">
        <v>0.99</v>
      </c>
      <c r="P71" s="755">
        <v>0</v>
      </c>
      <c r="Q71" s="755">
        <v>0.01</v>
      </c>
      <c r="R71" s="755">
        <v>1</v>
      </c>
      <c r="S71" s="129">
        <v>0</v>
      </c>
      <c r="T71" s="129">
        <v>-835084</v>
      </c>
      <c r="U71" s="129">
        <v>0</v>
      </c>
      <c r="V71" s="129">
        <v>-8435</v>
      </c>
      <c r="W71" s="129">
        <v>-843519</v>
      </c>
      <c r="X71" s="755">
        <v>0</v>
      </c>
      <c r="Y71" s="755">
        <v>0.99</v>
      </c>
      <c r="Z71" s="755">
        <v>0</v>
      </c>
      <c r="AA71" s="755">
        <v>0.01</v>
      </c>
      <c r="AB71" s="755">
        <v>1</v>
      </c>
      <c r="AC71" s="129">
        <v>0</v>
      </c>
      <c r="AD71" s="129">
        <v>-48284952</v>
      </c>
      <c r="AE71" s="129">
        <v>0</v>
      </c>
      <c r="AF71" s="129">
        <v>-487727</v>
      </c>
      <c r="AG71" s="129">
        <v>-48772679</v>
      </c>
      <c r="AH71" s="755">
        <v>0</v>
      </c>
      <c r="AI71" s="755">
        <v>0.99</v>
      </c>
      <c r="AJ71" s="755">
        <v>0</v>
      </c>
      <c r="AK71" s="755">
        <v>0.01</v>
      </c>
      <c r="AL71" s="755">
        <v>1</v>
      </c>
      <c r="AM71" s="129">
        <v>0</v>
      </c>
      <c r="AN71" s="129">
        <v>0</v>
      </c>
      <c r="AO71" s="129">
        <v>0</v>
      </c>
      <c r="AP71" s="129">
        <v>0</v>
      </c>
      <c r="AQ71" s="129">
        <v>0</v>
      </c>
      <c r="AR71" s="129">
        <v>0</v>
      </c>
      <c r="AS71" s="129">
        <v>-49120036</v>
      </c>
      <c r="AT71" s="129">
        <v>0</v>
      </c>
      <c r="AU71" s="129">
        <v>-496162</v>
      </c>
      <c r="AV71" s="129">
        <v>-49616198</v>
      </c>
      <c r="AW71" s="662" t="s">
        <v>9</v>
      </c>
      <c r="AX71" s="324" t="s">
        <v>570</v>
      </c>
      <c r="AY71" s="663" t="s">
        <v>574</v>
      </c>
      <c r="AZ71" s="529" t="s">
        <v>1278</v>
      </c>
    </row>
    <row r="72" spans="1:52" ht="12.75" x14ac:dyDescent="0.2">
      <c r="A72" s="664">
        <v>65</v>
      </c>
      <c r="B72" s="665" t="s">
        <v>12</v>
      </c>
      <c r="C72" s="666" t="s">
        <v>1201</v>
      </c>
      <c r="D72" s="667" t="s">
        <v>1218</v>
      </c>
      <c r="E72" s="668" t="s">
        <v>11</v>
      </c>
      <c r="F72" s="129">
        <v>-8990035</v>
      </c>
      <c r="G72" s="129">
        <v>242455</v>
      </c>
      <c r="H72" s="129">
        <v>9837944</v>
      </c>
      <c r="I72" s="129">
        <v>750000</v>
      </c>
      <c r="J72" s="129">
        <v>9087944</v>
      </c>
      <c r="K72" s="129">
        <v>-144546</v>
      </c>
      <c r="L72" s="129">
        <v>96364</v>
      </c>
      <c r="M72" s="129">
        <v>-8893671</v>
      </c>
      <c r="N72" s="755">
        <v>0.25</v>
      </c>
      <c r="O72" s="755">
        <v>0.52500000000000002</v>
      </c>
      <c r="P72" s="755">
        <v>0.215</v>
      </c>
      <c r="Q72" s="755">
        <v>0.01</v>
      </c>
      <c r="R72" s="755">
        <v>1</v>
      </c>
      <c r="S72" s="129">
        <v>60614</v>
      </c>
      <c r="T72" s="129">
        <v>127289</v>
      </c>
      <c r="U72" s="129">
        <v>52128</v>
      </c>
      <c r="V72" s="129">
        <v>2425</v>
      </c>
      <c r="W72" s="129">
        <v>242455</v>
      </c>
      <c r="X72" s="755">
        <v>0.5</v>
      </c>
      <c r="Y72" s="755">
        <v>0.4</v>
      </c>
      <c r="Z72" s="755">
        <v>0.09</v>
      </c>
      <c r="AA72" s="755">
        <v>0.01</v>
      </c>
      <c r="AB72" s="755">
        <v>1</v>
      </c>
      <c r="AC72" s="129">
        <v>-4543972</v>
      </c>
      <c r="AD72" s="129">
        <v>-3635178</v>
      </c>
      <c r="AE72" s="129">
        <v>-817915</v>
      </c>
      <c r="AF72" s="129">
        <v>-90879</v>
      </c>
      <c r="AG72" s="129">
        <v>-9087944</v>
      </c>
      <c r="AH72" s="755">
        <v>0.5</v>
      </c>
      <c r="AI72" s="755">
        <v>0.4</v>
      </c>
      <c r="AJ72" s="755">
        <v>0.09</v>
      </c>
      <c r="AK72" s="755">
        <v>0.01</v>
      </c>
      <c r="AL72" s="755">
        <v>1</v>
      </c>
      <c r="AM72" s="129">
        <v>-24091</v>
      </c>
      <c r="AN72" s="129">
        <v>-19273</v>
      </c>
      <c r="AO72" s="129">
        <v>-4336</v>
      </c>
      <c r="AP72" s="129">
        <v>-482</v>
      </c>
      <c r="AQ72" s="129">
        <v>-48182</v>
      </c>
      <c r="AR72" s="129">
        <v>-4507449</v>
      </c>
      <c r="AS72" s="129">
        <v>-3527162</v>
      </c>
      <c r="AT72" s="129">
        <v>-770124</v>
      </c>
      <c r="AU72" s="129">
        <v>-88937</v>
      </c>
      <c r="AV72" s="129">
        <v>-8893671</v>
      </c>
      <c r="AW72" s="662" t="s">
        <v>11</v>
      </c>
      <c r="AX72" s="324" t="s">
        <v>556</v>
      </c>
      <c r="AY72" s="663" t="s">
        <v>555</v>
      </c>
      <c r="AZ72" s="529" t="s">
        <v>1279</v>
      </c>
    </row>
    <row r="73" spans="1:52" ht="12.75" x14ac:dyDescent="0.2">
      <c r="A73" s="664">
        <v>66</v>
      </c>
      <c r="B73" s="665" t="s">
        <v>14</v>
      </c>
      <c r="C73" s="666" t="s">
        <v>1201</v>
      </c>
      <c r="D73" s="667" t="s">
        <v>1202</v>
      </c>
      <c r="E73" s="668" t="s">
        <v>13</v>
      </c>
      <c r="F73" s="129">
        <v>-47922775</v>
      </c>
      <c r="G73" s="129">
        <v>-2227655</v>
      </c>
      <c r="H73" s="129">
        <v>36954961</v>
      </c>
      <c r="I73" s="129">
        <v>749680</v>
      </c>
      <c r="J73" s="129">
        <v>36205281</v>
      </c>
      <c r="K73" s="129">
        <v>-9489839</v>
      </c>
      <c r="L73" s="129">
        <v>6326559</v>
      </c>
      <c r="M73" s="129">
        <v>-41596216</v>
      </c>
      <c r="N73" s="755">
        <v>0.25</v>
      </c>
      <c r="O73" s="755">
        <v>0.2</v>
      </c>
      <c r="P73" s="755">
        <v>0.55000000000000004</v>
      </c>
      <c r="Q73" s="755">
        <v>0</v>
      </c>
      <c r="R73" s="755">
        <v>1</v>
      </c>
      <c r="S73" s="129">
        <v>-556914</v>
      </c>
      <c r="T73" s="129">
        <v>-445531</v>
      </c>
      <c r="U73" s="129">
        <v>-1225210</v>
      </c>
      <c r="V73" s="129">
        <v>0</v>
      </c>
      <c r="W73" s="129">
        <v>-2227655</v>
      </c>
      <c r="X73" s="755">
        <v>0.5</v>
      </c>
      <c r="Y73" s="755">
        <v>0.4</v>
      </c>
      <c r="Z73" s="755">
        <v>0.1</v>
      </c>
      <c r="AA73" s="755">
        <v>0</v>
      </c>
      <c r="AB73" s="755">
        <v>1</v>
      </c>
      <c r="AC73" s="129">
        <v>-18102641</v>
      </c>
      <c r="AD73" s="129">
        <v>-14482112</v>
      </c>
      <c r="AE73" s="129">
        <v>-3620528</v>
      </c>
      <c r="AF73" s="129">
        <v>0</v>
      </c>
      <c r="AG73" s="129">
        <v>-36205281</v>
      </c>
      <c r="AH73" s="755">
        <v>0.5</v>
      </c>
      <c r="AI73" s="755">
        <v>0.4</v>
      </c>
      <c r="AJ73" s="755">
        <v>0.1</v>
      </c>
      <c r="AK73" s="755">
        <v>0</v>
      </c>
      <c r="AL73" s="755">
        <v>1</v>
      </c>
      <c r="AM73" s="129">
        <v>-1581640</v>
      </c>
      <c r="AN73" s="129">
        <v>-1265312</v>
      </c>
      <c r="AO73" s="129">
        <v>-316328</v>
      </c>
      <c r="AP73" s="129">
        <v>0</v>
      </c>
      <c r="AQ73" s="129">
        <v>-3163280</v>
      </c>
      <c r="AR73" s="129">
        <v>-20241194</v>
      </c>
      <c r="AS73" s="129">
        <v>-16192955</v>
      </c>
      <c r="AT73" s="129">
        <v>-5162066</v>
      </c>
      <c r="AU73" s="129">
        <v>0</v>
      </c>
      <c r="AV73" s="129">
        <v>-41596216</v>
      </c>
      <c r="AW73" s="662" t="s">
        <v>13</v>
      </c>
      <c r="AX73" s="324" t="s">
        <v>568</v>
      </c>
      <c r="AY73" s="663" t="s">
        <v>512</v>
      </c>
      <c r="AZ73" s="529" t="s">
        <v>1280</v>
      </c>
    </row>
    <row r="74" spans="1:52" ht="12.75" x14ac:dyDescent="0.2">
      <c r="A74" s="664">
        <v>67</v>
      </c>
      <c r="B74" s="665" t="s">
        <v>16</v>
      </c>
      <c r="C74" s="666" t="s">
        <v>1213</v>
      </c>
      <c r="D74" s="667" t="s">
        <v>1214</v>
      </c>
      <c r="E74" s="668" t="s">
        <v>15</v>
      </c>
      <c r="F74" s="129">
        <v>-70782973</v>
      </c>
      <c r="G74" s="129">
        <v>-3978764</v>
      </c>
      <c r="H74" s="129">
        <v>62228246</v>
      </c>
      <c r="I74" s="129">
        <v>3397337</v>
      </c>
      <c r="J74" s="129">
        <v>58830909</v>
      </c>
      <c r="K74" s="129">
        <v>-7973300</v>
      </c>
      <c r="L74" s="129">
        <v>5315533</v>
      </c>
      <c r="M74" s="129">
        <v>-65467440</v>
      </c>
      <c r="N74" s="755">
        <v>0.25</v>
      </c>
      <c r="O74" s="755">
        <v>0.48</v>
      </c>
      <c r="P74" s="755">
        <v>0.27</v>
      </c>
      <c r="Q74" s="755">
        <v>0</v>
      </c>
      <c r="R74" s="755">
        <v>1</v>
      </c>
      <c r="S74" s="129">
        <v>-994691</v>
      </c>
      <c r="T74" s="129">
        <v>-1909807</v>
      </c>
      <c r="U74" s="129">
        <v>-1074266</v>
      </c>
      <c r="V74" s="129">
        <v>0</v>
      </c>
      <c r="W74" s="129">
        <v>-3978764</v>
      </c>
      <c r="X74" s="755">
        <v>0.33</v>
      </c>
      <c r="Y74" s="755">
        <v>0.3</v>
      </c>
      <c r="Z74" s="755">
        <v>0.37</v>
      </c>
      <c r="AA74" s="755">
        <v>0</v>
      </c>
      <c r="AB74" s="755">
        <v>1</v>
      </c>
      <c r="AC74" s="129">
        <v>-19414200</v>
      </c>
      <c r="AD74" s="129">
        <v>-17649273</v>
      </c>
      <c r="AE74" s="129">
        <v>-21767436</v>
      </c>
      <c r="AF74" s="129">
        <v>0</v>
      </c>
      <c r="AG74" s="129">
        <v>-58830909</v>
      </c>
      <c r="AH74" s="755">
        <v>0.33</v>
      </c>
      <c r="AI74" s="755">
        <v>0.3</v>
      </c>
      <c r="AJ74" s="755">
        <v>0.37</v>
      </c>
      <c r="AK74" s="755">
        <v>0</v>
      </c>
      <c r="AL74" s="755">
        <v>1</v>
      </c>
      <c r="AM74" s="129">
        <v>-877063</v>
      </c>
      <c r="AN74" s="129">
        <v>-797330</v>
      </c>
      <c r="AO74" s="129">
        <v>-983374</v>
      </c>
      <c r="AP74" s="129">
        <v>0</v>
      </c>
      <c r="AQ74" s="129">
        <v>-2657767</v>
      </c>
      <c r="AR74" s="129">
        <v>-21285954</v>
      </c>
      <c r="AS74" s="129">
        <v>-20356409</v>
      </c>
      <c r="AT74" s="129">
        <v>-23825076</v>
      </c>
      <c r="AU74" s="129">
        <v>0</v>
      </c>
      <c r="AV74" s="129">
        <v>-65467440</v>
      </c>
      <c r="AW74" s="662" t="s">
        <v>15</v>
      </c>
      <c r="AX74" s="324" t="s">
        <v>576</v>
      </c>
      <c r="AY74" s="669" t="s">
        <v>485</v>
      </c>
      <c r="AZ74" s="529" t="s">
        <v>1281</v>
      </c>
    </row>
    <row r="75" spans="1:52" ht="12.75" x14ac:dyDescent="0.2">
      <c r="A75" s="664">
        <v>68</v>
      </c>
      <c r="B75" s="665" t="s">
        <v>18</v>
      </c>
      <c r="C75" s="666" t="s">
        <v>1201</v>
      </c>
      <c r="D75" s="667" t="s">
        <v>1211</v>
      </c>
      <c r="E75" s="668" t="s">
        <v>17</v>
      </c>
      <c r="F75" s="129">
        <v>-31986502</v>
      </c>
      <c r="G75" s="129">
        <v>-2631040</v>
      </c>
      <c r="H75" s="129">
        <v>26015436</v>
      </c>
      <c r="I75" s="129">
        <v>1209499</v>
      </c>
      <c r="J75" s="129">
        <v>24805937</v>
      </c>
      <c r="K75" s="129">
        <v>-4549525</v>
      </c>
      <c r="L75" s="129">
        <v>3033017</v>
      </c>
      <c r="M75" s="129">
        <v>-28953485</v>
      </c>
      <c r="N75" s="755">
        <v>0.25</v>
      </c>
      <c r="O75" s="755">
        <v>0.35</v>
      </c>
      <c r="P75" s="755">
        <v>0.4</v>
      </c>
      <c r="Q75" s="755">
        <v>0</v>
      </c>
      <c r="R75" s="755">
        <v>1</v>
      </c>
      <c r="S75" s="129">
        <v>-657760</v>
      </c>
      <c r="T75" s="129">
        <v>-920864</v>
      </c>
      <c r="U75" s="129">
        <v>-1052416</v>
      </c>
      <c r="V75" s="129">
        <v>0</v>
      </c>
      <c r="W75" s="129">
        <v>-2631040</v>
      </c>
      <c r="X75" s="755">
        <v>0.5</v>
      </c>
      <c r="Y75" s="755">
        <v>0.4</v>
      </c>
      <c r="Z75" s="755">
        <v>0.1</v>
      </c>
      <c r="AA75" s="755">
        <v>0</v>
      </c>
      <c r="AB75" s="755">
        <v>1</v>
      </c>
      <c r="AC75" s="129">
        <v>-12402969</v>
      </c>
      <c r="AD75" s="129">
        <v>-9922375</v>
      </c>
      <c r="AE75" s="129">
        <v>-2480594</v>
      </c>
      <c r="AF75" s="129">
        <v>0</v>
      </c>
      <c r="AG75" s="129">
        <v>-24805937</v>
      </c>
      <c r="AH75" s="755">
        <v>0.5</v>
      </c>
      <c r="AI75" s="755">
        <v>0.4</v>
      </c>
      <c r="AJ75" s="755">
        <v>0.1</v>
      </c>
      <c r="AK75" s="755">
        <v>0</v>
      </c>
      <c r="AL75" s="755">
        <v>1</v>
      </c>
      <c r="AM75" s="129">
        <v>-758254</v>
      </c>
      <c r="AN75" s="129">
        <v>-606603</v>
      </c>
      <c r="AO75" s="129">
        <v>-151651</v>
      </c>
      <c r="AP75" s="129">
        <v>0</v>
      </c>
      <c r="AQ75" s="129">
        <v>-1516508</v>
      </c>
      <c r="AR75" s="129">
        <v>-13818983</v>
      </c>
      <c r="AS75" s="129">
        <v>-11449842</v>
      </c>
      <c r="AT75" s="129">
        <v>-3684660</v>
      </c>
      <c r="AU75" s="129">
        <v>0</v>
      </c>
      <c r="AV75" s="129">
        <v>-28953485</v>
      </c>
      <c r="AW75" s="662" t="s">
        <v>17</v>
      </c>
      <c r="AX75" s="324" t="s">
        <v>536</v>
      </c>
      <c r="AY75" s="663" t="s">
        <v>512</v>
      </c>
      <c r="AZ75" s="529" t="s">
        <v>1282</v>
      </c>
    </row>
    <row r="76" spans="1:52" ht="12.75" x14ac:dyDescent="0.2">
      <c r="A76" s="664">
        <v>69</v>
      </c>
      <c r="B76" s="665" t="s">
        <v>20</v>
      </c>
      <c r="C76" s="666" t="s">
        <v>486</v>
      </c>
      <c r="D76" s="667" t="s">
        <v>1283</v>
      </c>
      <c r="E76" s="668" t="s">
        <v>522</v>
      </c>
      <c r="F76" s="129">
        <v>-19213399</v>
      </c>
      <c r="G76" s="129">
        <v>2414</v>
      </c>
      <c r="H76" s="129">
        <v>17171637</v>
      </c>
      <c r="I76" s="129">
        <v>670989</v>
      </c>
      <c r="J76" s="129">
        <v>16500648</v>
      </c>
      <c r="K76" s="129">
        <v>-2715165</v>
      </c>
      <c r="L76" s="129">
        <v>1810110</v>
      </c>
      <c r="M76" s="129">
        <v>-17403289</v>
      </c>
      <c r="N76" s="755">
        <v>0.5</v>
      </c>
      <c r="O76" s="755">
        <v>0.49</v>
      </c>
      <c r="P76" s="755">
        <v>0</v>
      </c>
      <c r="Q76" s="755">
        <v>0.01</v>
      </c>
      <c r="R76" s="755">
        <v>1</v>
      </c>
      <c r="S76" s="129">
        <v>1207</v>
      </c>
      <c r="T76" s="129">
        <v>1183</v>
      </c>
      <c r="U76" s="129">
        <v>0</v>
      </c>
      <c r="V76" s="129">
        <v>24</v>
      </c>
      <c r="W76" s="129">
        <v>2414</v>
      </c>
      <c r="X76" s="755">
        <v>0.5</v>
      </c>
      <c r="Y76" s="755">
        <v>0.49</v>
      </c>
      <c r="Z76" s="755">
        <v>0</v>
      </c>
      <c r="AA76" s="755">
        <v>0.01</v>
      </c>
      <c r="AB76" s="755">
        <v>1</v>
      </c>
      <c r="AC76" s="129">
        <v>-8250324</v>
      </c>
      <c r="AD76" s="129">
        <v>-8085318</v>
      </c>
      <c r="AE76" s="129">
        <v>0</v>
      </c>
      <c r="AF76" s="129">
        <v>-165006</v>
      </c>
      <c r="AG76" s="129">
        <v>-16500648</v>
      </c>
      <c r="AH76" s="755">
        <v>0.5</v>
      </c>
      <c r="AI76" s="755">
        <v>0.49</v>
      </c>
      <c r="AJ76" s="755">
        <v>0</v>
      </c>
      <c r="AK76" s="755">
        <v>0.01</v>
      </c>
      <c r="AL76" s="755">
        <v>1</v>
      </c>
      <c r="AM76" s="129">
        <v>-452528</v>
      </c>
      <c r="AN76" s="129">
        <v>-443477</v>
      </c>
      <c r="AO76" s="129">
        <v>0</v>
      </c>
      <c r="AP76" s="129">
        <v>-9051</v>
      </c>
      <c r="AQ76" s="129">
        <v>-905055</v>
      </c>
      <c r="AR76" s="129">
        <v>-8701645</v>
      </c>
      <c r="AS76" s="129">
        <v>-8527612</v>
      </c>
      <c r="AT76" s="129">
        <v>0</v>
      </c>
      <c r="AU76" s="129">
        <v>-174033</v>
      </c>
      <c r="AV76" s="129">
        <v>-17403289</v>
      </c>
      <c r="AW76" s="662" t="s">
        <v>522</v>
      </c>
      <c r="AX76" s="324" t="s">
        <v>486</v>
      </c>
      <c r="AY76" s="663" t="s">
        <v>523</v>
      </c>
      <c r="AZ76" s="529" t="s">
        <v>1284</v>
      </c>
    </row>
    <row r="77" spans="1:52" ht="12.75" x14ac:dyDescent="0.2">
      <c r="A77" s="664">
        <v>70</v>
      </c>
      <c r="B77" s="665" t="s">
        <v>22</v>
      </c>
      <c r="C77" s="666" t="s">
        <v>1201</v>
      </c>
      <c r="D77" s="667" t="s">
        <v>1202</v>
      </c>
      <c r="E77" s="668" t="s">
        <v>21</v>
      </c>
      <c r="F77" s="129">
        <v>-61839094</v>
      </c>
      <c r="G77" s="129">
        <v>509364</v>
      </c>
      <c r="H77" s="129">
        <v>58540216</v>
      </c>
      <c r="I77" s="129">
        <v>630343</v>
      </c>
      <c r="J77" s="129">
        <v>57909873</v>
      </c>
      <c r="K77" s="129">
        <v>-4438585</v>
      </c>
      <c r="L77" s="129">
        <v>2959057</v>
      </c>
      <c r="M77" s="129">
        <v>-58880037</v>
      </c>
      <c r="N77" s="755">
        <v>0.5</v>
      </c>
      <c r="O77" s="755">
        <v>0.4</v>
      </c>
      <c r="P77" s="755">
        <v>0.09</v>
      </c>
      <c r="Q77" s="755">
        <v>0.01</v>
      </c>
      <c r="R77" s="755">
        <v>1</v>
      </c>
      <c r="S77" s="129">
        <v>254682</v>
      </c>
      <c r="T77" s="129">
        <v>203746</v>
      </c>
      <c r="U77" s="129">
        <v>45843</v>
      </c>
      <c r="V77" s="129">
        <v>5094</v>
      </c>
      <c r="W77" s="129">
        <v>509364</v>
      </c>
      <c r="X77" s="755">
        <v>0.5</v>
      </c>
      <c r="Y77" s="755">
        <v>0.4</v>
      </c>
      <c r="Z77" s="755">
        <v>0.09</v>
      </c>
      <c r="AA77" s="755">
        <v>0.01</v>
      </c>
      <c r="AB77" s="755">
        <v>1</v>
      </c>
      <c r="AC77" s="129">
        <v>-28954937</v>
      </c>
      <c r="AD77" s="129">
        <v>-23163949</v>
      </c>
      <c r="AE77" s="129">
        <v>-5211889</v>
      </c>
      <c r="AF77" s="129">
        <v>-579099</v>
      </c>
      <c r="AG77" s="129">
        <v>-57909873</v>
      </c>
      <c r="AH77" s="755">
        <v>0.5</v>
      </c>
      <c r="AI77" s="755">
        <v>0.4</v>
      </c>
      <c r="AJ77" s="755">
        <v>0.09</v>
      </c>
      <c r="AK77" s="755">
        <v>0.01</v>
      </c>
      <c r="AL77" s="755">
        <v>1</v>
      </c>
      <c r="AM77" s="129">
        <v>-739764</v>
      </c>
      <c r="AN77" s="129">
        <v>-591811</v>
      </c>
      <c r="AO77" s="129">
        <v>-133158</v>
      </c>
      <c r="AP77" s="129">
        <v>-14795</v>
      </c>
      <c r="AQ77" s="129">
        <v>-1479528</v>
      </c>
      <c r="AR77" s="129">
        <v>-29440019</v>
      </c>
      <c r="AS77" s="129">
        <v>-23552015</v>
      </c>
      <c r="AT77" s="129">
        <v>-5299203</v>
      </c>
      <c r="AU77" s="129">
        <v>-588800</v>
      </c>
      <c r="AV77" s="129">
        <v>-58880037</v>
      </c>
      <c r="AW77" s="662" t="s">
        <v>21</v>
      </c>
      <c r="AX77" s="324" t="s">
        <v>543</v>
      </c>
      <c r="AY77" s="663" t="s">
        <v>542</v>
      </c>
      <c r="AZ77" s="529" t="s">
        <v>1285</v>
      </c>
    </row>
    <row r="78" spans="1:52" ht="14.25" x14ac:dyDescent="0.2">
      <c r="A78" s="664">
        <v>71</v>
      </c>
      <c r="B78" s="665" t="s">
        <v>24</v>
      </c>
      <c r="C78" s="666" t="s">
        <v>486</v>
      </c>
      <c r="D78" s="667" t="s">
        <v>1206</v>
      </c>
      <c r="E78" s="668" t="s">
        <v>1864</v>
      </c>
      <c r="F78" s="129">
        <v>-49753174</v>
      </c>
      <c r="G78" s="129">
        <v>-675230</v>
      </c>
      <c r="H78" s="129">
        <v>42403410</v>
      </c>
      <c r="I78" s="129">
        <v>1624530</v>
      </c>
      <c r="J78" s="129">
        <v>40778880</v>
      </c>
      <c r="K78" s="129">
        <v>-8299064</v>
      </c>
      <c r="L78" s="129">
        <v>5532709</v>
      </c>
      <c r="M78" s="129">
        <v>-44220465</v>
      </c>
      <c r="N78" s="755">
        <v>0.5</v>
      </c>
      <c r="O78" s="755">
        <v>0.49</v>
      </c>
      <c r="P78" s="755">
        <v>0</v>
      </c>
      <c r="Q78" s="755">
        <v>0.01</v>
      </c>
      <c r="R78" s="755">
        <v>1</v>
      </c>
      <c r="S78" s="129">
        <v>-337615</v>
      </c>
      <c r="T78" s="129">
        <v>-330863</v>
      </c>
      <c r="U78" s="129">
        <v>0</v>
      </c>
      <c r="V78" s="129">
        <v>-6752</v>
      </c>
      <c r="W78" s="129">
        <v>-675230</v>
      </c>
      <c r="X78" s="755">
        <v>0.5</v>
      </c>
      <c r="Y78" s="755">
        <v>0.49</v>
      </c>
      <c r="Z78" s="755">
        <v>0</v>
      </c>
      <c r="AA78" s="755">
        <v>0.01</v>
      </c>
      <c r="AB78" s="755">
        <v>1</v>
      </c>
      <c r="AC78" s="129">
        <v>-20389440</v>
      </c>
      <c r="AD78" s="129">
        <v>-19981651</v>
      </c>
      <c r="AE78" s="129">
        <v>0</v>
      </c>
      <c r="AF78" s="129">
        <v>-407789</v>
      </c>
      <c r="AG78" s="129">
        <v>-40778880</v>
      </c>
      <c r="AH78" s="755">
        <v>0.5</v>
      </c>
      <c r="AI78" s="755">
        <v>0.49</v>
      </c>
      <c r="AJ78" s="755">
        <v>0</v>
      </c>
      <c r="AK78" s="755">
        <v>0.01</v>
      </c>
      <c r="AL78" s="755">
        <v>1</v>
      </c>
      <c r="AM78" s="129">
        <v>-1383177</v>
      </c>
      <c r="AN78" s="129">
        <v>-1355514</v>
      </c>
      <c r="AO78" s="129">
        <v>0</v>
      </c>
      <c r="AP78" s="129">
        <v>-27664</v>
      </c>
      <c r="AQ78" s="129">
        <v>-2766355</v>
      </c>
      <c r="AR78" s="129">
        <v>-22110232</v>
      </c>
      <c r="AS78" s="129">
        <v>-21668028</v>
      </c>
      <c r="AT78" s="129">
        <v>0</v>
      </c>
      <c r="AU78" s="129">
        <v>-442205</v>
      </c>
      <c r="AV78" s="129">
        <v>-44220465</v>
      </c>
      <c r="AW78" s="662" t="s">
        <v>514</v>
      </c>
      <c r="AX78" s="324" t="s">
        <v>486</v>
      </c>
      <c r="AY78" s="663" t="s">
        <v>515</v>
      </c>
      <c r="AZ78" s="529" t="s">
        <v>1286</v>
      </c>
    </row>
    <row r="79" spans="1:52" ht="12.75" x14ac:dyDescent="0.2">
      <c r="A79" s="664">
        <v>72</v>
      </c>
      <c r="B79" s="665" t="s">
        <v>26</v>
      </c>
      <c r="C79" s="666" t="s">
        <v>1201</v>
      </c>
      <c r="D79" s="667" t="s">
        <v>1206</v>
      </c>
      <c r="E79" s="668" t="s">
        <v>25</v>
      </c>
      <c r="F79" s="129">
        <v>-9872600</v>
      </c>
      <c r="G79" s="129">
        <v>-1748978</v>
      </c>
      <c r="H79" s="129">
        <v>9889917</v>
      </c>
      <c r="I79" s="129">
        <v>934486</v>
      </c>
      <c r="J79" s="129">
        <v>8955431</v>
      </c>
      <c r="K79" s="129">
        <v>831809</v>
      </c>
      <c r="L79" s="129">
        <v>0</v>
      </c>
      <c r="M79" s="129">
        <v>-9872600</v>
      </c>
      <c r="N79" s="755">
        <v>0.5</v>
      </c>
      <c r="O79" s="755">
        <v>0.4</v>
      </c>
      <c r="P79" s="755">
        <v>0.09</v>
      </c>
      <c r="Q79" s="755">
        <v>0.01</v>
      </c>
      <c r="R79" s="755">
        <v>1</v>
      </c>
      <c r="S79" s="129">
        <v>-874489</v>
      </c>
      <c r="T79" s="129">
        <v>-699591</v>
      </c>
      <c r="U79" s="129">
        <v>-157408</v>
      </c>
      <c r="V79" s="129">
        <v>-17490</v>
      </c>
      <c r="W79" s="129">
        <v>-1748978</v>
      </c>
      <c r="X79" s="755">
        <v>0.5</v>
      </c>
      <c r="Y79" s="755">
        <v>0.4</v>
      </c>
      <c r="Z79" s="755">
        <v>0.09</v>
      </c>
      <c r="AA79" s="755">
        <v>0.01</v>
      </c>
      <c r="AB79" s="755">
        <v>1</v>
      </c>
      <c r="AC79" s="129">
        <v>-4061811</v>
      </c>
      <c r="AD79" s="129">
        <v>-3249449</v>
      </c>
      <c r="AE79" s="129">
        <v>-731126</v>
      </c>
      <c r="AF79" s="129">
        <v>-81236</v>
      </c>
      <c r="AG79" s="129">
        <v>-8123622</v>
      </c>
      <c r="AH79" s="755">
        <v>0.5</v>
      </c>
      <c r="AI79" s="755">
        <v>0.4</v>
      </c>
      <c r="AJ79" s="755">
        <v>0.09</v>
      </c>
      <c r="AK79" s="755">
        <v>0.01</v>
      </c>
      <c r="AL79" s="755">
        <v>1</v>
      </c>
      <c r="AM79" s="129">
        <v>0</v>
      </c>
      <c r="AN79" s="129">
        <v>0</v>
      </c>
      <c r="AO79" s="129">
        <v>0</v>
      </c>
      <c r="AP79" s="129">
        <v>0</v>
      </c>
      <c r="AQ79" s="129">
        <v>0</v>
      </c>
      <c r="AR79" s="129">
        <v>-4936300</v>
      </c>
      <c r="AS79" s="129">
        <v>-3949040</v>
      </c>
      <c r="AT79" s="129">
        <v>-888534</v>
      </c>
      <c r="AU79" s="129">
        <v>-98726</v>
      </c>
      <c r="AV79" s="129">
        <v>-9872600</v>
      </c>
      <c r="AW79" s="662" t="s">
        <v>25</v>
      </c>
      <c r="AX79" s="324" t="s">
        <v>516</v>
      </c>
      <c r="AY79" s="663" t="s">
        <v>515</v>
      </c>
      <c r="AZ79" s="529" t="s">
        <v>1287</v>
      </c>
    </row>
    <row r="80" spans="1:52" ht="12.75" x14ac:dyDescent="0.2">
      <c r="A80" s="664">
        <v>73</v>
      </c>
      <c r="B80" s="665" t="s">
        <v>28</v>
      </c>
      <c r="C80" s="666" t="s">
        <v>1217</v>
      </c>
      <c r="D80" s="667" t="s">
        <v>1218</v>
      </c>
      <c r="E80" s="668" t="s">
        <v>27</v>
      </c>
      <c r="F80" s="129">
        <v>-42081224</v>
      </c>
      <c r="G80" s="129">
        <v>-824984</v>
      </c>
      <c r="H80" s="129">
        <v>40406349</v>
      </c>
      <c r="I80" s="129">
        <v>2060989</v>
      </c>
      <c r="J80" s="129">
        <v>38345360</v>
      </c>
      <c r="K80" s="129">
        <v>-2910880</v>
      </c>
      <c r="L80" s="129">
        <v>1940587</v>
      </c>
      <c r="M80" s="129">
        <v>-40140637</v>
      </c>
      <c r="N80" s="755">
        <v>0.5</v>
      </c>
      <c r="O80" s="755">
        <v>0.49</v>
      </c>
      <c r="P80" s="755">
        <v>0</v>
      </c>
      <c r="Q80" s="755">
        <v>0.01</v>
      </c>
      <c r="R80" s="755">
        <v>1</v>
      </c>
      <c r="S80" s="129">
        <v>-412492</v>
      </c>
      <c r="T80" s="129">
        <v>-404242</v>
      </c>
      <c r="U80" s="129">
        <v>0</v>
      </c>
      <c r="V80" s="129">
        <v>-8250</v>
      </c>
      <c r="W80" s="129">
        <v>-824984</v>
      </c>
      <c r="X80" s="755">
        <v>0.5</v>
      </c>
      <c r="Y80" s="755">
        <v>0.49</v>
      </c>
      <c r="Z80" s="755">
        <v>0</v>
      </c>
      <c r="AA80" s="755">
        <v>0.01</v>
      </c>
      <c r="AB80" s="755">
        <v>1</v>
      </c>
      <c r="AC80" s="129">
        <v>-19172680</v>
      </c>
      <c r="AD80" s="129">
        <v>-18789226</v>
      </c>
      <c r="AE80" s="129">
        <v>0</v>
      </c>
      <c r="AF80" s="129">
        <v>-383454</v>
      </c>
      <c r="AG80" s="129">
        <v>-38345360</v>
      </c>
      <c r="AH80" s="755">
        <v>0.5</v>
      </c>
      <c r="AI80" s="755">
        <v>0.49</v>
      </c>
      <c r="AJ80" s="755">
        <v>0</v>
      </c>
      <c r="AK80" s="755">
        <v>0.01</v>
      </c>
      <c r="AL80" s="755">
        <v>1</v>
      </c>
      <c r="AM80" s="129">
        <v>-485147</v>
      </c>
      <c r="AN80" s="129">
        <v>-475444</v>
      </c>
      <c r="AO80" s="129">
        <v>0</v>
      </c>
      <c r="AP80" s="129">
        <v>-9703</v>
      </c>
      <c r="AQ80" s="129">
        <v>-970293</v>
      </c>
      <c r="AR80" s="129">
        <v>-20070319</v>
      </c>
      <c r="AS80" s="129">
        <v>-19668912</v>
      </c>
      <c r="AT80" s="129">
        <v>0</v>
      </c>
      <c r="AU80" s="129">
        <v>-401406</v>
      </c>
      <c r="AV80" s="129">
        <v>-40140637</v>
      </c>
      <c r="AW80" s="662" t="s">
        <v>27</v>
      </c>
      <c r="AX80" s="324" t="s">
        <v>570</v>
      </c>
      <c r="AY80" s="663" t="s">
        <v>572</v>
      </c>
      <c r="AZ80" s="529" t="s">
        <v>1288</v>
      </c>
    </row>
    <row r="81" spans="1:52" ht="12.75" x14ac:dyDescent="0.2">
      <c r="A81" s="664">
        <v>74</v>
      </c>
      <c r="B81" s="665" t="s">
        <v>1019</v>
      </c>
      <c r="C81" s="666" t="s">
        <v>486</v>
      </c>
      <c r="D81" s="667" t="s">
        <v>1224</v>
      </c>
      <c r="E81" s="668" t="s">
        <v>1018</v>
      </c>
      <c r="F81" s="129">
        <v>-47477605</v>
      </c>
      <c r="G81" s="129">
        <v>3827545</v>
      </c>
      <c r="H81" s="129">
        <v>55418748</v>
      </c>
      <c r="I81" s="129">
        <v>4038573</v>
      </c>
      <c r="J81" s="129">
        <v>51380175</v>
      </c>
      <c r="K81" s="129">
        <v>75025</v>
      </c>
      <c r="L81" s="129">
        <v>0</v>
      </c>
      <c r="M81" s="129">
        <v>-47477605</v>
      </c>
      <c r="N81" s="755">
        <v>0.5</v>
      </c>
      <c r="O81" s="755">
        <v>0.49</v>
      </c>
      <c r="P81" s="755">
        <v>0</v>
      </c>
      <c r="Q81" s="755">
        <v>0.01</v>
      </c>
      <c r="R81" s="755">
        <v>1</v>
      </c>
      <c r="S81" s="129">
        <v>1913773</v>
      </c>
      <c r="T81" s="129">
        <v>1875497</v>
      </c>
      <c r="U81" s="129">
        <v>0</v>
      </c>
      <c r="V81" s="129">
        <v>38275</v>
      </c>
      <c r="W81" s="129">
        <v>3827545</v>
      </c>
      <c r="X81" s="755">
        <v>0.5</v>
      </c>
      <c r="Y81" s="755">
        <v>0.49</v>
      </c>
      <c r="Z81" s="755">
        <v>0</v>
      </c>
      <c r="AA81" s="755">
        <v>0.01</v>
      </c>
      <c r="AB81" s="755">
        <v>1</v>
      </c>
      <c r="AC81" s="129">
        <v>-25652575</v>
      </c>
      <c r="AD81" s="129">
        <v>-25139524</v>
      </c>
      <c r="AE81" s="129">
        <v>0</v>
      </c>
      <c r="AF81" s="129">
        <v>-513052</v>
      </c>
      <c r="AG81" s="129">
        <v>-51305150</v>
      </c>
      <c r="AH81" s="755">
        <v>0.5</v>
      </c>
      <c r="AI81" s="755">
        <v>0.49</v>
      </c>
      <c r="AJ81" s="755">
        <v>0</v>
      </c>
      <c r="AK81" s="755">
        <v>0.01</v>
      </c>
      <c r="AL81" s="755">
        <v>1</v>
      </c>
      <c r="AM81" s="129">
        <v>0</v>
      </c>
      <c r="AN81" s="129">
        <v>0</v>
      </c>
      <c r="AO81" s="129">
        <v>0</v>
      </c>
      <c r="AP81" s="129">
        <v>0</v>
      </c>
      <c r="AQ81" s="129">
        <v>0</v>
      </c>
      <c r="AR81" s="129">
        <v>-23738803</v>
      </c>
      <c r="AS81" s="129">
        <v>-23264026</v>
      </c>
      <c r="AT81" s="129">
        <v>0</v>
      </c>
      <c r="AU81" s="129">
        <v>-474776</v>
      </c>
      <c r="AV81" s="129">
        <v>-47477605</v>
      </c>
      <c r="AW81" s="662" t="s">
        <v>1018</v>
      </c>
      <c r="AX81" s="324" t="s">
        <v>486</v>
      </c>
      <c r="AY81" s="663" t="s">
        <v>1916</v>
      </c>
      <c r="AZ81" s="529" t="s">
        <v>1252</v>
      </c>
    </row>
    <row r="82" spans="1:52" ht="12.75" x14ac:dyDescent="0.2">
      <c r="A82" s="664">
        <v>75</v>
      </c>
      <c r="B82" s="665" t="s">
        <v>38</v>
      </c>
      <c r="C82" s="666" t="s">
        <v>1201</v>
      </c>
      <c r="D82" s="667" t="s">
        <v>1202</v>
      </c>
      <c r="E82" s="668" t="s">
        <v>37</v>
      </c>
      <c r="F82" s="129">
        <v>-16949424</v>
      </c>
      <c r="G82" s="129">
        <v>-422865</v>
      </c>
      <c r="H82" s="129">
        <v>13075466</v>
      </c>
      <c r="I82" s="129">
        <v>746123</v>
      </c>
      <c r="J82" s="129">
        <v>12329343</v>
      </c>
      <c r="K82" s="129">
        <v>-4197216</v>
      </c>
      <c r="L82" s="129">
        <v>2798144</v>
      </c>
      <c r="M82" s="129">
        <v>-14151280</v>
      </c>
      <c r="N82" s="755">
        <v>0.5</v>
      </c>
      <c r="O82" s="755">
        <v>0.4</v>
      </c>
      <c r="P82" s="755">
        <v>0.09</v>
      </c>
      <c r="Q82" s="755">
        <v>0.01</v>
      </c>
      <c r="R82" s="755">
        <v>1</v>
      </c>
      <c r="S82" s="129">
        <v>-211433</v>
      </c>
      <c r="T82" s="129">
        <v>-169146</v>
      </c>
      <c r="U82" s="129">
        <v>-38058</v>
      </c>
      <c r="V82" s="129">
        <v>-4229</v>
      </c>
      <c r="W82" s="129">
        <v>-422865</v>
      </c>
      <c r="X82" s="755">
        <v>0.5</v>
      </c>
      <c r="Y82" s="755">
        <v>0.4</v>
      </c>
      <c r="Z82" s="755">
        <v>0.09</v>
      </c>
      <c r="AA82" s="755">
        <v>0.01</v>
      </c>
      <c r="AB82" s="755">
        <v>1</v>
      </c>
      <c r="AC82" s="129">
        <v>-6164672</v>
      </c>
      <c r="AD82" s="129">
        <v>-4931737</v>
      </c>
      <c r="AE82" s="129">
        <v>-1109641</v>
      </c>
      <c r="AF82" s="129">
        <v>-123293</v>
      </c>
      <c r="AG82" s="129">
        <v>-12329343</v>
      </c>
      <c r="AH82" s="755">
        <v>0.5</v>
      </c>
      <c r="AI82" s="755">
        <v>0.4</v>
      </c>
      <c r="AJ82" s="755">
        <v>0.09</v>
      </c>
      <c r="AK82" s="755">
        <v>0.01</v>
      </c>
      <c r="AL82" s="755">
        <v>1</v>
      </c>
      <c r="AM82" s="129">
        <v>-699536</v>
      </c>
      <c r="AN82" s="129">
        <v>-559629</v>
      </c>
      <c r="AO82" s="129">
        <v>-125916</v>
      </c>
      <c r="AP82" s="129">
        <v>-13991</v>
      </c>
      <c r="AQ82" s="129">
        <v>-1399072</v>
      </c>
      <c r="AR82" s="129">
        <v>-7075640</v>
      </c>
      <c r="AS82" s="129">
        <v>-5660512</v>
      </c>
      <c r="AT82" s="129">
        <v>-1273615</v>
      </c>
      <c r="AU82" s="129">
        <v>-141513</v>
      </c>
      <c r="AV82" s="129">
        <v>-14151280</v>
      </c>
      <c r="AW82" s="662" t="s">
        <v>37</v>
      </c>
      <c r="AX82" s="324" t="s">
        <v>543</v>
      </c>
      <c r="AY82" s="663" t="s">
        <v>542</v>
      </c>
      <c r="AZ82" s="529" t="s">
        <v>1289</v>
      </c>
    </row>
    <row r="83" spans="1:52" ht="12.75" x14ac:dyDescent="0.2">
      <c r="A83" s="664">
        <v>76</v>
      </c>
      <c r="B83" s="665" t="s">
        <v>40</v>
      </c>
      <c r="C83" s="666" t="s">
        <v>1217</v>
      </c>
      <c r="D83" s="667" t="s">
        <v>1228</v>
      </c>
      <c r="E83" s="668" t="s">
        <v>39</v>
      </c>
      <c r="F83" s="129">
        <v>-50732272</v>
      </c>
      <c r="G83" s="129">
        <v>-1508741</v>
      </c>
      <c r="H83" s="129">
        <v>45950437</v>
      </c>
      <c r="I83" s="129">
        <v>2101623</v>
      </c>
      <c r="J83" s="129">
        <v>43848814</v>
      </c>
      <c r="K83" s="129">
        <v>-5374717</v>
      </c>
      <c r="L83" s="129">
        <v>3583145</v>
      </c>
      <c r="M83" s="129">
        <v>-47149127</v>
      </c>
      <c r="N83" s="755">
        <v>0</v>
      </c>
      <c r="O83" s="755">
        <v>0.99</v>
      </c>
      <c r="P83" s="755">
        <v>0</v>
      </c>
      <c r="Q83" s="755">
        <v>0.01</v>
      </c>
      <c r="R83" s="755">
        <v>1</v>
      </c>
      <c r="S83" s="129">
        <v>0</v>
      </c>
      <c r="T83" s="129">
        <v>-1493654</v>
      </c>
      <c r="U83" s="129">
        <v>0</v>
      </c>
      <c r="V83" s="129">
        <v>-15087</v>
      </c>
      <c r="W83" s="129">
        <v>-1508741</v>
      </c>
      <c r="X83" s="755">
        <v>0</v>
      </c>
      <c r="Y83" s="755">
        <v>0.99</v>
      </c>
      <c r="Z83" s="755">
        <v>0</v>
      </c>
      <c r="AA83" s="755">
        <v>0.01</v>
      </c>
      <c r="AB83" s="755">
        <v>1</v>
      </c>
      <c r="AC83" s="129">
        <v>0</v>
      </c>
      <c r="AD83" s="129">
        <v>-43410326</v>
      </c>
      <c r="AE83" s="129">
        <v>0</v>
      </c>
      <c r="AF83" s="129">
        <v>-438488</v>
      </c>
      <c r="AG83" s="129">
        <v>-43848814</v>
      </c>
      <c r="AH83" s="755">
        <v>0</v>
      </c>
      <c r="AI83" s="755">
        <v>0.99</v>
      </c>
      <c r="AJ83" s="755">
        <v>0</v>
      </c>
      <c r="AK83" s="755">
        <v>0.01</v>
      </c>
      <c r="AL83" s="755">
        <v>1</v>
      </c>
      <c r="AM83" s="129">
        <v>0</v>
      </c>
      <c r="AN83" s="129">
        <v>-1773657</v>
      </c>
      <c r="AO83" s="129">
        <v>0</v>
      </c>
      <c r="AP83" s="129">
        <v>-17916</v>
      </c>
      <c r="AQ83" s="129">
        <v>-1791572</v>
      </c>
      <c r="AR83" s="129">
        <v>0</v>
      </c>
      <c r="AS83" s="129">
        <v>-46677636</v>
      </c>
      <c r="AT83" s="129">
        <v>0</v>
      </c>
      <c r="AU83" s="129">
        <v>-471491</v>
      </c>
      <c r="AV83" s="129">
        <v>-47149127</v>
      </c>
      <c r="AW83" s="662" t="s">
        <v>39</v>
      </c>
      <c r="AX83" s="324" t="s">
        <v>570</v>
      </c>
      <c r="AY83" s="663" t="s">
        <v>574</v>
      </c>
      <c r="AZ83" s="529" t="s">
        <v>1290</v>
      </c>
    </row>
    <row r="84" spans="1:52" ht="12.75" x14ac:dyDescent="0.2">
      <c r="A84" s="664">
        <v>77</v>
      </c>
      <c r="B84" s="665" t="s">
        <v>42</v>
      </c>
      <c r="C84" s="666" t="s">
        <v>486</v>
      </c>
      <c r="D84" s="667" t="s">
        <v>1283</v>
      </c>
      <c r="E84" s="668" t="s">
        <v>41</v>
      </c>
      <c r="F84" s="129">
        <v>-41668517</v>
      </c>
      <c r="G84" s="129">
        <v>8232602</v>
      </c>
      <c r="H84" s="129">
        <v>51268978</v>
      </c>
      <c r="I84" s="129">
        <v>2505653</v>
      </c>
      <c r="J84" s="129">
        <v>48763325</v>
      </c>
      <c r="K84" s="129">
        <v>-1137794</v>
      </c>
      <c r="L84" s="129">
        <v>758529</v>
      </c>
      <c r="M84" s="129">
        <v>-40909988</v>
      </c>
      <c r="N84" s="755">
        <v>0.5</v>
      </c>
      <c r="O84" s="755">
        <v>0.49</v>
      </c>
      <c r="P84" s="755">
        <v>0</v>
      </c>
      <c r="Q84" s="755">
        <v>0.01</v>
      </c>
      <c r="R84" s="755">
        <v>1</v>
      </c>
      <c r="S84" s="129">
        <v>4116301</v>
      </c>
      <c r="T84" s="129">
        <v>4033975</v>
      </c>
      <c r="U84" s="129">
        <v>0</v>
      </c>
      <c r="V84" s="129">
        <v>82326</v>
      </c>
      <c r="W84" s="129">
        <v>8232602</v>
      </c>
      <c r="X84" s="755">
        <v>0.5</v>
      </c>
      <c r="Y84" s="755">
        <v>0.49</v>
      </c>
      <c r="Z84" s="755">
        <v>0</v>
      </c>
      <c r="AA84" s="755">
        <v>0.01</v>
      </c>
      <c r="AB84" s="755">
        <v>1</v>
      </c>
      <c r="AC84" s="129">
        <v>-24381663</v>
      </c>
      <c r="AD84" s="129">
        <v>-23894029</v>
      </c>
      <c r="AE84" s="129">
        <v>0</v>
      </c>
      <c r="AF84" s="129">
        <v>-487633</v>
      </c>
      <c r="AG84" s="129">
        <v>-48763325</v>
      </c>
      <c r="AH84" s="755">
        <v>0.5</v>
      </c>
      <c r="AI84" s="755">
        <v>0.49</v>
      </c>
      <c r="AJ84" s="755">
        <v>0</v>
      </c>
      <c r="AK84" s="755">
        <v>0.01</v>
      </c>
      <c r="AL84" s="755">
        <v>1</v>
      </c>
      <c r="AM84" s="129">
        <v>-189632</v>
      </c>
      <c r="AN84" s="129">
        <v>-185840</v>
      </c>
      <c r="AO84" s="129">
        <v>0</v>
      </c>
      <c r="AP84" s="129">
        <v>-3793</v>
      </c>
      <c r="AQ84" s="129">
        <v>-379265</v>
      </c>
      <c r="AR84" s="129">
        <v>-20454994</v>
      </c>
      <c r="AS84" s="129">
        <v>-20045894</v>
      </c>
      <c r="AT84" s="129">
        <v>0</v>
      </c>
      <c r="AU84" s="129">
        <v>-409100</v>
      </c>
      <c r="AV84" s="129">
        <v>-40909988</v>
      </c>
      <c r="AW84" s="662" t="s">
        <v>41</v>
      </c>
      <c r="AX84" s="324" t="s">
        <v>486</v>
      </c>
      <c r="AY84" s="663" t="s">
        <v>523</v>
      </c>
      <c r="AZ84" s="529" t="s">
        <v>1291</v>
      </c>
    </row>
    <row r="85" spans="1:52" ht="12.75" x14ac:dyDescent="0.2">
      <c r="A85" s="664">
        <v>78</v>
      </c>
      <c r="B85" s="665" t="s">
        <v>44</v>
      </c>
      <c r="C85" s="666" t="s">
        <v>1213</v>
      </c>
      <c r="D85" s="667" t="s">
        <v>1214</v>
      </c>
      <c r="E85" s="668" t="s">
        <v>43</v>
      </c>
      <c r="F85" s="129">
        <v>-74258238</v>
      </c>
      <c r="G85" s="129">
        <v>193408</v>
      </c>
      <c r="H85" s="129">
        <v>57623362</v>
      </c>
      <c r="I85" s="129">
        <v>5145590</v>
      </c>
      <c r="J85" s="129">
        <v>52477772</v>
      </c>
      <c r="K85" s="129">
        <v>-21973874</v>
      </c>
      <c r="L85" s="129">
        <v>14649249</v>
      </c>
      <c r="M85" s="129">
        <v>-59608989</v>
      </c>
      <c r="N85" s="755">
        <v>0.25</v>
      </c>
      <c r="O85" s="755">
        <v>0.48</v>
      </c>
      <c r="P85" s="755">
        <v>0.27</v>
      </c>
      <c r="Q85" s="755">
        <v>0</v>
      </c>
      <c r="R85" s="755">
        <v>1</v>
      </c>
      <c r="S85" s="129">
        <v>48352</v>
      </c>
      <c r="T85" s="129">
        <v>92836</v>
      </c>
      <c r="U85" s="129">
        <v>52220</v>
      </c>
      <c r="V85" s="129">
        <v>0</v>
      </c>
      <c r="W85" s="129">
        <v>193408</v>
      </c>
      <c r="X85" s="755">
        <v>0.33</v>
      </c>
      <c r="Y85" s="755">
        <v>0.3</v>
      </c>
      <c r="Z85" s="755">
        <v>0.37</v>
      </c>
      <c r="AA85" s="755">
        <v>0</v>
      </c>
      <c r="AB85" s="755">
        <v>1</v>
      </c>
      <c r="AC85" s="129">
        <v>-17317665</v>
      </c>
      <c r="AD85" s="129">
        <v>-15743332</v>
      </c>
      <c r="AE85" s="129">
        <v>-19416776</v>
      </c>
      <c r="AF85" s="129">
        <v>0</v>
      </c>
      <c r="AG85" s="129">
        <v>-52477772</v>
      </c>
      <c r="AH85" s="755">
        <v>0.33</v>
      </c>
      <c r="AI85" s="755">
        <v>0.3</v>
      </c>
      <c r="AJ85" s="755">
        <v>0.37</v>
      </c>
      <c r="AK85" s="755">
        <v>0</v>
      </c>
      <c r="AL85" s="755">
        <v>1</v>
      </c>
      <c r="AM85" s="129">
        <v>-2417126</v>
      </c>
      <c r="AN85" s="129">
        <v>-2197387</v>
      </c>
      <c r="AO85" s="129">
        <v>-2710111</v>
      </c>
      <c r="AP85" s="129">
        <v>0</v>
      </c>
      <c r="AQ85" s="129">
        <v>-7324625</v>
      </c>
      <c r="AR85" s="129">
        <v>-19686439</v>
      </c>
      <c r="AS85" s="129">
        <v>-17847883</v>
      </c>
      <c r="AT85" s="129">
        <v>-22074667</v>
      </c>
      <c r="AU85" s="129">
        <v>0</v>
      </c>
      <c r="AV85" s="129">
        <v>-59608989</v>
      </c>
      <c r="AW85" s="662" t="s">
        <v>43</v>
      </c>
      <c r="AX85" s="324" t="s">
        <v>576</v>
      </c>
      <c r="AY85" s="669" t="s">
        <v>485</v>
      </c>
      <c r="AZ85" s="529" t="s">
        <v>1292</v>
      </c>
    </row>
    <row r="86" spans="1:52" ht="12.75" x14ac:dyDescent="0.2">
      <c r="A86" s="664">
        <v>79</v>
      </c>
      <c r="B86" s="665" t="s">
        <v>46</v>
      </c>
      <c r="C86" s="666" t="s">
        <v>1201</v>
      </c>
      <c r="D86" s="667" t="s">
        <v>1211</v>
      </c>
      <c r="E86" s="668" t="s">
        <v>45</v>
      </c>
      <c r="F86" s="129">
        <v>-8772936</v>
      </c>
      <c r="G86" s="129">
        <v>-66536</v>
      </c>
      <c r="H86" s="129">
        <v>7798775</v>
      </c>
      <c r="I86" s="129">
        <v>553233</v>
      </c>
      <c r="J86" s="129">
        <v>7245542</v>
      </c>
      <c r="K86" s="129">
        <v>-1460858</v>
      </c>
      <c r="L86" s="129">
        <v>973905</v>
      </c>
      <c r="M86" s="129">
        <v>-7799031</v>
      </c>
      <c r="N86" s="755">
        <v>0.5</v>
      </c>
      <c r="O86" s="755">
        <v>0.4</v>
      </c>
      <c r="P86" s="755">
        <v>0.09</v>
      </c>
      <c r="Q86" s="755">
        <v>0.01</v>
      </c>
      <c r="R86" s="755">
        <v>1</v>
      </c>
      <c r="S86" s="129">
        <v>-33268</v>
      </c>
      <c r="T86" s="129">
        <v>-26614</v>
      </c>
      <c r="U86" s="129">
        <v>-5988</v>
      </c>
      <c r="V86" s="129">
        <v>-665</v>
      </c>
      <c r="W86" s="129">
        <v>-66536</v>
      </c>
      <c r="X86" s="755">
        <v>0.5</v>
      </c>
      <c r="Y86" s="755">
        <v>0.4</v>
      </c>
      <c r="Z86" s="755">
        <v>0.09</v>
      </c>
      <c r="AA86" s="755">
        <v>0.01</v>
      </c>
      <c r="AB86" s="755">
        <v>1</v>
      </c>
      <c r="AC86" s="129">
        <v>-3622771</v>
      </c>
      <c r="AD86" s="129">
        <v>-2898217</v>
      </c>
      <c r="AE86" s="129">
        <v>-652099</v>
      </c>
      <c r="AF86" s="129">
        <v>-72455</v>
      </c>
      <c r="AG86" s="129">
        <v>-7245542</v>
      </c>
      <c r="AH86" s="755">
        <v>0.5</v>
      </c>
      <c r="AI86" s="755">
        <v>0.4</v>
      </c>
      <c r="AJ86" s="755">
        <v>0.09</v>
      </c>
      <c r="AK86" s="755">
        <v>0.01</v>
      </c>
      <c r="AL86" s="755">
        <v>1</v>
      </c>
      <c r="AM86" s="129">
        <v>-243476</v>
      </c>
      <c r="AN86" s="129">
        <v>-194781</v>
      </c>
      <c r="AO86" s="129">
        <v>-43826</v>
      </c>
      <c r="AP86" s="129">
        <v>-4870</v>
      </c>
      <c r="AQ86" s="129">
        <v>-486953</v>
      </c>
      <c r="AR86" s="129">
        <v>-3899515</v>
      </c>
      <c r="AS86" s="129">
        <v>-3119612</v>
      </c>
      <c r="AT86" s="129">
        <v>-701913</v>
      </c>
      <c r="AU86" s="129">
        <v>-77990</v>
      </c>
      <c r="AV86" s="129">
        <v>-7799031</v>
      </c>
      <c r="AW86" s="662" t="s">
        <v>45</v>
      </c>
      <c r="AX86" s="324" t="s">
        <v>503</v>
      </c>
      <c r="AY86" s="663" t="s">
        <v>502</v>
      </c>
      <c r="AZ86" s="529" t="s">
        <v>1293</v>
      </c>
    </row>
    <row r="87" spans="1:52" ht="12.75" x14ac:dyDescent="0.2">
      <c r="A87" s="664">
        <v>80</v>
      </c>
      <c r="B87" s="665" t="s">
        <v>48</v>
      </c>
      <c r="C87" s="666" t="s">
        <v>1201</v>
      </c>
      <c r="D87" s="667" t="s">
        <v>1224</v>
      </c>
      <c r="E87" s="668" t="s">
        <v>47</v>
      </c>
      <c r="F87" s="129">
        <v>-19173033</v>
      </c>
      <c r="G87" s="129">
        <v>-1148095</v>
      </c>
      <c r="H87" s="129">
        <v>19047873</v>
      </c>
      <c r="I87" s="129">
        <v>1156923</v>
      </c>
      <c r="J87" s="129">
        <v>17890950</v>
      </c>
      <c r="K87" s="129">
        <v>-133988</v>
      </c>
      <c r="L87" s="129">
        <v>89325</v>
      </c>
      <c r="M87" s="129">
        <v>-19083708</v>
      </c>
      <c r="N87" s="755">
        <v>0.5</v>
      </c>
      <c r="O87" s="755">
        <v>0.4</v>
      </c>
      <c r="P87" s="755">
        <v>0.09</v>
      </c>
      <c r="Q87" s="755">
        <v>0.01</v>
      </c>
      <c r="R87" s="755">
        <v>1</v>
      </c>
      <c r="S87" s="129">
        <v>-574048</v>
      </c>
      <c r="T87" s="129">
        <v>-459238</v>
      </c>
      <c r="U87" s="129">
        <v>-103329</v>
      </c>
      <c r="V87" s="129">
        <v>-11481</v>
      </c>
      <c r="W87" s="129">
        <v>-1148095</v>
      </c>
      <c r="X87" s="755">
        <v>0.5</v>
      </c>
      <c r="Y87" s="755">
        <v>0.4</v>
      </c>
      <c r="Z87" s="755">
        <v>0.09</v>
      </c>
      <c r="AA87" s="755">
        <v>0.01</v>
      </c>
      <c r="AB87" s="755">
        <v>1</v>
      </c>
      <c r="AC87" s="129">
        <v>-8945475</v>
      </c>
      <c r="AD87" s="129">
        <v>-7156380</v>
      </c>
      <c r="AE87" s="129">
        <v>-1610186</v>
      </c>
      <c r="AF87" s="129">
        <v>-178910</v>
      </c>
      <c r="AG87" s="129">
        <v>-17890950</v>
      </c>
      <c r="AH87" s="755">
        <v>0.5</v>
      </c>
      <c r="AI87" s="755">
        <v>0.4</v>
      </c>
      <c r="AJ87" s="755">
        <v>0.09</v>
      </c>
      <c r="AK87" s="755">
        <v>0.01</v>
      </c>
      <c r="AL87" s="755">
        <v>1</v>
      </c>
      <c r="AM87" s="129">
        <v>-22331</v>
      </c>
      <c r="AN87" s="129">
        <v>-17865</v>
      </c>
      <c r="AO87" s="129">
        <v>-4020</v>
      </c>
      <c r="AP87" s="129">
        <v>-447</v>
      </c>
      <c r="AQ87" s="129">
        <v>-44663</v>
      </c>
      <c r="AR87" s="129">
        <v>-9541854</v>
      </c>
      <c r="AS87" s="129">
        <v>-7633483</v>
      </c>
      <c r="AT87" s="129">
        <v>-1717534</v>
      </c>
      <c r="AU87" s="129">
        <v>-190837</v>
      </c>
      <c r="AV87" s="129">
        <v>-19083708</v>
      </c>
      <c r="AW87" s="662" t="s">
        <v>47</v>
      </c>
      <c r="AX87" s="324" t="s">
        <v>521</v>
      </c>
      <c r="AY87" s="670" t="s">
        <v>519</v>
      </c>
      <c r="AZ87" s="529" t="s">
        <v>1294</v>
      </c>
    </row>
    <row r="88" spans="1:52" ht="14.25" x14ac:dyDescent="0.2">
      <c r="A88" s="664">
        <v>81</v>
      </c>
      <c r="B88" s="665" t="s">
        <v>50</v>
      </c>
      <c r="C88" s="666" t="s">
        <v>1201</v>
      </c>
      <c r="D88" s="667" t="s">
        <v>1202</v>
      </c>
      <c r="E88" s="668" t="s">
        <v>1921</v>
      </c>
      <c r="F88" s="129">
        <v>-13901941</v>
      </c>
      <c r="G88" s="129">
        <v>1630729</v>
      </c>
      <c r="H88" s="129">
        <v>15688675</v>
      </c>
      <c r="I88" s="129">
        <v>1364683</v>
      </c>
      <c r="J88" s="129">
        <v>14323992</v>
      </c>
      <c r="K88" s="129">
        <v>-1208678</v>
      </c>
      <c r="L88" s="129">
        <v>805785</v>
      </c>
      <c r="M88" s="129">
        <v>-13096156</v>
      </c>
      <c r="N88" s="755">
        <v>0.5</v>
      </c>
      <c r="O88" s="755">
        <v>0.4</v>
      </c>
      <c r="P88" s="755">
        <v>0.09</v>
      </c>
      <c r="Q88" s="755">
        <v>0.01</v>
      </c>
      <c r="R88" s="755">
        <v>1</v>
      </c>
      <c r="S88" s="129">
        <v>815365</v>
      </c>
      <c r="T88" s="129">
        <v>652292</v>
      </c>
      <c r="U88" s="129">
        <v>146766</v>
      </c>
      <c r="V88" s="129">
        <v>16307</v>
      </c>
      <c r="W88" s="129">
        <v>1630729</v>
      </c>
      <c r="X88" s="755">
        <v>0.5</v>
      </c>
      <c r="Y88" s="755">
        <v>0.4</v>
      </c>
      <c r="Z88" s="755">
        <v>0.09</v>
      </c>
      <c r="AA88" s="755">
        <v>0.01</v>
      </c>
      <c r="AB88" s="755">
        <v>1</v>
      </c>
      <c r="AC88" s="129">
        <v>-7161996</v>
      </c>
      <c r="AD88" s="129">
        <v>-5729597</v>
      </c>
      <c r="AE88" s="129">
        <v>-1289159</v>
      </c>
      <c r="AF88" s="129">
        <v>-143240</v>
      </c>
      <c r="AG88" s="129">
        <v>-14323992</v>
      </c>
      <c r="AH88" s="755">
        <v>0.5</v>
      </c>
      <c r="AI88" s="755">
        <v>0.4</v>
      </c>
      <c r="AJ88" s="755">
        <v>0.09</v>
      </c>
      <c r="AK88" s="755">
        <v>0.01</v>
      </c>
      <c r="AL88" s="755">
        <v>1</v>
      </c>
      <c r="AM88" s="129">
        <v>-201446</v>
      </c>
      <c r="AN88" s="129">
        <v>-161157</v>
      </c>
      <c r="AO88" s="129">
        <v>-36260</v>
      </c>
      <c r="AP88" s="129">
        <v>-4029</v>
      </c>
      <c r="AQ88" s="129">
        <v>-402893</v>
      </c>
      <c r="AR88" s="129">
        <v>-6548078</v>
      </c>
      <c r="AS88" s="129">
        <v>-5238462</v>
      </c>
      <c r="AT88" s="129">
        <v>-1178654</v>
      </c>
      <c r="AU88" s="129">
        <v>-130962</v>
      </c>
      <c r="AV88" s="129">
        <v>-13096156</v>
      </c>
      <c r="AW88" s="662" t="s">
        <v>49</v>
      </c>
      <c r="AX88" s="324" t="s">
        <v>532</v>
      </c>
      <c r="AY88" s="663" t="s">
        <v>1920</v>
      </c>
      <c r="AZ88" s="529" t="s">
        <v>1295</v>
      </c>
    </row>
    <row r="89" spans="1:52" ht="12.75" x14ac:dyDescent="0.2">
      <c r="A89" s="664">
        <v>82</v>
      </c>
      <c r="B89" s="665" t="s">
        <v>52</v>
      </c>
      <c r="C89" s="666" t="s">
        <v>1201</v>
      </c>
      <c r="D89" s="667" t="s">
        <v>1211</v>
      </c>
      <c r="E89" s="668" t="s">
        <v>51</v>
      </c>
      <c r="F89" s="129">
        <v>-22910881</v>
      </c>
      <c r="G89" s="129">
        <v>635951</v>
      </c>
      <c r="H89" s="129">
        <v>18685720</v>
      </c>
      <c r="I89" s="129">
        <v>1886331</v>
      </c>
      <c r="J89" s="129">
        <v>16799389</v>
      </c>
      <c r="K89" s="129">
        <v>-6747443</v>
      </c>
      <c r="L89" s="129">
        <v>4498295</v>
      </c>
      <c r="M89" s="129">
        <v>-18412586</v>
      </c>
      <c r="N89" s="755">
        <v>0.25</v>
      </c>
      <c r="O89" s="755">
        <v>0.35</v>
      </c>
      <c r="P89" s="755">
        <v>0.4</v>
      </c>
      <c r="Q89" s="755">
        <v>0</v>
      </c>
      <c r="R89" s="755">
        <v>1</v>
      </c>
      <c r="S89" s="129">
        <v>158988</v>
      </c>
      <c r="T89" s="129">
        <v>222583</v>
      </c>
      <c r="U89" s="129">
        <v>254380</v>
      </c>
      <c r="V89" s="129">
        <v>0</v>
      </c>
      <c r="W89" s="129">
        <v>635951</v>
      </c>
      <c r="X89" s="755">
        <v>0.5</v>
      </c>
      <c r="Y89" s="755">
        <v>0.4</v>
      </c>
      <c r="Z89" s="755">
        <v>0.1</v>
      </c>
      <c r="AA89" s="755">
        <v>0</v>
      </c>
      <c r="AB89" s="755">
        <v>1</v>
      </c>
      <c r="AC89" s="129">
        <v>-8399695</v>
      </c>
      <c r="AD89" s="129">
        <v>-6719756</v>
      </c>
      <c r="AE89" s="129">
        <v>-1679939</v>
      </c>
      <c r="AF89" s="129">
        <v>0</v>
      </c>
      <c r="AG89" s="129">
        <v>-16799389</v>
      </c>
      <c r="AH89" s="755">
        <v>0.5</v>
      </c>
      <c r="AI89" s="755">
        <v>0.4</v>
      </c>
      <c r="AJ89" s="755">
        <v>0.1</v>
      </c>
      <c r="AK89" s="755">
        <v>0</v>
      </c>
      <c r="AL89" s="755">
        <v>1</v>
      </c>
      <c r="AM89" s="129">
        <v>-1124574</v>
      </c>
      <c r="AN89" s="129">
        <v>-899659</v>
      </c>
      <c r="AO89" s="129">
        <v>-224915</v>
      </c>
      <c r="AP89" s="129">
        <v>0</v>
      </c>
      <c r="AQ89" s="129">
        <v>-2249148</v>
      </c>
      <c r="AR89" s="129">
        <v>-9365281</v>
      </c>
      <c r="AS89" s="129">
        <v>-7396832</v>
      </c>
      <c r="AT89" s="129">
        <v>-1650473</v>
      </c>
      <c r="AU89" s="129">
        <v>0</v>
      </c>
      <c r="AV89" s="129">
        <v>-18412586</v>
      </c>
      <c r="AW89" s="662" t="s">
        <v>51</v>
      </c>
      <c r="AX89" s="324" t="s">
        <v>536</v>
      </c>
      <c r="AY89" s="663" t="s">
        <v>512</v>
      </c>
      <c r="AZ89" s="529" t="s">
        <v>1296</v>
      </c>
    </row>
    <row r="90" spans="1:52" ht="12.75" x14ac:dyDescent="0.2">
      <c r="A90" s="664">
        <v>83</v>
      </c>
      <c r="B90" s="665" t="s">
        <v>54</v>
      </c>
      <c r="C90" s="666" t="s">
        <v>1201</v>
      </c>
      <c r="D90" s="667" t="s">
        <v>1206</v>
      </c>
      <c r="E90" s="668" t="s">
        <v>53</v>
      </c>
      <c r="F90" s="129">
        <v>-23430781</v>
      </c>
      <c r="G90" s="129">
        <v>-764440</v>
      </c>
      <c r="H90" s="129">
        <v>22870479</v>
      </c>
      <c r="I90" s="129">
        <v>1153965</v>
      </c>
      <c r="J90" s="129">
        <v>21716514</v>
      </c>
      <c r="K90" s="129">
        <v>-949827</v>
      </c>
      <c r="L90" s="129">
        <v>633218</v>
      </c>
      <c r="M90" s="129">
        <v>-22797563</v>
      </c>
      <c r="N90" s="755">
        <v>0.5</v>
      </c>
      <c r="O90" s="755">
        <v>0.4</v>
      </c>
      <c r="P90" s="755">
        <v>0.1</v>
      </c>
      <c r="Q90" s="755">
        <v>0</v>
      </c>
      <c r="R90" s="755">
        <v>1</v>
      </c>
      <c r="S90" s="129">
        <v>-382220</v>
      </c>
      <c r="T90" s="129">
        <v>-305776</v>
      </c>
      <c r="U90" s="129">
        <v>-76444</v>
      </c>
      <c r="V90" s="129">
        <v>0</v>
      </c>
      <c r="W90" s="129">
        <v>-764440</v>
      </c>
      <c r="X90" s="755">
        <v>0.5</v>
      </c>
      <c r="Y90" s="755">
        <v>0.4</v>
      </c>
      <c r="Z90" s="755">
        <v>0.1</v>
      </c>
      <c r="AA90" s="755">
        <v>0</v>
      </c>
      <c r="AB90" s="755">
        <v>1</v>
      </c>
      <c r="AC90" s="129">
        <v>-10858257</v>
      </c>
      <c r="AD90" s="129">
        <v>-8686606</v>
      </c>
      <c r="AE90" s="129">
        <v>-2171651</v>
      </c>
      <c r="AF90" s="129">
        <v>0</v>
      </c>
      <c r="AG90" s="129">
        <v>-21716514</v>
      </c>
      <c r="AH90" s="755">
        <v>0.5</v>
      </c>
      <c r="AI90" s="755">
        <v>0.4</v>
      </c>
      <c r="AJ90" s="755">
        <v>0.1</v>
      </c>
      <c r="AK90" s="755">
        <v>0</v>
      </c>
      <c r="AL90" s="755">
        <v>1</v>
      </c>
      <c r="AM90" s="129">
        <v>-158305</v>
      </c>
      <c r="AN90" s="129">
        <v>-126644</v>
      </c>
      <c r="AO90" s="129">
        <v>-31661</v>
      </c>
      <c r="AP90" s="129">
        <v>0</v>
      </c>
      <c r="AQ90" s="129">
        <v>-316609</v>
      </c>
      <c r="AR90" s="129">
        <v>-11398782</v>
      </c>
      <c r="AS90" s="129">
        <v>-9119025</v>
      </c>
      <c r="AT90" s="129">
        <v>-2279756</v>
      </c>
      <c r="AU90" s="129">
        <v>0</v>
      </c>
      <c r="AV90" s="129">
        <v>-22797563</v>
      </c>
      <c r="AW90" s="662" t="s">
        <v>53</v>
      </c>
      <c r="AX90" s="324" t="s">
        <v>552</v>
      </c>
      <c r="AY90" s="663" t="s">
        <v>512</v>
      </c>
      <c r="AZ90" s="529" t="s">
        <v>1297</v>
      </c>
    </row>
    <row r="91" spans="1:52" ht="12.75" x14ac:dyDescent="0.2">
      <c r="A91" s="664">
        <v>84</v>
      </c>
      <c r="B91" s="665" t="s">
        <v>56</v>
      </c>
      <c r="C91" s="666" t="s">
        <v>486</v>
      </c>
      <c r="D91" s="667" t="s">
        <v>1218</v>
      </c>
      <c r="E91" s="668" t="s">
        <v>537</v>
      </c>
      <c r="F91" s="129">
        <v>-39458626</v>
      </c>
      <c r="G91" s="129">
        <v>-2241910</v>
      </c>
      <c r="H91" s="129">
        <v>36478319</v>
      </c>
      <c r="I91" s="129">
        <v>2079080</v>
      </c>
      <c r="J91" s="129">
        <v>34399239</v>
      </c>
      <c r="K91" s="129">
        <v>-2817477</v>
      </c>
      <c r="L91" s="129">
        <v>1878318</v>
      </c>
      <c r="M91" s="129">
        <v>-37580308</v>
      </c>
      <c r="N91" s="755">
        <v>0.5</v>
      </c>
      <c r="O91" s="755">
        <v>0.49</v>
      </c>
      <c r="P91" s="755">
        <v>0</v>
      </c>
      <c r="Q91" s="755">
        <v>0.01</v>
      </c>
      <c r="R91" s="755">
        <v>1</v>
      </c>
      <c r="S91" s="129">
        <v>-1120955</v>
      </c>
      <c r="T91" s="129">
        <v>-1098536</v>
      </c>
      <c r="U91" s="129">
        <v>0</v>
      </c>
      <c r="V91" s="129">
        <v>-22419</v>
      </c>
      <c r="W91" s="129">
        <v>-2241910</v>
      </c>
      <c r="X91" s="755">
        <v>0.5</v>
      </c>
      <c r="Y91" s="755">
        <v>0.49</v>
      </c>
      <c r="Z91" s="755">
        <v>0</v>
      </c>
      <c r="AA91" s="755">
        <v>0.01</v>
      </c>
      <c r="AB91" s="755">
        <v>1</v>
      </c>
      <c r="AC91" s="129">
        <v>-17199620</v>
      </c>
      <c r="AD91" s="129">
        <v>-16855627</v>
      </c>
      <c r="AE91" s="129">
        <v>0</v>
      </c>
      <c r="AF91" s="129">
        <v>-343992</v>
      </c>
      <c r="AG91" s="129">
        <v>-34399239</v>
      </c>
      <c r="AH91" s="755">
        <v>0.5</v>
      </c>
      <c r="AI91" s="755">
        <v>0.49</v>
      </c>
      <c r="AJ91" s="755">
        <v>0</v>
      </c>
      <c r="AK91" s="755">
        <v>0.01</v>
      </c>
      <c r="AL91" s="755">
        <v>1</v>
      </c>
      <c r="AM91" s="129">
        <v>-469580</v>
      </c>
      <c r="AN91" s="129">
        <v>-460188</v>
      </c>
      <c r="AO91" s="129">
        <v>0</v>
      </c>
      <c r="AP91" s="129">
        <v>-9392</v>
      </c>
      <c r="AQ91" s="129">
        <v>-939159</v>
      </c>
      <c r="AR91" s="129">
        <v>-18790154</v>
      </c>
      <c r="AS91" s="129">
        <v>-18414351</v>
      </c>
      <c r="AT91" s="129">
        <v>0</v>
      </c>
      <c r="AU91" s="129">
        <v>-375803</v>
      </c>
      <c r="AV91" s="129">
        <v>-37580308</v>
      </c>
      <c r="AW91" s="662" t="s">
        <v>537</v>
      </c>
      <c r="AX91" s="324" t="s">
        <v>486</v>
      </c>
      <c r="AY91" s="663" t="s">
        <v>538</v>
      </c>
      <c r="AZ91" s="529" t="s">
        <v>1298</v>
      </c>
    </row>
    <row r="92" spans="1:52" ht="12.75" x14ac:dyDescent="0.2">
      <c r="A92" s="664">
        <v>85</v>
      </c>
      <c r="B92" s="665" t="s">
        <v>58</v>
      </c>
      <c r="C92" s="666" t="s">
        <v>1201</v>
      </c>
      <c r="D92" s="667" t="s">
        <v>1228</v>
      </c>
      <c r="E92" s="668" t="s">
        <v>57</v>
      </c>
      <c r="F92" s="129">
        <v>-15440962</v>
      </c>
      <c r="G92" s="129">
        <v>4178676</v>
      </c>
      <c r="H92" s="129">
        <v>20698404</v>
      </c>
      <c r="I92" s="129">
        <v>1060245</v>
      </c>
      <c r="J92" s="129">
        <v>19638159</v>
      </c>
      <c r="K92" s="129">
        <v>18521</v>
      </c>
      <c r="L92" s="129">
        <v>0</v>
      </c>
      <c r="M92" s="129">
        <v>-15440962</v>
      </c>
      <c r="N92" s="755">
        <v>0.25</v>
      </c>
      <c r="O92" s="755">
        <v>0.4</v>
      </c>
      <c r="P92" s="755">
        <v>0.34</v>
      </c>
      <c r="Q92" s="755">
        <v>0.01</v>
      </c>
      <c r="R92" s="755">
        <v>1</v>
      </c>
      <c r="S92" s="129">
        <v>1044669</v>
      </c>
      <c r="T92" s="129">
        <v>1671470</v>
      </c>
      <c r="U92" s="129">
        <v>1420750</v>
      </c>
      <c r="V92" s="129">
        <v>41787</v>
      </c>
      <c r="W92" s="129">
        <v>4178676</v>
      </c>
      <c r="X92" s="755">
        <v>0.5</v>
      </c>
      <c r="Y92" s="755">
        <v>0.4</v>
      </c>
      <c r="Z92" s="755">
        <v>0.09</v>
      </c>
      <c r="AA92" s="755">
        <v>0.01</v>
      </c>
      <c r="AB92" s="755">
        <v>1</v>
      </c>
      <c r="AC92" s="129">
        <v>-9809819</v>
      </c>
      <c r="AD92" s="129">
        <v>-7847855</v>
      </c>
      <c r="AE92" s="129">
        <v>-1765767</v>
      </c>
      <c r="AF92" s="129">
        <v>-196196</v>
      </c>
      <c r="AG92" s="129">
        <v>-19619638</v>
      </c>
      <c r="AH92" s="755">
        <v>0.5</v>
      </c>
      <c r="AI92" s="755">
        <v>0.4</v>
      </c>
      <c r="AJ92" s="755">
        <v>0.09</v>
      </c>
      <c r="AK92" s="755">
        <v>0.01</v>
      </c>
      <c r="AL92" s="755">
        <v>1</v>
      </c>
      <c r="AM92" s="129">
        <v>0</v>
      </c>
      <c r="AN92" s="129">
        <v>0</v>
      </c>
      <c r="AO92" s="129">
        <v>0</v>
      </c>
      <c r="AP92" s="129">
        <v>0</v>
      </c>
      <c r="AQ92" s="129">
        <v>0</v>
      </c>
      <c r="AR92" s="129">
        <v>-8765150</v>
      </c>
      <c r="AS92" s="129">
        <v>-6176385</v>
      </c>
      <c r="AT92" s="129">
        <v>-345018</v>
      </c>
      <c r="AU92" s="129">
        <v>-154410</v>
      </c>
      <c r="AV92" s="129">
        <v>-15440962</v>
      </c>
      <c r="AW92" s="662" t="s">
        <v>57</v>
      </c>
      <c r="AX92" s="324" t="s">
        <v>564</v>
      </c>
      <c r="AY92" s="663" t="s">
        <v>1917</v>
      </c>
      <c r="AZ92" s="529" t="s">
        <v>1299</v>
      </c>
    </row>
    <row r="93" spans="1:52" ht="12.75" x14ac:dyDescent="0.2">
      <c r="A93" s="664">
        <v>86</v>
      </c>
      <c r="B93" s="665" t="s">
        <v>1021</v>
      </c>
      <c r="C93" s="666" t="s">
        <v>1201</v>
      </c>
      <c r="D93" s="667" t="s">
        <v>1211</v>
      </c>
      <c r="E93" s="668" t="s">
        <v>1020</v>
      </c>
      <c r="F93" s="129">
        <v>-38477132</v>
      </c>
      <c r="G93" s="129">
        <v>-2130103</v>
      </c>
      <c r="H93" s="129">
        <v>32499191</v>
      </c>
      <c r="I93" s="129">
        <v>2039838</v>
      </c>
      <c r="J93" s="129">
        <v>30459353</v>
      </c>
      <c r="K93" s="129">
        <v>-5887676</v>
      </c>
      <c r="L93" s="129">
        <v>3925117</v>
      </c>
      <c r="M93" s="129">
        <v>-34552015</v>
      </c>
      <c r="N93" s="755">
        <v>0.5</v>
      </c>
      <c r="O93" s="755">
        <v>0.4</v>
      </c>
      <c r="P93" s="755">
        <v>0.1</v>
      </c>
      <c r="Q93" s="755">
        <v>0</v>
      </c>
      <c r="R93" s="755">
        <v>1</v>
      </c>
      <c r="S93" s="129">
        <v>-1065052</v>
      </c>
      <c r="T93" s="129">
        <v>-852041</v>
      </c>
      <c r="U93" s="129">
        <v>-213010</v>
      </c>
      <c r="V93" s="129">
        <v>0</v>
      </c>
      <c r="W93" s="129">
        <v>-2130103</v>
      </c>
      <c r="X93" s="755">
        <v>0.5</v>
      </c>
      <c r="Y93" s="755">
        <v>0.4</v>
      </c>
      <c r="Z93" s="755">
        <v>0.1</v>
      </c>
      <c r="AA93" s="755">
        <v>0</v>
      </c>
      <c r="AB93" s="755">
        <v>1</v>
      </c>
      <c r="AC93" s="129">
        <v>-15229677</v>
      </c>
      <c r="AD93" s="129">
        <v>-12183741</v>
      </c>
      <c r="AE93" s="129">
        <v>-3045935</v>
      </c>
      <c r="AF93" s="129">
        <v>0</v>
      </c>
      <c r="AG93" s="129">
        <v>-30459353</v>
      </c>
      <c r="AH93" s="755">
        <v>0.5</v>
      </c>
      <c r="AI93" s="755">
        <v>0.4</v>
      </c>
      <c r="AJ93" s="755">
        <v>0.1</v>
      </c>
      <c r="AK93" s="755">
        <v>0</v>
      </c>
      <c r="AL93" s="755">
        <v>1</v>
      </c>
      <c r="AM93" s="129">
        <v>-981279</v>
      </c>
      <c r="AN93" s="129">
        <v>-785023</v>
      </c>
      <c r="AO93" s="129">
        <v>-196256</v>
      </c>
      <c r="AP93" s="129">
        <v>0</v>
      </c>
      <c r="AQ93" s="129">
        <v>-1962559</v>
      </c>
      <c r="AR93" s="129">
        <v>-17276007</v>
      </c>
      <c r="AS93" s="129">
        <v>-13820806</v>
      </c>
      <c r="AT93" s="129">
        <v>-3455201</v>
      </c>
      <c r="AU93" s="129">
        <v>0</v>
      </c>
      <c r="AV93" s="129">
        <v>-34552015</v>
      </c>
      <c r="AW93" s="662" t="s">
        <v>1020</v>
      </c>
      <c r="AX93" s="324" t="s">
        <v>565</v>
      </c>
      <c r="AY93" s="663" t="s">
        <v>512</v>
      </c>
      <c r="AZ93" s="529" t="s">
        <v>1300</v>
      </c>
    </row>
    <row r="94" spans="1:52" ht="12.75" x14ac:dyDescent="0.2">
      <c r="A94" s="664">
        <v>87</v>
      </c>
      <c r="B94" s="665" t="s">
        <v>60</v>
      </c>
      <c r="C94" s="666" t="s">
        <v>1201</v>
      </c>
      <c r="D94" s="667" t="s">
        <v>1202</v>
      </c>
      <c r="E94" s="668" t="s">
        <v>59</v>
      </c>
      <c r="F94" s="129">
        <v>-27893193</v>
      </c>
      <c r="G94" s="129">
        <v>-258114</v>
      </c>
      <c r="H94" s="129">
        <v>25700440</v>
      </c>
      <c r="I94" s="129">
        <v>1024269</v>
      </c>
      <c r="J94" s="129">
        <v>24676171</v>
      </c>
      <c r="K94" s="129">
        <v>-2958908</v>
      </c>
      <c r="L94" s="129">
        <v>1972605</v>
      </c>
      <c r="M94" s="129">
        <v>-25920588</v>
      </c>
      <c r="N94" s="755">
        <v>0.25</v>
      </c>
      <c r="O94" s="755">
        <v>0.44</v>
      </c>
      <c r="P94" s="755">
        <v>0.26</v>
      </c>
      <c r="Q94" s="755">
        <v>0.05</v>
      </c>
      <c r="R94" s="755">
        <v>1</v>
      </c>
      <c r="S94" s="129">
        <v>-64528</v>
      </c>
      <c r="T94" s="129">
        <v>-113570</v>
      </c>
      <c r="U94" s="129">
        <v>-67110</v>
      </c>
      <c r="V94" s="129">
        <v>-12906</v>
      </c>
      <c r="W94" s="129">
        <v>-258114</v>
      </c>
      <c r="X94" s="755">
        <v>0.5</v>
      </c>
      <c r="Y94" s="755">
        <v>0.4</v>
      </c>
      <c r="Z94" s="755">
        <v>0.09</v>
      </c>
      <c r="AA94" s="755">
        <v>0.01</v>
      </c>
      <c r="AB94" s="755">
        <v>1</v>
      </c>
      <c r="AC94" s="129">
        <v>-12338086</v>
      </c>
      <c r="AD94" s="129">
        <v>-9870468</v>
      </c>
      <c r="AE94" s="129">
        <v>-2220855</v>
      </c>
      <c r="AF94" s="129">
        <v>-246762</v>
      </c>
      <c r="AG94" s="129">
        <v>-24676171</v>
      </c>
      <c r="AH94" s="755">
        <v>0.5</v>
      </c>
      <c r="AI94" s="755">
        <v>0.4</v>
      </c>
      <c r="AJ94" s="755">
        <v>0.09</v>
      </c>
      <c r="AK94" s="755">
        <v>0.01</v>
      </c>
      <c r="AL94" s="755">
        <v>1</v>
      </c>
      <c r="AM94" s="129">
        <v>-493151</v>
      </c>
      <c r="AN94" s="129">
        <v>-394521</v>
      </c>
      <c r="AO94" s="129">
        <v>-88767</v>
      </c>
      <c r="AP94" s="129">
        <v>-9863</v>
      </c>
      <c r="AQ94" s="129">
        <v>-986303</v>
      </c>
      <c r="AR94" s="129">
        <v>-12895765</v>
      </c>
      <c r="AS94" s="129">
        <v>-10378560</v>
      </c>
      <c r="AT94" s="129">
        <v>-2376732</v>
      </c>
      <c r="AU94" s="129">
        <v>-269530</v>
      </c>
      <c r="AV94" s="129">
        <v>-25920588</v>
      </c>
      <c r="AW94" s="662" t="s">
        <v>59</v>
      </c>
      <c r="AX94" s="324" t="s">
        <v>525</v>
      </c>
      <c r="AY94" s="663" t="s">
        <v>524</v>
      </c>
      <c r="AZ94" s="529" t="s">
        <v>1301</v>
      </c>
    </row>
    <row r="95" spans="1:52" ht="12.75" x14ac:dyDescent="0.2">
      <c r="A95" s="664">
        <v>88</v>
      </c>
      <c r="B95" s="665" t="s">
        <v>62</v>
      </c>
      <c r="C95" s="666" t="s">
        <v>1201</v>
      </c>
      <c r="D95" s="667" t="s">
        <v>1202</v>
      </c>
      <c r="E95" s="668" t="s">
        <v>61</v>
      </c>
      <c r="F95" s="129">
        <v>-37624925</v>
      </c>
      <c r="G95" s="129">
        <v>-7671353</v>
      </c>
      <c r="H95" s="129">
        <v>26940358</v>
      </c>
      <c r="I95" s="129">
        <v>1418573</v>
      </c>
      <c r="J95" s="129">
        <v>25521785</v>
      </c>
      <c r="K95" s="129">
        <v>-4431787</v>
      </c>
      <c r="L95" s="129">
        <v>2954525</v>
      </c>
      <c r="M95" s="129">
        <v>-34670400</v>
      </c>
      <c r="N95" s="755">
        <v>0.5</v>
      </c>
      <c r="O95" s="755">
        <v>0.4</v>
      </c>
      <c r="P95" s="755">
        <v>0.09</v>
      </c>
      <c r="Q95" s="755">
        <v>0.01</v>
      </c>
      <c r="R95" s="755">
        <v>1</v>
      </c>
      <c r="S95" s="129">
        <v>-3835677</v>
      </c>
      <c r="T95" s="129">
        <v>-3068541</v>
      </c>
      <c r="U95" s="129">
        <v>-690422</v>
      </c>
      <c r="V95" s="129">
        <v>-76714</v>
      </c>
      <c r="W95" s="129">
        <v>-7671353</v>
      </c>
      <c r="X95" s="755">
        <v>0.5</v>
      </c>
      <c r="Y95" s="755">
        <v>0.4</v>
      </c>
      <c r="Z95" s="755">
        <v>0.09</v>
      </c>
      <c r="AA95" s="755">
        <v>0.01</v>
      </c>
      <c r="AB95" s="755">
        <v>1</v>
      </c>
      <c r="AC95" s="129">
        <v>-12760893</v>
      </c>
      <c r="AD95" s="129">
        <v>-10208714</v>
      </c>
      <c r="AE95" s="129">
        <v>-2296961</v>
      </c>
      <c r="AF95" s="129">
        <v>-255218</v>
      </c>
      <c r="AG95" s="129">
        <v>-25521785</v>
      </c>
      <c r="AH95" s="755">
        <v>0.5</v>
      </c>
      <c r="AI95" s="755">
        <v>0.4</v>
      </c>
      <c r="AJ95" s="755">
        <v>0.09</v>
      </c>
      <c r="AK95" s="755">
        <v>0.01</v>
      </c>
      <c r="AL95" s="755">
        <v>1</v>
      </c>
      <c r="AM95" s="129">
        <v>-738631</v>
      </c>
      <c r="AN95" s="129">
        <v>-590905</v>
      </c>
      <c r="AO95" s="129">
        <v>-132954</v>
      </c>
      <c r="AP95" s="129">
        <v>-14773</v>
      </c>
      <c r="AQ95" s="129">
        <v>-1477262</v>
      </c>
      <c r="AR95" s="129">
        <v>-17335200</v>
      </c>
      <c r="AS95" s="129">
        <v>-13868160</v>
      </c>
      <c r="AT95" s="129">
        <v>-3120336</v>
      </c>
      <c r="AU95" s="129">
        <v>-346704</v>
      </c>
      <c r="AV95" s="129">
        <v>-34670400</v>
      </c>
      <c r="AW95" s="662" t="s">
        <v>61</v>
      </c>
      <c r="AX95" s="324" t="s">
        <v>532</v>
      </c>
      <c r="AY95" s="663" t="s">
        <v>1914</v>
      </c>
      <c r="AZ95" s="529" t="s">
        <v>1302</v>
      </c>
    </row>
    <row r="96" spans="1:52" ht="14.25" x14ac:dyDescent="0.2">
      <c r="A96" s="664">
        <v>89</v>
      </c>
      <c r="B96" s="665" t="s">
        <v>64</v>
      </c>
      <c r="C96" s="666" t="s">
        <v>1201</v>
      </c>
      <c r="D96" s="667" t="s">
        <v>1204</v>
      </c>
      <c r="E96" s="668" t="s">
        <v>1868</v>
      </c>
      <c r="F96" s="129">
        <v>-12926272</v>
      </c>
      <c r="G96" s="129">
        <v>802920</v>
      </c>
      <c r="H96" s="129">
        <v>15047775</v>
      </c>
      <c r="I96" s="129">
        <v>656563</v>
      </c>
      <c r="J96" s="129">
        <v>14391212</v>
      </c>
      <c r="K96" s="129">
        <v>662020</v>
      </c>
      <c r="L96" s="129">
        <v>0</v>
      </c>
      <c r="M96" s="129">
        <v>-12926272</v>
      </c>
      <c r="N96" s="755">
        <v>0.5</v>
      </c>
      <c r="O96" s="755">
        <v>0.4</v>
      </c>
      <c r="P96" s="755">
        <v>0.1</v>
      </c>
      <c r="Q96" s="755">
        <v>0</v>
      </c>
      <c r="R96" s="755">
        <v>1</v>
      </c>
      <c r="S96" s="129">
        <v>401460</v>
      </c>
      <c r="T96" s="129">
        <v>321168</v>
      </c>
      <c r="U96" s="129">
        <v>80292</v>
      </c>
      <c r="V96" s="129">
        <v>0</v>
      </c>
      <c r="W96" s="129">
        <v>802920</v>
      </c>
      <c r="X96" s="755">
        <v>0.5</v>
      </c>
      <c r="Y96" s="755">
        <v>0.4</v>
      </c>
      <c r="Z96" s="755">
        <v>0.1</v>
      </c>
      <c r="AA96" s="755">
        <v>0</v>
      </c>
      <c r="AB96" s="755">
        <v>1</v>
      </c>
      <c r="AC96" s="129">
        <v>-6864596</v>
      </c>
      <c r="AD96" s="129">
        <v>-5491677</v>
      </c>
      <c r="AE96" s="129">
        <v>-1372919</v>
      </c>
      <c r="AF96" s="129">
        <v>0</v>
      </c>
      <c r="AG96" s="129">
        <v>-13729192</v>
      </c>
      <c r="AH96" s="755">
        <v>0.5</v>
      </c>
      <c r="AI96" s="755">
        <v>0.4</v>
      </c>
      <c r="AJ96" s="755">
        <v>0.1</v>
      </c>
      <c r="AK96" s="755">
        <v>0</v>
      </c>
      <c r="AL96" s="755">
        <v>1</v>
      </c>
      <c r="AM96" s="129">
        <v>0</v>
      </c>
      <c r="AN96" s="129">
        <v>0</v>
      </c>
      <c r="AO96" s="129">
        <v>0</v>
      </c>
      <c r="AP96" s="129">
        <v>0</v>
      </c>
      <c r="AQ96" s="129">
        <v>0</v>
      </c>
      <c r="AR96" s="129">
        <v>-6463136</v>
      </c>
      <c r="AS96" s="129">
        <v>-5170509</v>
      </c>
      <c r="AT96" s="129">
        <v>-1292627</v>
      </c>
      <c r="AU96" s="129">
        <v>0</v>
      </c>
      <c r="AV96" s="129">
        <v>-12926272</v>
      </c>
      <c r="AW96" s="662" t="s">
        <v>63</v>
      </c>
      <c r="AX96" s="324" t="s">
        <v>513</v>
      </c>
      <c r="AY96" s="663" t="s">
        <v>512</v>
      </c>
      <c r="AZ96" s="529" t="s">
        <v>1303</v>
      </c>
    </row>
    <row r="97" spans="1:52" ht="12.75" x14ac:dyDescent="0.2">
      <c r="A97" s="664">
        <v>90</v>
      </c>
      <c r="B97" s="665" t="s">
        <v>66</v>
      </c>
      <c r="C97" s="666" t="s">
        <v>1201</v>
      </c>
      <c r="D97" s="667" t="s">
        <v>1202</v>
      </c>
      <c r="E97" s="668" t="s">
        <v>65</v>
      </c>
      <c r="F97" s="129">
        <v>-36514045</v>
      </c>
      <c r="G97" s="129">
        <v>-1035499</v>
      </c>
      <c r="H97" s="129">
        <v>31740151</v>
      </c>
      <c r="I97" s="129">
        <v>1520859</v>
      </c>
      <c r="J97" s="129">
        <v>30219292</v>
      </c>
      <c r="K97" s="129">
        <v>-5259254</v>
      </c>
      <c r="L97" s="129">
        <v>3506169</v>
      </c>
      <c r="M97" s="129">
        <v>-33007876</v>
      </c>
      <c r="N97" s="755">
        <v>0.5</v>
      </c>
      <c r="O97" s="755">
        <v>0.4</v>
      </c>
      <c r="P97" s="755">
        <v>0.1</v>
      </c>
      <c r="Q97" s="755">
        <v>0</v>
      </c>
      <c r="R97" s="755">
        <v>1</v>
      </c>
      <c r="S97" s="129">
        <v>-517750</v>
      </c>
      <c r="T97" s="129">
        <v>-414200</v>
      </c>
      <c r="U97" s="129">
        <v>-103550</v>
      </c>
      <c r="V97" s="129">
        <v>0</v>
      </c>
      <c r="W97" s="129">
        <v>-1035499</v>
      </c>
      <c r="X97" s="755">
        <v>0.5</v>
      </c>
      <c r="Y97" s="755">
        <v>0.4</v>
      </c>
      <c r="Z97" s="755">
        <v>0.1</v>
      </c>
      <c r="AA97" s="755">
        <v>0</v>
      </c>
      <c r="AB97" s="755">
        <v>1</v>
      </c>
      <c r="AC97" s="129">
        <v>-15109646</v>
      </c>
      <c r="AD97" s="129">
        <v>-12087717</v>
      </c>
      <c r="AE97" s="129">
        <v>-3021929</v>
      </c>
      <c r="AF97" s="129">
        <v>0</v>
      </c>
      <c r="AG97" s="129">
        <v>-30219292</v>
      </c>
      <c r="AH97" s="755">
        <v>0.5</v>
      </c>
      <c r="AI97" s="755">
        <v>0.4</v>
      </c>
      <c r="AJ97" s="755">
        <v>0.1</v>
      </c>
      <c r="AK97" s="755">
        <v>0</v>
      </c>
      <c r="AL97" s="755">
        <v>1</v>
      </c>
      <c r="AM97" s="129">
        <v>-876542</v>
      </c>
      <c r="AN97" s="129">
        <v>-701234</v>
      </c>
      <c r="AO97" s="129">
        <v>-175308</v>
      </c>
      <c r="AP97" s="129">
        <v>0</v>
      </c>
      <c r="AQ97" s="129">
        <v>-1753085</v>
      </c>
      <c r="AR97" s="129">
        <v>-16503938</v>
      </c>
      <c r="AS97" s="129">
        <v>-13203150</v>
      </c>
      <c r="AT97" s="129">
        <v>-3300788</v>
      </c>
      <c r="AU97" s="129">
        <v>0</v>
      </c>
      <c r="AV97" s="129">
        <v>-33007876</v>
      </c>
      <c r="AW97" s="662" t="s">
        <v>65</v>
      </c>
      <c r="AX97" s="324" t="s">
        <v>566</v>
      </c>
      <c r="AY97" s="663" t="s">
        <v>512</v>
      </c>
      <c r="AZ97" s="529" t="s">
        <v>1304</v>
      </c>
    </row>
    <row r="98" spans="1:52" ht="12.75" x14ac:dyDescent="0.2">
      <c r="A98" s="664">
        <v>91</v>
      </c>
      <c r="B98" s="665" t="s">
        <v>68</v>
      </c>
      <c r="C98" s="666" t="s">
        <v>1213</v>
      </c>
      <c r="D98" s="667" t="s">
        <v>1214</v>
      </c>
      <c r="E98" s="668" t="s">
        <v>67</v>
      </c>
      <c r="F98" s="129">
        <v>-48559174</v>
      </c>
      <c r="G98" s="129">
        <v>-27581</v>
      </c>
      <c r="H98" s="129">
        <v>46895500</v>
      </c>
      <c r="I98" s="129">
        <v>5771308</v>
      </c>
      <c r="J98" s="129">
        <v>41124192</v>
      </c>
      <c r="K98" s="129">
        <v>-7407401</v>
      </c>
      <c r="L98" s="129">
        <v>4938267</v>
      </c>
      <c r="M98" s="129">
        <v>-43620907</v>
      </c>
      <c r="N98" s="755">
        <v>0.25</v>
      </c>
      <c r="O98" s="755">
        <v>0.48</v>
      </c>
      <c r="P98" s="755">
        <v>0.27</v>
      </c>
      <c r="Q98" s="755">
        <v>0</v>
      </c>
      <c r="R98" s="755">
        <v>1</v>
      </c>
      <c r="S98" s="129">
        <v>-6895</v>
      </c>
      <c r="T98" s="129">
        <v>-13239</v>
      </c>
      <c r="U98" s="129">
        <v>-7447</v>
      </c>
      <c r="V98" s="129">
        <v>0</v>
      </c>
      <c r="W98" s="129">
        <v>-27581</v>
      </c>
      <c r="X98" s="755">
        <v>0.33</v>
      </c>
      <c r="Y98" s="755">
        <v>0.3</v>
      </c>
      <c r="Z98" s="755">
        <v>0.37</v>
      </c>
      <c r="AA98" s="755">
        <v>0</v>
      </c>
      <c r="AB98" s="755">
        <v>1</v>
      </c>
      <c r="AC98" s="129">
        <v>-13570983</v>
      </c>
      <c r="AD98" s="129">
        <v>-12337258</v>
      </c>
      <c r="AE98" s="129">
        <v>-15215951</v>
      </c>
      <c r="AF98" s="129">
        <v>0</v>
      </c>
      <c r="AG98" s="129">
        <v>-41124192</v>
      </c>
      <c r="AH98" s="755">
        <v>0.33</v>
      </c>
      <c r="AI98" s="755">
        <v>0.3</v>
      </c>
      <c r="AJ98" s="755">
        <v>0.37</v>
      </c>
      <c r="AK98" s="755">
        <v>0</v>
      </c>
      <c r="AL98" s="755">
        <v>1</v>
      </c>
      <c r="AM98" s="129">
        <v>-814814</v>
      </c>
      <c r="AN98" s="129">
        <v>-740740</v>
      </c>
      <c r="AO98" s="129">
        <v>-913579</v>
      </c>
      <c r="AP98" s="129">
        <v>0</v>
      </c>
      <c r="AQ98" s="129">
        <v>-2469134</v>
      </c>
      <c r="AR98" s="129">
        <v>-14392693</v>
      </c>
      <c r="AS98" s="129">
        <v>-13091237</v>
      </c>
      <c r="AT98" s="129">
        <v>-16136977</v>
      </c>
      <c r="AU98" s="129">
        <v>0</v>
      </c>
      <c r="AV98" s="129">
        <v>-43620907</v>
      </c>
      <c r="AW98" s="662" t="s">
        <v>67</v>
      </c>
      <c r="AX98" s="324" t="s">
        <v>576</v>
      </c>
      <c r="AY98" s="669" t="s">
        <v>485</v>
      </c>
      <c r="AZ98" s="529" t="s">
        <v>1305</v>
      </c>
    </row>
    <row r="99" spans="1:52" ht="12.75" x14ac:dyDescent="0.2">
      <c r="A99" s="664">
        <v>92</v>
      </c>
      <c r="B99" s="665" t="s">
        <v>70</v>
      </c>
      <c r="C99" s="666" t="s">
        <v>1201</v>
      </c>
      <c r="D99" s="667" t="s">
        <v>1211</v>
      </c>
      <c r="E99" s="668" t="s">
        <v>69</v>
      </c>
      <c r="F99" s="129">
        <v>-17540743</v>
      </c>
      <c r="G99" s="129">
        <v>-443419</v>
      </c>
      <c r="H99" s="129">
        <v>18080868</v>
      </c>
      <c r="I99" s="129">
        <v>1432409</v>
      </c>
      <c r="J99" s="129">
        <v>16648459</v>
      </c>
      <c r="K99" s="129">
        <v>-448865</v>
      </c>
      <c r="L99" s="129">
        <v>299243</v>
      </c>
      <c r="M99" s="129">
        <v>-17241500</v>
      </c>
      <c r="N99" s="755">
        <v>0.5</v>
      </c>
      <c r="O99" s="755">
        <v>0.4</v>
      </c>
      <c r="P99" s="755">
        <v>0.09</v>
      </c>
      <c r="Q99" s="755">
        <v>0.01</v>
      </c>
      <c r="R99" s="755">
        <v>1</v>
      </c>
      <c r="S99" s="129">
        <v>-221710</v>
      </c>
      <c r="T99" s="129">
        <v>-177368</v>
      </c>
      <c r="U99" s="129">
        <v>-39908</v>
      </c>
      <c r="V99" s="129">
        <v>-4434</v>
      </c>
      <c r="W99" s="129">
        <v>-443419</v>
      </c>
      <c r="X99" s="755">
        <v>0.5</v>
      </c>
      <c r="Y99" s="755">
        <v>0.4</v>
      </c>
      <c r="Z99" s="755">
        <v>0.09</v>
      </c>
      <c r="AA99" s="755">
        <v>0.01</v>
      </c>
      <c r="AB99" s="755">
        <v>1</v>
      </c>
      <c r="AC99" s="129">
        <v>-8324230</v>
      </c>
      <c r="AD99" s="129">
        <v>-6659384</v>
      </c>
      <c r="AE99" s="129">
        <v>-1498361</v>
      </c>
      <c r="AF99" s="129">
        <v>-166485</v>
      </c>
      <c r="AG99" s="129">
        <v>-16648459</v>
      </c>
      <c r="AH99" s="755">
        <v>0.5</v>
      </c>
      <c r="AI99" s="755">
        <v>0.4</v>
      </c>
      <c r="AJ99" s="755">
        <v>0.09</v>
      </c>
      <c r="AK99" s="755">
        <v>0.01</v>
      </c>
      <c r="AL99" s="755">
        <v>1</v>
      </c>
      <c r="AM99" s="129">
        <v>-74811</v>
      </c>
      <c r="AN99" s="129">
        <v>-59849</v>
      </c>
      <c r="AO99" s="129">
        <v>-13466</v>
      </c>
      <c r="AP99" s="129">
        <v>-1496</v>
      </c>
      <c r="AQ99" s="129">
        <v>-149622</v>
      </c>
      <c r="AR99" s="129">
        <v>-8620750</v>
      </c>
      <c r="AS99" s="129">
        <v>-6896600</v>
      </c>
      <c r="AT99" s="129">
        <v>-1551735</v>
      </c>
      <c r="AU99" s="129">
        <v>-172415</v>
      </c>
      <c r="AV99" s="129">
        <v>-17241500</v>
      </c>
      <c r="AW99" s="662" t="s">
        <v>69</v>
      </c>
      <c r="AX99" s="324" t="s">
        <v>528</v>
      </c>
      <c r="AY99" s="663" t="s">
        <v>1913</v>
      </c>
      <c r="AZ99" s="529" t="s">
        <v>1306</v>
      </c>
    </row>
    <row r="100" spans="1:52" ht="12.75" x14ac:dyDescent="0.2">
      <c r="A100" s="664">
        <v>93</v>
      </c>
      <c r="B100" s="665" t="s">
        <v>71</v>
      </c>
      <c r="C100" s="666" t="s">
        <v>1201</v>
      </c>
      <c r="D100" s="667" t="s">
        <v>1202</v>
      </c>
      <c r="E100" s="668" t="s">
        <v>822</v>
      </c>
      <c r="F100" s="129">
        <v>-16113483</v>
      </c>
      <c r="G100" s="129">
        <v>-728177</v>
      </c>
      <c r="H100" s="129">
        <v>16038350</v>
      </c>
      <c r="I100" s="129">
        <v>734582</v>
      </c>
      <c r="J100" s="129">
        <v>15303768</v>
      </c>
      <c r="K100" s="129">
        <v>-81538</v>
      </c>
      <c r="L100" s="129">
        <v>54359</v>
      </c>
      <c r="M100" s="129">
        <v>-16059124</v>
      </c>
      <c r="N100" s="755">
        <v>0.5</v>
      </c>
      <c r="O100" s="755">
        <v>0.4</v>
      </c>
      <c r="P100" s="755">
        <v>0.1</v>
      </c>
      <c r="Q100" s="755">
        <v>0</v>
      </c>
      <c r="R100" s="755">
        <v>1</v>
      </c>
      <c r="S100" s="129">
        <v>-364089</v>
      </c>
      <c r="T100" s="129">
        <v>-291271</v>
      </c>
      <c r="U100" s="129">
        <v>-72818</v>
      </c>
      <c r="V100" s="129">
        <v>0</v>
      </c>
      <c r="W100" s="129">
        <v>-728177</v>
      </c>
      <c r="X100" s="755">
        <v>0.5</v>
      </c>
      <c r="Y100" s="755">
        <v>0.4</v>
      </c>
      <c r="Z100" s="755">
        <v>0.1</v>
      </c>
      <c r="AA100" s="755">
        <v>0</v>
      </c>
      <c r="AB100" s="755">
        <v>1</v>
      </c>
      <c r="AC100" s="129">
        <v>-7651884</v>
      </c>
      <c r="AD100" s="129">
        <v>-6121507</v>
      </c>
      <c r="AE100" s="129">
        <v>-1530377</v>
      </c>
      <c r="AF100" s="129">
        <v>0</v>
      </c>
      <c r="AG100" s="129">
        <v>-15303768</v>
      </c>
      <c r="AH100" s="755">
        <v>0.5</v>
      </c>
      <c r="AI100" s="755">
        <v>0.4</v>
      </c>
      <c r="AJ100" s="755">
        <v>0.1</v>
      </c>
      <c r="AK100" s="755">
        <v>0</v>
      </c>
      <c r="AL100" s="755">
        <v>1</v>
      </c>
      <c r="AM100" s="129">
        <v>-13590</v>
      </c>
      <c r="AN100" s="129">
        <v>-10872</v>
      </c>
      <c r="AO100" s="129">
        <v>-2718</v>
      </c>
      <c r="AP100" s="129">
        <v>0</v>
      </c>
      <c r="AQ100" s="129">
        <v>-27179</v>
      </c>
      <c r="AR100" s="129">
        <v>-8029562</v>
      </c>
      <c r="AS100" s="129">
        <v>-6423650</v>
      </c>
      <c r="AT100" s="129">
        <v>-1605912</v>
      </c>
      <c r="AU100" s="129">
        <v>0</v>
      </c>
      <c r="AV100" s="129">
        <v>-16059124</v>
      </c>
      <c r="AW100" s="662" t="s">
        <v>822</v>
      </c>
      <c r="AX100" s="324" t="s">
        <v>566</v>
      </c>
      <c r="AY100" s="663" t="s">
        <v>512</v>
      </c>
      <c r="AZ100" s="529" t="s">
        <v>1307</v>
      </c>
    </row>
    <row r="101" spans="1:52" ht="12.75" x14ac:dyDescent="0.2">
      <c r="A101" s="664">
        <v>94</v>
      </c>
      <c r="B101" s="665" t="s">
        <v>73</v>
      </c>
      <c r="C101" s="666" t="s">
        <v>1201</v>
      </c>
      <c r="D101" s="667" t="s">
        <v>1206</v>
      </c>
      <c r="E101" s="668" t="s">
        <v>72</v>
      </c>
      <c r="F101" s="129">
        <v>-12074173</v>
      </c>
      <c r="G101" s="129">
        <v>-372055</v>
      </c>
      <c r="H101" s="129">
        <v>11104297</v>
      </c>
      <c r="I101" s="129">
        <v>593085</v>
      </c>
      <c r="J101" s="129">
        <v>10511212</v>
      </c>
      <c r="K101" s="129">
        <v>-1190906</v>
      </c>
      <c r="L101" s="129">
        <v>793937</v>
      </c>
      <c r="M101" s="129">
        <v>-11280236</v>
      </c>
      <c r="N101" s="755">
        <v>0.5</v>
      </c>
      <c r="O101" s="755">
        <v>0.4</v>
      </c>
      <c r="P101" s="755">
        <v>0.09</v>
      </c>
      <c r="Q101" s="755">
        <v>0.01</v>
      </c>
      <c r="R101" s="755">
        <v>1</v>
      </c>
      <c r="S101" s="129">
        <v>-186028</v>
      </c>
      <c r="T101" s="129">
        <v>-148822</v>
      </c>
      <c r="U101" s="129">
        <v>-33485</v>
      </c>
      <c r="V101" s="129">
        <v>-3721</v>
      </c>
      <c r="W101" s="129">
        <v>-372055</v>
      </c>
      <c r="X101" s="755">
        <v>0.5</v>
      </c>
      <c r="Y101" s="755">
        <v>0.4</v>
      </c>
      <c r="Z101" s="755">
        <v>0.09</v>
      </c>
      <c r="AA101" s="755">
        <v>0.01</v>
      </c>
      <c r="AB101" s="755">
        <v>1</v>
      </c>
      <c r="AC101" s="129">
        <v>-5255606</v>
      </c>
      <c r="AD101" s="129">
        <v>-4204485</v>
      </c>
      <c r="AE101" s="129">
        <v>-946009</v>
      </c>
      <c r="AF101" s="129">
        <v>-105112</v>
      </c>
      <c r="AG101" s="129">
        <v>-10511212</v>
      </c>
      <c r="AH101" s="755">
        <v>0.5</v>
      </c>
      <c r="AI101" s="755">
        <v>0.4</v>
      </c>
      <c r="AJ101" s="755">
        <v>0.09</v>
      </c>
      <c r="AK101" s="755">
        <v>0.01</v>
      </c>
      <c r="AL101" s="755">
        <v>1</v>
      </c>
      <c r="AM101" s="129">
        <v>-198484</v>
      </c>
      <c r="AN101" s="129">
        <v>-158787</v>
      </c>
      <c r="AO101" s="129">
        <v>-35727</v>
      </c>
      <c r="AP101" s="129">
        <v>-3970</v>
      </c>
      <c r="AQ101" s="129">
        <v>-396969</v>
      </c>
      <c r="AR101" s="129">
        <v>-5640118</v>
      </c>
      <c r="AS101" s="129">
        <v>-4512094</v>
      </c>
      <c r="AT101" s="129">
        <v>-1015221</v>
      </c>
      <c r="AU101" s="129">
        <v>-112802</v>
      </c>
      <c r="AV101" s="129">
        <v>-11280236</v>
      </c>
      <c r="AW101" s="662" t="s">
        <v>72</v>
      </c>
      <c r="AX101" s="324" t="s">
        <v>516</v>
      </c>
      <c r="AY101" s="663" t="s">
        <v>515</v>
      </c>
      <c r="AZ101" s="529" t="s">
        <v>1308</v>
      </c>
    </row>
    <row r="102" spans="1:52" ht="12.75" x14ac:dyDescent="0.2">
      <c r="A102" s="664">
        <v>95</v>
      </c>
      <c r="B102" s="665" t="s">
        <v>75</v>
      </c>
      <c r="C102" s="666" t="s">
        <v>1201</v>
      </c>
      <c r="D102" s="667" t="s">
        <v>1224</v>
      </c>
      <c r="E102" s="668" t="s">
        <v>74</v>
      </c>
      <c r="F102" s="129">
        <v>-45145271</v>
      </c>
      <c r="G102" s="129">
        <v>900588</v>
      </c>
      <c r="H102" s="129">
        <v>45578686</v>
      </c>
      <c r="I102" s="129">
        <v>1963253</v>
      </c>
      <c r="J102" s="129">
        <v>43615433</v>
      </c>
      <c r="K102" s="129">
        <v>-2430426</v>
      </c>
      <c r="L102" s="129">
        <v>1620284</v>
      </c>
      <c r="M102" s="129">
        <v>-43524987</v>
      </c>
      <c r="N102" s="755">
        <v>0.5</v>
      </c>
      <c r="O102" s="755">
        <v>0.4</v>
      </c>
      <c r="P102" s="755">
        <v>0.09</v>
      </c>
      <c r="Q102" s="755">
        <v>0.01</v>
      </c>
      <c r="R102" s="755">
        <v>1</v>
      </c>
      <c r="S102" s="129">
        <v>450294</v>
      </c>
      <c r="T102" s="129">
        <v>360235</v>
      </c>
      <c r="U102" s="129">
        <v>81053</v>
      </c>
      <c r="V102" s="129">
        <v>9006</v>
      </c>
      <c r="W102" s="129">
        <v>900588</v>
      </c>
      <c r="X102" s="755">
        <v>0.5</v>
      </c>
      <c r="Y102" s="755">
        <v>0.4</v>
      </c>
      <c r="Z102" s="755">
        <v>0.09</v>
      </c>
      <c r="AA102" s="755">
        <v>0.01</v>
      </c>
      <c r="AB102" s="755">
        <v>1</v>
      </c>
      <c r="AC102" s="129">
        <v>-21807717</v>
      </c>
      <c r="AD102" s="129">
        <v>-17446173</v>
      </c>
      <c r="AE102" s="129">
        <v>-3925389</v>
      </c>
      <c r="AF102" s="129">
        <v>-436154</v>
      </c>
      <c r="AG102" s="129">
        <v>-43615433</v>
      </c>
      <c r="AH102" s="755">
        <v>0.5</v>
      </c>
      <c r="AI102" s="755">
        <v>0.4</v>
      </c>
      <c r="AJ102" s="755">
        <v>0.09</v>
      </c>
      <c r="AK102" s="755">
        <v>0.01</v>
      </c>
      <c r="AL102" s="755">
        <v>1</v>
      </c>
      <c r="AM102" s="129">
        <v>-405071</v>
      </c>
      <c r="AN102" s="129">
        <v>-324057</v>
      </c>
      <c r="AO102" s="129">
        <v>-72913</v>
      </c>
      <c r="AP102" s="129">
        <v>-8101</v>
      </c>
      <c r="AQ102" s="129">
        <v>-810142</v>
      </c>
      <c r="AR102" s="129">
        <v>-21762494</v>
      </c>
      <c r="AS102" s="129">
        <v>-17409995</v>
      </c>
      <c r="AT102" s="129">
        <v>-3917249</v>
      </c>
      <c r="AU102" s="129">
        <v>-435250</v>
      </c>
      <c r="AV102" s="129">
        <v>-43524987</v>
      </c>
      <c r="AW102" s="662" t="s">
        <v>74</v>
      </c>
      <c r="AX102" s="324" t="s">
        <v>521</v>
      </c>
      <c r="AY102" s="663" t="s">
        <v>519</v>
      </c>
      <c r="AZ102" s="529" t="s">
        <v>1309</v>
      </c>
    </row>
    <row r="103" spans="1:52" ht="12.75" x14ac:dyDescent="0.2">
      <c r="A103" s="664">
        <v>96</v>
      </c>
      <c r="B103" s="665" t="s">
        <v>77</v>
      </c>
      <c r="C103" s="666" t="s">
        <v>1201</v>
      </c>
      <c r="D103" s="667" t="s">
        <v>1202</v>
      </c>
      <c r="E103" s="668" t="s">
        <v>76</v>
      </c>
      <c r="F103" s="129">
        <v>-20757456</v>
      </c>
      <c r="G103" s="129">
        <v>-1597047</v>
      </c>
      <c r="H103" s="129">
        <v>18410934</v>
      </c>
      <c r="I103" s="129">
        <v>555709</v>
      </c>
      <c r="J103" s="129">
        <v>17855225</v>
      </c>
      <c r="K103" s="129">
        <v>-1305184</v>
      </c>
      <c r="L103" s="129">
        <v>870123</v>
      </c>
      <c r="M103" s="129">
        <v>-19887333</v>
      </c>
      <c r="N103" s="755">
        <v>0.5</v>
      </c>
      <c r="O103" s="755">
        <v>0.4</v>
      </c>
      <c r="P103" s="755">
        <v>0.09</v>
      </c>
      <c r="Q103" s="755">
        <v>0.01</v>
      </c>
      <c r="R103" s="755">
        <v>1</v>
      </c>
      <c r="S103" s="129">
        <v>-798524</v>
      </c>
      <c r="T103" s="129">
        <v>-638819</v>
      </c>
      <c r="U103" s="129">
        <v>-143734</v>
      </c>
      <c r="V103" s="129">
        <v>-15970</v>
      </c>
      <c r="W103" s="129">
        <v>-1597047</v>
      </c>
      <c r="X103" s="755">
        <v>0.5</v>
      </c>
      <c r="Y103" s="755">
        <v>0.4</v>
      </c>
      <c r="Z103" s="755">
        <v>0.09</v>
      </c>
      <c r="AA103" s="755">
        <v>0.01</v>
      </c>
      <c r="AB103" s="755">
        <v>1</v>
      </c>
      <c r="AC103" s="129">
        <v>-8927613</v>
      </c>
      <c r="AD103" s="129">
        <v>-7142090</v>
      </c>
      <c r="AE103" s="129">
        <v>-1606970</v>
      </c>
      <c r="AF103" s="129">
        <v>-178552</v>
      </c>
      <c r="AG103" s="129">
        <v>-17855225</v>
      </c>
      <c r="AH103" s="755">
        <v>0.5</v>
      </c>
      <c r="AI103" s="755">
        <v>0.4</v>
      </c>
      <c r="AJ103" s="755">
        <v>0.09</v>
      </c>
      <c r="AK103" s="755">
        <v>0.01</v>
      </c>
      <c r="AL103" s="755">
        <v>1</v>
      </c>
      <c r="AM103" s="129">
        <v>-217531</v>
      </c>
      <c r="AN103" s="129">
        <v>-174025</v>
      </c>
      <c r="AO103" s="129">
        <v>-39156</v>
      </c>
      <c r="AP103" s="129">
        <v>-4351</v>
      </c>
      <c r="AQ103" s="129">
        <v>-435061</v>
      </c>
      <c r="AR103" s="129">
        <v>-9943667</v>
      </c>
      <c r="AS103" s="129">
        <v>-7954933</v>
      </c>
      <c r="AT103" s="129">
        <v>-1789860</v>
      </c>
      <c r="AU103" s="129">
        <v>-198873</v>
      </c>
      <c r="AV103" s="129">
        <v>-19887333</v>
      </c>
      <c r="AW103" s="662" t="s">
        <v>76</v>
      </c>
      <c r="AX103" s="324" t="s">
        <v>532</v>
      </c>
      <c r="AY103" s="663" t="s">
        <v>1914</v>
      </c>
      <c r="AZ103" s="529" t="s">
        <v>1310</v>
      </c>
    </row>
    <row r="104" spans="1:52" ht="12.75" x14ac:dyDescent="0.2">
      <c r="A104" s="664">
        <v>97</v>
      </c>
      <c r="B104" s="665" t="s">
        <v>79</v>
      </c>
      <c r="C104" s="666" t="s">
        <v>1201</v>
      </c>
      <c r="D104" s="667" t="s">
        <v>1211</v>
      </c>
      <c r="E104" s="668" t="s">
        <v>78</v>
      </c>
      <c r="F104" s="129">
        <v>-9974215</v>
      </c>
      <c r="G104" s="129">
        <v>-411614</v>
      </c>
      <c r="H104" s="129">
        <v>8688775</v>
      </c>
      <c r="I104" s="129">
        <v>509599</v>
      </c>
      <c r="J104" s="129">
        <v>8179176</v>
      </c>
      <c r="K104" s="129">
        <v>-1383425</v>
      </c>
      <c r="L104" s="129">
        <v>922283</v>
      </c>
      <c r="M104" s="129">
        <v>-9051931</v>
      </c>
      <c r="N104" s="755">
        <v>0.5</v>
      </c>
      <c r="O104" s="755">
        <v>0.4</v>
      </c>
      <c r="P104" s="755">
        <v>0.09</v>
      </c>
      <c r="Q104" s="755">
        <v>0.01</v>
      </c>
      <c r="R104" s="755">
        <v>1</v>
      </c>
      <c r="S104" s="129">
        <v>-205807</v>
      </c>
      <c r="T104" s="129">
        <v>-164646</v>
      </c>
      <c r="U104" s="129">
        <v>-37045</v>
      </c>
      <c r="V104" s="129">
        <v>-4116</v>
      </c>
      <c r="W104" s="129">
        <v>-411614</v>
      </c>
      <c r="X104" s="755">
        <v>0.5</v>
      </c>
      <c r="Y104" s="755">
        <v>0.4</v>
      </c>
      <c r="Z104" s="755">
        <v>0.09</v>
      </c>
      <c r="AA104" s="755">
        <v>0.01</v>
      </c>
      <c r="AB104" s="755">
        <v>1</v>
      </c>
      <c r="AC104" s="129">
        <v>-4089588</v>
      </c>
      <c r="AD104" s="129">
        <v>-3271670</v>
      </c>
      <c r="AE104" s="129">
        <v>-736126</v>
      </c>
      <c r="AF104" s="129">
        <v>-81792</v>
      </c>
      <c r="AG104" s="129">
        <v>-8179176</v>
      </c>
      <c r="AH104" s="755">
        <v>0.5</v>
      </c>
      <c r="AI104" s="755">
        <v>0.4</v>
      </c>
      <c r="AJ104" s="755">
        <v>0.09</v>
      </c>
      <c r="AK104" s="755">
        <v>0.01</v>
      </c>
      <c r="AL104" s="755">
        <v>1</v>
      </c>
      <c r="AM104" s="129">
        <v>-230571</v>
      </c>
      <c r="AN104" s="129">
        <v>-184457</v>
      </c>
      <c r="AO104" s="129">
        <v>-41503</v>
      </c>
      <c r="AP104" s="129">
        <v>-4611</v>
      </c>
      <c r="AQ104" s="129">
        <v>-461142</v>
      </c>
      <c r="AR104" s="129">
        <v>-4525966</v>
      </c>
      <c r="AS104" s="129">
        <v>-3620773</v>
      </c>
      <c r="AT104" s="129">
        <v>-814674</v>
      </c>
      <c r="AU104" s="129">
        <v>-90519</v>
      </c>
      <c r="AV104" s="129">
        <v>-9051931</v>
      </c>
      <c r="AW104" s="662" t="s">
        <v>78</v>
      </c>
      <c r="AX104" s="324" t="s">
        <v>503</v>
      </c>
      <c r="AY104" s="663" t="s">
        <v>502</v>
      </c>
      <c r="AZ104" s="529" t="s">
        <v>1311</v>
      </c>
    </row>
    <row r="105" spans="1:52" ht="12.75" x14ac:dyDescent="0.2">
      <c r="A105" s="664">
        <v>98</v>
      </c>
      <c r="B105" s="665" t="s">
        <v>322</v>
      </c>
      <c r="C105" s="666" t="s">
        <v>1201</v>
      </c>
      <c r="D105" s="667" t="s">
        <v>1211</v>
      </c>
      <c r="E105" s="668" t="s">
        <v>1016</v>
      </c>
      <c r="F105" s="129">
        <v>-13198315</v>
      </c>
      <c r="G105" s="129">
        <v>691019</v>
      </c>
      <c r="H105" s="129">
        <v>14682321</v>
      </c>
      <c r="I105" s="129">
        <v>829163</v>
      </c>
      <c r="J105" s="129">
        <v>13853158</v>
      </c>
      <c r="K105" s="129">
        <v>-36176</v>
      </c>
      <c r="L105" s="129">
        <v>24117</v>
      </c>
      <c r="M105" s="129">
        <v>-13174198</v>
      </c>
      <c r="N105" s="755">
        <v>0.5</v>
      </c>
      <c r="O105" s="755">
        <v>0.4</v>
      </c>
      <c r="P105" s="755">
        <v>0.09</v>
      </c>
      <c r="Q105" s="755">
        <v>0.01</v>
      </c>
      <c r="R105" s="755">
        <v>1</v>
      </c>
      <c r="S105" s="129">
        <v>345510</v>
      </c>
      <c r="T105" s="129">
        <v>276408</v>
      </c>
      <c r="U105" s="129">
        <v>62192</v>
      </c>
      <c r="V105" s="129">
        <v>6910</v>
      </c>
      <c r="W105" s="129">
        <v>691019</v>
      </c>
      <c r="X105" s="755">
        <v>0.5</v>
      </c>
      <c r="Y105" s="755">
        <v>0.4</v>
      </c>
      <c r="Z105" s="755">
        <v>0.09</v>
      </c>
      <c r="AA105" s="755">
        <v>0.01</v>
      </c>
      <c r="AB105" s="755">
        <v>1</v>
      </c>
      <c r="AC105" s="129">
        <v>-6926579</v>
      </c>
      <c r="AD105" s="129">
        <v>-5541263</v>
      </c>
      <c r="AE105" s="129">
        <v>-1246784</v>
      </c>
      <c r="AF105" s="129">
        <v>-138532</v>
      </c>
      <c r="AG105" s="129">
        <v>-13853158</v>
      </c>
      <c r="AH105" s="755">
        <v>0.5</v>
      </c>
      <c r="AI105" s="755">
        <v>0.4</v>
      </c>
      <c r="AJ105" s="755">
        <v>0.09</v>
      </c>
      <c r="AK105" s="755">
        <v>0.01</v>
      </c>
      <c r="AL105" s="755">
        <v>1</v>
      </c>
      <c r="AM105" s="129">
        <v>-6029</v>
      </c>
      <c r="AN105" s="129">
        <v>-4823</v>
      </c>
      <c r="AO105" s="129">
        <v>-1085</v>
      </c>
      <c r="AP105" s="129">
        <v>-121</v>
      </c>
      <c r="AQ105" s="129">
        <v>-12059</v>
      </c>
      <c r="AR105" s="129">
        <v>-6587099</v>
      </c>
      <c r="AS105" s="129">
        <v>-5269679</v>
      </c>
      <c r="AT105" s="129">
        <v>-1185678</v>
      </c>
      <c r="AU105" s="129">
        <v>-131742</v>
      </c>
      <c r="AV105" s="129">
        <v>-13174198</v>
      </c>
      <c r="AW105" s="662" t="s">
        <v>1016</v>
      </c>
      <c r="AX105" s="324" t="s">
        <v>565</v>
      </c>
      <c r="AY105" s="663" t="s">
        <v>542</v>
      </c>
      <c r="AZ105" s="529" t="s">
        <v>1312</v>
      </c>
    </row>
    <row r="106" spans="1:52" ht="12.75" x14ac:dyDescent="0.2">
      <c r="A106" s="664">
        <v>99</v>
      </c>
      <c r="B106" s="665" t="s">
        <v>81</v>
      </c>
      <c r="C106" s="666" t="s">
        <v>1201</v>
      </c>
      <c r="D106" s="667" t="s">
        <v>1224</v>
      </c>
      <c r="E106" s="668" t="s">
        <v>80</v>
      </c>
      <c r="F106" s="129">
        <v>-5059392</v>
      </c>
      <c r="G106" s="129">
        <v>-604437</v>
      </c>
      <c r="H106" s="129">
        <v>4260000</v>
      </c>
      <c r="I106" s="129">
        <v>224707</v>
      </c>
      <c r="J106" s="129">
        <v>4035293</v>
      </c>
      <c r="K106" s="129">
        <v>-419662</v>
      </c>
      <c r="L106" s="129">
        <v>279775</v>
      </c>
      <c r="M106" s="129">
        <v>-4779617</v>
      </c>
      <c r="N106" s="755">
        <v>0.5</v>
      </c>
      <c r="O106" s="755">
        <v>0.4</v>
      </c>
      <c r="P106" s="755">
        <v>0.1</v>
      </c>
      <c r="Q106" s="755">
        <v>0</v>
      </c>
      <c r="R106" s="755">
        <v>1</v>
      </c>
      <c r="S106" s="129">
        <v>-302219</v>
      </c>
      <c r="T106" s="129">
        <v>-241775</v>
      </c>
      <c r="U106" s="129">
        <v>-60444</v>
      </c>
      <c r="V106" s="129">
        <v>0</v>
      </c>
      <c r="W106" s="129">
        <v>-604437</v>
      </c>
      <c r="X106" s="755">
        <v>0.5</v>
      </c>
      <c r="Y106" s="755">
        <v>0.4</v>
      </c>
      <c r="Z106" s="755">
        <v>0.1</v>
      </c>
      <c r="AA106" s="755">
        <v>0</v>
      </c>
      <c r="AB106" s="755">
        <v>1</v>
      </c>
      <c r="AC106" s="129">
        <v>-2017647</v>
      </c>
      <c r="AD106" s="129">
        <v>-1614117</v>
      </c>
      <c r="AE106" s="129">
        <v>-403529</v>
      </c>
      <c r="AF106" s="129">
        <v>0</v>
      </c>
      <c r="AG106" s="129">
        <v>-4035293</v>
      </c>
      <c r="AH106" s="755">
        <v>0.5</v>
      </c>
      <c r="AI106" s="755">
        <v>0.4</v>
      </c>
      <c r="AJ106" s="755">
        <v>0.1</v>
      </c>
      <c r="AK106" s="755">
        <v>0</v>
      </c>
      <c r="AL106" s="755">
        <v>1</v>
      </c>
      <c r="AM106" s="129">
        <v>-69944</v>
      </c>
      <c r="AN106" s="129">
        <v>-55955</v>
      </c>
      <c r="AO106" s="129">
        <v>-13989</v>
      </c>
      <c r="AP106" s="129">
        <v>0</v>
      </c>
      <c r="AQ106" s="129">
        <v>-139887</v>
      </c>
      <c r="AR106" s="129">
        <v>-2389809</v>
      </c>
      <c r="AS106" s="129">
        <v>-1911847</v>
      </c>
      <c r="AT106" s="129">
        <v>-477962</v>
      </c>
      <c r="AU106" s="129">
        <v>0</v>
      </c>
      <c r="AV106" s="129">
        <v>-4779617</v>
      </c>
      <c r="AW106" s="662" t="s">
        <v>80</v>
      </c>
      <c r="AX106" s="324" t="s">
        <v>529</v>
      </c>
      <c r="AY106" s="663" t="s">
        <v>512</v>
      </c>
      <c r="AZ106" s="529" t="s">
        <v>1313</v>
      </c>
    </row>
    <row r="107" spans="1:52" ht="12.75" x14ac:dyDescent="0.2">
      <c r="A107" s="664">
        <v>100</v>
      </c>
      <c r="B107" s="665" t="s">
        <v>83</v>
      </c>
      <c r="C107" s="666" t="s">
        <v>1201</v>
      </c>
      <c r="D107" s="667" t="s">
        <v>1204</v>
      </c>
      <c r="E107" s="668" t="s">
        <v>82</v>
      </c>
      <c r="F107" s="129">
        <v>-11542451</v>
      </c>
      <c r="G107" s="129">
        <v>3472941</v>
      </c>
      <c r="H107" s="129">
        <v>12800017</v>
      </c>
      <c r="I107" s="129">
        <v>885928</v>
      </c>
      <c r="J107" s="129">
        <v>11914089</v>
      </c>
      <c r="K107" s="129">
        <v>-3101303</v>
      </c>
      <c r="L107" s="129">
        <v>2067535</v>
      </c>
      <c r="M107" s="129">
        <v>-9474916</v>
      </c>
      <c r="N107" s="755">
        <v>0.25</v>
      </c>
      <c r="O107" s="755">
        <v>0.56000000000000005</v>
      </c>
      <c r="P107" s="755">
        <v>0.17499999999999999</v>
      </c>
      <c r="Q107" s="755">
        <v>1.4999999999999999E-2</v>
      </c>
      <c r="R107" s="755">
        <v>1</v>
      </c>
      <c r="S107" s="129">
        <v>868235</v>
      </c>
      <c r="T107" s="129">
        <v>1944847</v>
      </c>
      <c r="U107" s="129">
        <v>607765</v>
      </c>
      <c r="V107" s="129">
        <v>52094</v>
      </c>
      <c r="W107" s="129">
        <v>3472941</v>
      </c>
      <c r="X107" s="755">
        <v>0.5</v>
      </c>
      <c r="Y107" s="755">
        <v>0.4</v>
      </c>
      <c r="Z107" s="755">
        <v>0.09</v>
      </c>
      <c r="AA107" s="755">
        <v>0.01</v>
      </c>
      <c r="AB107" s="755">
        <v>1</v>
      </c>
      <c r="AC107" s="129">
        <v>-5957045</v>
      </c>
      <c r="AD107" s="129">
        <v>-4765636</v>
      </c>
      <c r="AE107" s="129">
        <v>-1072268</v>
      </c>
      <c r="AF107" s="129">
        <v>-119141</v>
      </c>
      <c r="AG107" s="129">
        <v>-11914089</v>
      </c>
      <c r="AH107" s="755">
        <v>0.5</v>
      </c>
      <c r="AI107" s="755">
        <v>0.4</v>
      </c>
      <c r="AJ107" s="755">
        <v>0.09</v>
      </c>
      <c r="AK107" s="755">
        <v>0.01</v>
      </c>
      <c r="AL107" s="755">
        <v>1</v>
      </c>
      <c r="AM107" s="129">
        <v>-516884</v>
      </c>
      <c r="AN107" s="129">
        <v>-413507</v>
      </c>
      <c r="AO107" s="129">
        <v>-93039</v>
      </c>
      <c r="AP107" s="129">
        <v>-10338</v>
      </c>
      <c r="AQ107" s="129">
        <v>-1033768</v>
      </c>
      <c r="AR107" s="129">
        <v>-5605693</v>
      </c>
      <c r="AS107" s="129">
        <v>-3234296</v>
      </c>
      <c r="AT107" s="129">
        <v>-557542</v>
      </c>
      <c r="AU107" s="129">
        <v>-77384</v>
      </c>
      <c r="AV107" s="129">
        <v>-9474916</v>
      </c>
      <c r="AW107" s="662" t="s">
        <v>82</v>
      </c>
      <c r="AX107" s="324" t="s">
        <v>547</v>
      </c>
      <c r="AY107" s="663" t="s">
        <v>545</v>
      </c>
      <c r="AZ107" s="529" t="s">
        <v>1314</v>
      </c>
    </row>
    <row r="108" spans="1:52" ht="12.75" x14ac:dyDescent="0.2">
      <c r="A108" s="664">
        <v>101</v>
      </c>
      <c r="B108" s="665" t="s">
        <v>85</v>
      </c>
      <c r="C108" s="666" t="s">
        <v>1217</v>
      </c>
      <c r="D108" s="667" t="s">
        <v>1283</v>
      </c>
      <c r="E108" s="668" t="s">
        <v>84</v>
      </c>
      <c r="F108" s="129">
        <v>-44075303</v>
      </c>
      <c r="G108" s="129">
        <v>-454195</v>
      </c>
      <c r="H108" s="129">
        <v>53956943</v>
      </c>
      <c r="I108" s="129">
        <v>1238595</v>
      </c>
      <c r="J108" s="129">
        <v>52718348</v>
      </c>
      <c r="K108" s="129">
        <v>9097240</v>
      </c>
      <c r="L108" s="129">
        <v>0</v>
      </c>
      <c r="M108" s="129">
        <v>-44075303</v>
      </c>
      <c r="N108" s="755">
        <v>0.5</v>
      </c>
      <c r="O108" s="755">
        <v>0.49</v>
      </c>
      <c r="P108" s="755">
        <v>0</v>
      </c>
      <c r="Q108" s="755">
        <v>0.01</v>
      </c>
      <c r="R108" s="755">
        <v>1</v>
      </c>
      <c r="S108" s="129">
        <v>-227098</v>
      </c>
      <c r="T108" s="129">
        <v>-222556</v>
      </c>
      <c r="U108" s="129">
        <v>0</v>
      </c>
      <c r="V108" s="129">
        <v>-4542</v>
      </c>
      <c r="W108" s="129">
        <v>-454195</v>
      </c>
      <c r="X108" s="755">
        <v>0.5</v>
      </c>
      <c r="Y108" s="755">
        <v>0.49</v>
      </c>
      <c r="Z108" s="755">
        <v>0</v>
      </c>
      <c r="AA108" s="755">
        <v>0.01</v>
      </c>
      <c r="AB108" s="755">
        <v>1</v>
      </c>
      <c r="AC108" s="129">
        <v>-21810554</v>
      </c>
      <c r="AD108" s="129">
        <v>-21374343</v>
      </c>
      <c r="AE108" s="129">
        <v>0</v>
      </c>
      <c r="AF108" s="129">
        <v>-436211</v>
      </c>
      <c r="AG108" s="129">
        <v>-43621108</v>
      </c>
      <c r="AH108" s="755">
        <v>0.5</v>
      </c>
      <c r="AI108" s="755">
        <v>0.49</v>
      </c>
      <c r="AJ108" s="755">
        <v>0</v>
      </c>
      <c r="AK108" s="755">
        <v>0.01</v>
      </c>
      <c r="AL108" s="755">
        <v>1</v>
      </c>
      <c r="AM108" s="129">
        <v>0</v>
      </c>
      <c r="AN108" s="129">
        <v>0</v>
      </c>
      <c r="AO108" s="129">
        <v>0</v>
      </c>
      <c r="AP108" s="129">
        <v>0</v>
      </c>
      <c r="AQ108" s="129">
        <v>0</v>
      </c>
      <c r="AR108" s="129">
        <v>-22037652</v>
      </c>
      <c r="AS108" s="129">
        <v>-21596898</v>
      </c>
      <c r="AT108" s="129">
        <v>0</v>
      </c>
      <c r="AU108" s="129">
        <v>-440753</v>
      </c>
      <c r="AV108" s="129">
        <v>-44075303</v>
      </c>
      <c r="AW108" s="662" t="s">
        <v>84</v>
      </c>
      <c r="AX108" s="324" t="s">
        <v>570</v>
      </c>
      <c r="AY108" s="663" t="s">
        <v>573</v>
      </c>
      <c r="AZ108" s="529" t="s">
        <v>1315</v>
      </c>
    </row>
    <row r="109" spans="1:52" ht="12.75" x14ac:dyDescent="0.2">
      <c r="A109" s="664">
        <v>102</v>
      </c>
      <c r="B109" s="665" t="s">
        <v>87</v>
      </c>
      <c r="C109" s="666" t="s">
        <v>1201</v>
      </c>
      <c r="D109" s="667" t="s">
        <v>1206</v>
      </c>
      <c r="E109" s="668" t="s">
        <v>86</v>
      </c>
      <c r="F109" s="129">
        <v>-13535644</v>
      </c>
      <c r="G109" s="129">
        <v>117884</v>
      </c>
      <c r="H109" s="129">
        <v>12458018</v>
      </c>
      <c r="I109" s="129">
        <v>905459</v>
      </c>
      <c r="J109" s="129">
        <v>11552559</v>
      </c>
      <c r="K109" s="129">
        <v>-2100969</v>
      </c>
      <c r="L109" s="129">
        <v>1400646</v>
      </c>
      <c r="M109" s="129">
        <v>-12134998</v>
      </c>
      <c r="N109" s="755">
        <v>0.5</v>
      </c>
      <c r="O109" s="755">
        <v>0.4</v>
      </c>
      <c r="P109" s="755">
        <v>0.09</v>
      </c>
      <c r="Q109" s="755">
        <v>0.01</v>
      </c>
      <c r="R109" s="755">
        <v>1</v>
      </c>
      <c r="S109" s="129">
        <v>58942</v>
      </c>
      <c r="T109" s="129">
        <v>47154</v>
      </c>
      <c r="U109" s="129">
        <v>10610</v>
      </c>
      <c r="V109" s="129">
        <v>1179</v>
      </c>
      <c r="W109" s="129">
        <v>117884</v>
      </c>
      <c r="X109" s="755">
        <v>0.5</v>
      </c>
      <c r="Y109" s="755">
        <v>0.4</v>
      </c>
      <c r="Z109" s="755">
        <v>0.09</v>
      </c>
      <c r="AA109" s="755">
        <v>0.01</v>
      </c>
      <c r="AB109" s="755">
        <v>1</v>
      </c>
      <c r="AC109" s="129">
        <v>-5776279</v>
      </c>
      <c r="AD109" s="129">
        <v>-4621024</v>
      </c>
      <c r="AE109" s="129">
        <v>-1039730</v>
      </c>
      <c r="AF109" s="129">
        <v>-115526</v>
      </c>
      <c r="AG109" s="129">
        <v>-11552559</v>
      </c>
      <c r="AH109" s="755">
        <v>0.5</v>
      </c>
      <c r="AI109" s="755">
        <v>0.4</v>
      </c>
      <c r="AJ109" s="755">
        <v>0.09</v>
      </c>
      <c r="AK109" s="755">
        <v>0.01</v>
      </c>
      <c r="AL109" s="755">
        <v>1</v>
      </c>
      <c r="AM109" s="129">
        <v>-350162</v>
      </c>
      <c r="AN109" s="129">
        <v>-280129</v>
      </c>
      <c r="AO109" s="129">
        <v>-63029</v>
      </c>
      <c r="AP109" s="129">
        <v>-7003</v>
      </c>
      <c r="AQ109" s="129">
        <v>-700323</v>
      </c>
      <c r="AR109" s="129">
        <v>-6067499</v>
      </c>
      <c r="AS109" s="129">
        <v>-4853999</v>
      </c>
      <c r="AT109" s="129">
        <v>-1092150</v>
      </c>
      <c r="AU109" s="129">
        <v>-121350</v>
      </c>
      <c r="AV109" s="129">
        <v>-12134998</v>
      </c>
      <c r="AW109" s="662" t="s">
        <v>86</v>
      </c>
      <c r="AX109" s="324" t="s">
        <v>559</v>
      </c>
      <c r="AY109" s="663" t="s">
        <v>558</v>
      </c>
      <c r="AZ109" s="529" t="s">
        <v>1316</v>
      </c>
    </row>
    <row r="110" spans="1:52" ht="12.75" x14ac:dyDescent="0.2">
      <c r="A110" s="664">
        <v>103</v>
      </c>
      <c r="B110" s="665" t="s">
        <v>89</v>
      </c>
      <c r="C110" s="666" t="s">
        <v>1201</v>
      </c>
      <c r="D110" s="667" t="s">
        <v>1224</v>
      </c>
      <c r="E110" s="668" t="s">
        <v>88</v>
      </c>
      <c r="F110" s="129">
        <v>-27769426</v>
      </c>
      <c r="G110" s="129">
        <v>1092432</v>
      </c>
      <c r="H110" s="129">
        <v>27818413</v>
      </c>
      <c r="I110" s="129">
        <v>710735</v>
      </c>
      <c r="J110" s="129">
        <v>27107678</v>
      </c>
      <c r="K110" s="129">
        <v>-1754180</v>
      </c>
      <c r="L110" s="129">
        <v>1169453</v>
      </c>
      <c r="M110" s="129">
        <v>-26599973</v>
      </c>
      <c r="N110" s="755">
        <v>0.5</v>
      </c>
      <c r="O110" s="755">
        <v>0.4</v>
      </c>
      <c r="P110" s="755">
        <v>0.1</v>
      </c>
      <c r="Q110" s="755">
        <v>0</v>
      </c>
      <c r="R110" s="755">
        <v>1</v>
      </c>
      <c r="S110" s="129">
        <v>546216</v>
      </c>
      <c r="T110" s="129">
        <v>436973</v>
      </c>
      <c r="U110" s="129">
        <v>109243</v>
      </c>
      <c r="V110" s="129">
        <v>0</v>
      </c>
      <c r="W110" s="129">
        <v>1092432</v>
      </c>
      <c r="X110" s="755">
        <v>0.5</v>
      </c>
      <c r="Y110" s="755">
        <v>0.4</v>
      </c>
      <c r="Z110" s="755">
        <v>0.1</v>
      </c>
      <c r="AA110" s="755">
        <v>0</v>
      </c>
      <c r="AB110" s="755">
        <v>1</v>
      </c>
      <c r="AC110" s="129">
        <v>-13553839</v>
      </c>
      <c r="AD110" s="129">
        <v>-10843071</v>
      </c>
      <c r="AE110" s="129">
        <v>-2710768</v>
      </c>
      <c r="AF110" s="129">
        <v>0</v>
      </c>
      <c r="AG110" s="129">
        <v>-27107678</v>
      </c>
      <c r="AH110" s="755">
        <v>0.5</v>
      </c>
      <c r="AI110" s="755">
        <v>0.4</v>
      </c>
      <c r="AJ110" s="755">
        <v>0.1</v>
      </c>
      <c r="AK110" s="755">
        <v>0</v>
      </c>
      <c r="AL110" s="755">
        <v>1</v>
      </c>
      <c r="AM110" s="129">
        <v>-292363</v>
      </c>
      <c r="AN110" s="129">
        <v>-233891</v>
      </c>
      <c r="AO110" s="129">
        <v>-58473</v>
      </c>
      <c r="AP110" s="129">
        <v>0</v>
      </c>
      <c r="AQ110" s="129">
        <v>-584727</v>
      </c>
      <c r="AR110" s="129">
        <v>-13299986</v>
      </c>
      <c r="AS110" s="129">
        <v>-10639989</v>
      </c>
      <c r="AT110" s="129">
        <v>-2659997</v>
      </c>
      <c r="AU110" s="129">
        <v>0</v>
      </c>
      <c r="AV110" s="129">
        <v>-26599973</v>
      </c>
      <c r="AW110" s="662" t="s">
        <v>88</v>
      </c>
      <c r="AX110" s="324" t="s">
        <v>529</v>
      </c>
      <c r="AY110" s="663" t="s">
        <v>512</v>
      </c>
      <c r="AZ110" s="529" t="s">
        <v>1317</v>
      </c>
    </row>
    <row r="111" spans="1:52" ht="12.75" x14ac:dyDescent="0.2">
      <c r="A111" s="664">
        <v>104</v>
      </c>
      <c r="B111" s="665" t="s">
        <v>91</v>
      </c>
      <c r="C111" s="666" t="s">
        <v>1201</v>
      </c>
      <c r="D111" s="667" t="s">
        <v>1202</v>
      </c>
      <c r="E111" s="668" t="s">
        <v>90</v>
      </c>
      <c r="F111" s="129">
        <v>-7367388</v>
      </c>
      <c r="G111" s="129">
        <v>924595</v>
      </c>
      <c r="H111" s="129">
        <v>6806511</v>
      </c>
      <c r="I111" s="129">
        <v>400928</v>
      </c>
      <c r="J111" s="129">
        <v>6405583</v>
      </c>
      <c r="K111" s="129">
        <v>-1886400</v>
      </c>
      <c r="L111" s="129">
        <v>1257600</v>
      </c>
      <c r="M111" s="129">
        <v>-6109788</v>
      </c>
      <c r="N111" s="755">
        <v>0.5</v>
      </c>
      <c r="O111" s="755">
        <v>0.4</v>
      </c>
      <c r="P111" s="755">
        <v>0.09</v>
      </c>
      <c r="Q111" s="755">
        <v>0.01</v>
      </c>
      <c r="R111" s="755">
        <v>1</v>
      </c>
      <c r="S111" s="129">
        <v>462298</v>
      </c>
      <c r="T111" s="129">
        <v>369838</v>
      </c>
      <c r="U111" s="129">
        <v>83214</v>
      </c>
      <c r="V111" s="129">
        <v>9246</v>
      </c>
      <c r="W111" s="129">
        <v>924595</v>
      </c>
      <c r="X111" s="755">
        <v>0.5</v>
      </c>
      <c r="Y111" s="755">
        <v>0.4</v>
      </c>
      <c r="Z111" s="755">
        <v>0.09</v>
      </c>
      <c r="AA111" s="755">
        <v>0.01</v>
      </c>
      <c r="AB111" s="755">
        <v>1</v>
      </c>
      <c r="AC111" s="129">
        <v>-3202792</v>
      </c>
      <c r="AD111" s="129">
        <v>-2562233</v>
      </c>
      <c r="AE111" s="129">
        <v>-576502</v>
      </c>
      <c r="AF111" s="129">
        <v>-64056</v>
      </c>
      <c r="AG111" s="129">
        <v>-6405583</v>
      </c>
      <c r="AH111" s="755">
        <v>0.5</v>
      </c>
      <c r="AI111" s="755">
        <v>0.4</v>
      </c>
      <c r="AJ111" s="755">
        <v>0.09</v>
      </c>
      <c r="AK111" s="755">
        <v>0.01</v>
      </c>
      <c r="AL111" s="755">
        <v>1</v>
      </c>
      <c r="AM111" s="129">
        <v>-314400</v>
      </c>
      <c r="AN111" s="129">
        <v>-251520</v>
      </c>
      <c r="AO111" s="129">
        <v>-56592</v>
      </c>
      <c r="AP111" s="129">
        <v>-6288</v>
      </c>
      <c r="AQ111" s="129">
        <v>-628800</v>
      </c>
      <c r="AR111" s="129">
        <v>-3054894</v>
      </c>
      <c r="AS111" s="129">
        <v>-2443915</v>
      </c>
      <c r="AT111" s="129">
        <v>-549881</v>
      </c>
      <c r="AU111" s="129">
        <v>-61098</v>
      </c>
      <c r="AV111" s="129">
        <v>-6109788</v>
      </c>
      <c r="AW111" s="662" t="s">
        <v>90</v>
      </c>
      <c r="AX111" s="324" t="s">
        <v>532</v>
      </c>
      <c r="AY111" s="663" t="s">
        <v>1914</v>
      </c>
      <c r="AZ111" s="529" t="s">
        <v>1318</v>
      </c>
    </row>
    <row r="112" spans="1:52" ht="12.75" x14ac:dyDescent="0.2">
      <c r="A112" s="664">
        <v>105</v>
      </c>
      <c r="B112" s="665" t="s">
        <v>93</v>
      </c>
      <c r="C112" s="666" t="s">
        <v>1201</v>
      </c>
      <c r="D112" s="667" t="s">
        <v>1202</v>
      </c>
      <c r="E112" s="668" t="s">
        <v>92</v>
      </c>
      <c r="F112" s="129">
        <v>-12549000</v>
      </c>
      <c r="G112" s="129">
        <v>-130000</v>
      </c>
      <c r="H112" s="129">
        <v>11731097</v>
      </c>
      <c r="I112" s="129">
        <v>565690</v>
      </c>
      <c r="J112" s="129">
        <v>11165407</v>
      </c>
      <c r="K112" s="129">
        <v>-1253593</v>
      </c>
      <c r="L112" s="129">
        <v>835729</v>
      </c>
      <c r="M112" s="129">
        <v>-11713271</v>
      </c>
      <c r="N112" s="755">
        <v>0.5</v>
      </c>
      <c r="O112" s="755">
        <v>0.4</v>
      </c>
      <c r="P112" s="755">
        <v>0.09</v>
      </c>
      <c r="Q112" s="755">
        <v>0.01</v>
      </c>
      <c r="R112" s="755">
        <v>1</v>
      </c>
      <c r="S112" s="129">
        <v>-65000</v>
      </c>
      <c r="T112" s="129">
        <v>-52000</v>
      </c>
      <c r="U112" s="129">
        <v>-11700</v>
      </c>
      <c r="V112" s="129">
        <v>-1300</v>
      </c>
      <c r="W112" s="129">
        <v>-130000</v>
      </c>
      <c r="X112" s="755">
        <v>0.5</v>
      </c>
      <c r="Y112" s="755">
        <v>0.4</v>
      </c>
      <c r="Z112" s="755">
        <v>0.09</v>
      </c>
      <c r="AA112" s="755">
        <v>0.01</v>
      </c>
      <c r="AB112" s="755">
        <v>1</v>
      </c>
      <c r="AC112" s="129">
        <v>-5582704</v>
      </c>
      <c r="AD112" s="129">
        <v>-4466163</v>
      </c>
      <c r="AE112" s="129">
        <v>-1004887</v>
      </c>
      <c r="AF112" s="129">
        <v>-111654</v>
      </c>
      <c r="AG112" s="129">
        <v>-11165407</v>
      </c>
      <c r="AH112" s="755">
        <v>0.5</v>
      </c>
      <c r="AI112" s="755">
        <v>0.4</v>
      </c>
      <c r="AJ112" s="755">
        <v>0.09</v>
      </c>
      <c r="AK112" s="755">
        <v>0.01</v>
      </c>
      <c r="AL112" s="755">
        <v>1</v>
      </c>
      <c r="AM112" s="129">
        <v>-208932</v>
      </c>
      <c r="AN112" s="129">
        <v>-167146</v>
      </c>
      <c r="AO112" s="129">
        <v>-37608</v>
      </c>
      <c r="AP112" s="129">
        <v>-4179</v>
      </c>
      <c r="AQ112" s="129">
        <v>-417864</v>
      </c>
      <c r="AR112" s="129">
        <v>-5856636</v>
      </c>
      <c r="AS112" s="129">
        <v>-4685309</v>
      </c>
      <c r="AT112" s="129">
        <v>-1054194</v>
      </c>
      <c r="AU112" s="129">
        <v>-117133</v>
      </c>
      <c r="AV112" s="129">
        <v>-11713271</v>
      </c>
      <c r="AW112" s="662" t="s">
        <v>92</v>
      </c>
      <c r="AX112" s="324" t="s">
        <v>543</v>
      </c>
      <c r="AY112" s="663" t="s">
        <v>542</v>
      </c>
      <c r="AZ112" s="529" t="s">
        <v>1319</v>
      </c>
    </row>
    <row r="113" spans="1:52" ht="12.75" x14ac:dyDescent="0.2">
      <c r="A113" s="664">
        <v>106</v>
      </c>
      <c r="B113" s="665" t="s">
        <v>95</v>
      </c>
      <c r="C113" s="666" t="s">
        <v>1201</v>
      </c>
      <c r="D113" s="667" t="s">
        <v>1211</v>
      </c>
      <c r="E113" s="668" t="s">
        <v>94</v>
      </c>
      <c r="F113" s="129">
        <v>-20636790</v>
      </c>
      <c r="G113" s="129">
        <v>-822943</v>
      </c>
      <c r="H113" s="129">
        <v>17798408</v>
      </c>
      <c r="I113" s="129">
        <v>895341</v>
      </c>
      <c r="J113" s="129">
        <v>16903067</v>
      </c>
      <c r="K113" s="129">
        <v>-2910780</v>
      </c>
      <c r="L113" s="129">
        <v>1940520</v>
      </c>
      <c r="M113" s="129">
        <v>-18696270</v>
      </c>
      <c r="N113" s="755">
        <v>0.25</v>
      </c>
      <c r="O113" s="755">
        <v>0.42499999999999999</v>
      </c>
      <c r="P113" s="755">
        <v>0.32500000000000001</v>
      </c>
      <c r="Q113" s="755">
        <v>0</v>
      </c>
      <c r="R113" s="755">
        <v>1</v>
      </c>
      <c r="S113" s="129">
        <v>-205736</v>
      </c>
      <c r="T113" s="129">
        <v>-349751</v>
      </c>
      <c r="U113" s="129">
        <v>-267456</v>
      </c>
      <c r="V113" s="129">
        <v>0</v>
      </c>
      <c r="W113" s="129">
        <v>-822943</v>
      </c>
      <c r="X113" s="755">
        <v>0.5</v>
      </c>
      <c r="Y113" s="755">
        <v>0.4</v>
      </c>
      <c r="Z113" s="755">
        <v>0.1</v>
      </c>
      <c r="AA113" s="755">
        <v>0</v>
      </c>
      <c r="AB113" s="755">
        <v>1</v>
      </c>
      <c r="AC113" s="129">
        <v>-8451534</v>
      </c>
      <c r="AD113" s="129">
        <v>-6761227</v>
      </c>
      <c r="AE113" s="129">
        <v>-1690307</v>
      </c>
      <c r="AF113" s="129">
        <v>0</v>
      </c>
      <c r="AG113" s="129">
        <v>-16903067</v>
      </c>
      <c r="AH113" s="755">
        <v>0.5</v>
      </c>
      <c r="AI113" s="755">
        <v>0.4</v>
      </c>
      <c r="AJ113" s="755">
        <v>0.1</v>
      </c>
      <c r="AK113" s="755">
        <v>0</v>
      </c>
      <c r="AL113" s="755">
        <v>1</v>
      </c>
      <c r="AM113" s="129">
        <v>-485130</v>
      </c>
      <c r="AN113" s="129">
        <v>-388104</v>
      </c>
      <c r="AO113" s="129">
        <v>-97026</v>
      </c>
      <c r="AP113" s="129">
        <v>0</v>
      </c>
      <c r="AQ113" s="129">
        <v>-970260</v>
      </c>
      <c r="AR113" s="129">
        <v>-9142399</v>
      </c>
      <c r="AS113" s="129">
        <v>-7499082</v>
      </c>
      <c r="AT113" s="129">
        <v>-2054789</v>
      </c>
      <c r="AU113" s="129">
        <v>0</v>
      </c>
      <c r="AV113" s="129">
        <v>-18696270</v>
      </c>
      <c r="AW113" s="662" t="s">
        <v>94</v>
      </c>
      <c r="AX113" s="324" t="s">
        <v>553</v>
      </c>
      <c r="AY113" s="663" t="s">
        <v>512</v>
      </c>
      <c r="AZ113" s="529" t="s">
        <v>1320</v>
      </c>
    </row>
    <row r="114" spans="1:52" ht="12.75" x14ac:dyDescent="0.2">
      <c r="A114" s="664">
        <v>107</v>
      </c>
      <c r="B114" s="665" t="s">
        <v>97</v>
      </c>
      <c r="C114" s="666" t="s">
        <v>1257</v>
      </c>
      <c r="D114" s="667" t="s">
        <v>1214</v>
      </c>
      <c r="E114" s="668" t="s">
        <v>96</v>
      </c>
      <c r="F114" s="129">
        <v>-65968739</v>
      </c>
      <c r="G114" s="129">
        <v>-187324</v>
      </c>
      <c r="H114" s="129">
        <v>60283737</v>
      </c>
      <c r="I114" s="129">
        <v>2753817</v>
      </c>
      <c r="J114" s="129">
        <v>57529920</v>
      </c>
      <c r="K114" s="129">
        <v>-8251495</v>
      </c>
      <c r="L114" s="129">
        <v>5500997</v>
      </c>
      <c r="M114" s="129">
        <v>-60467742</v>
      </c>
      <c r="N114" s="755">
        <v>0.25</v>
      </c>
      <c r="O114" s="755">
        <v>0.48</v>
      </c>
      <c r="P114" s="755">
        <v>0.27</v>
      </c>
      <c r="Q114" s="755">
        <v>0</v>
      </c>
      <c r="R114" s="755">
        <v>1</v>
      </c>
      <c r="S114" s="129">
        <v>-46831</v>
      </c>
      <c r="T114" s="129">
        <v>-89916</v>
      </c>
      <c r="U114" s="129">
        <v>-50577</v>
      </c>
      <c r="V114" s="129">
        <v>0</v>
      </c>
      <c r="W114" s="129">
        <v>-187324</v>
      </c>
      <c r="X114" s="755">
        <v>0.33</v>
      </c>
      <c r="Y114" s="755">
        <v>0.3</v>
      </c>
      <c r="Z114" s="755">
        <v>0.37</v>
      </c>
      <c r="AA114" s="755">
        <v>0</v>
      </c>
      <c r="AB114" s="755">
        <v>1</v>
      </c>
      <c r="AC114" s="129">
        <v>-18984874</v>
      </c>
      <c r="AD114" s="129">
        <v>-17258976</v>
      </c>
      <c r="AE114" s="129">
        <v>-21286070</v>
      </c>
      <c r="AF114" s="129">
        <v>0</v>
      </c>
      <c r="AG114" s="129">
        <v>-57529920</v>
      </c>
      <c r="AH114" s="755">
        <v>0.33</v>
      </c>
      <c r="AI114" s="755">
        <v>0.3</v>
      </c>
      <c r="AJ114" s="755">
        <v>0.37</v>
      </c>
      <c r="AK114" s="755">
        <v>0</v>
      </c>
      <c r="AL114" s="755">
        <v>1</v>
      </c>
      <c r="AM114" s="129">
        <v>-907664</v>
      </c>
      <c r="AN114" s="129">
        <v>-825150</v>
      </c>
      <c r="AO114" s="129">
        <v>-1017684</v>
      </c>
      <c r="AP114" s="129">
        <v>0</v>
      </c>
      <c r="AQ114" s="129">
        <v>-2750498</v>
      </c>
      <c r="AR114" s="129">
        <v>-19939369</v>
      </c>
      <c r="AS114" s="129">
        <v>-18174041</v>
      </c>
      <c r="AT114" s="129">
        <v>-22354332</v>
      </c>
      <c r="AU114" s="129">
        <v>0</v>
      </c>
      <c r="AV114" s="129">
        <v>-60467742</v>
      </c>
      <c r="AW114" s="662" t="s">
        <v>96</v>
      </c>
      <c r="AX114" s="324" t="s">
        <v>576</v>
      </c>
      <c r="AY114" s="669" t="s">
        <v>485</v>
      </c>
      <c r="AZ114" s="529" t="s">
        <v>1321</v>
      </c>
    </row>
    <row r="115" spans="1:52" ht="12.75" x14ac:dyDescent="0.2">
      <c r="A115" s="664">
        <v>108</v>
      </c>
      <c r="B115" s="665" t="s">
        <v>99</v>
      </c>
      <c r="C115" s="666" t="s">
        <v>1201</v>
      </c>
      <c r="D115" s="667" t="s">
        <v>1202</v>
      </c>
      <c r="E115" s="668" t="s">
        <v>98</v>
      </c>
      <c r="F115" s="129">
        <v>-50300193</v>
      </c>
      <c r="G115" s="129">
        <v>-11727329</v>
      </c>
      <c r="H115" s="129">
        <v>43753432</v>
      </c>
      <c r="I115" s="129">
        <v>1535118</v>
      </c>
      <c r="J115" s="129">
        <v>42218314</v>
      </c>
      <c r="K115" s="129">
        <v>3645450</v>
      </c>
      <c r="L115" s="129">
        <v>0</v>
      </c>
      <c r="M115" s="129">
        <v>-50300193</v>
      </c>
      <c r="N115" s="755">
        <v>0.5</v>
      </c>
      <c r="O115" s="755">
        <v>0.4</v>
      </c>
      <c r="P115" s="755">
        <v>0.1</v>
      </c>
      <c r="Q115" s="755">
        <v>0</v>
      </c>
      <c r="R115" s="755">
        <v>1</v>
      </c>
      <c r="S115" s="129">
        <v>-5863665</v>
      </c>
      <c r="T115" s="129">
        <v>-4690932</v>
      </c>
      <c r="U115" s="129">
        <v>-1172733</v>
      </c>
      <c r="V115" s="129">
        <v>0</v>
      </c>
      <c r="W115" s="129">
        <v>-11727329</v>
      </c>
      <c r="X115" s="755">
        <v>0.5</v>
      </c>
      <c r="Y115" s="755">
        <v>0.4</v>
      </c>
      <c r="Z115" s="755">
        <v>0.1</v>
      </c>
      <c r="AA115" s="755">
        <v>0</v>
      </c>
      <c r="AB115" s="755">
        <v>1</v>
      </c>
      <c r="AC115" s="129">
        <v>-19286432</v>
      </c>
      <c r="AD115" s="129">
        <v>-15429146</v>
      </c>
      <c r="AE115" s="129">
        <v>-3857286</v>
      </c>
      <c r="AF115" s="129">
        <v>0</v>
      </c>
      <c r="AG115" s="129">
        <v>-38572864</v>
      </c>
      <c r="AH115" s="755">
        <v>0.5</v>
      </c>
      <c r="AI115" s="755">
        <v>0.4</v>
      </c>
      <c r="AJ115" s="755">
        <v>0.1</v>
      </c>
      <c r="AK115" s="755">
        <v>0</v>
      </c>
      <c r="AL115" s="755">
        <v>1</v>
      </c>
      <c r="AM115" s="129">
        <v>0</v>
      </c>
      <c r="AN115" s="129">
        <v>0</v>
      </c>
      <c r="AO115" s="129">
        <v>0</v>
      </c>
      <c r="AP115" s="129">
        <v>0</v>
      </c>
      <c r="AQ115" s="129">
        <v>0</v>
      </c>
      <c r="AR115" s="129">
        <v>-25150097</v>
      </c>
      <c r="AS115" s="129">
        <v>-20120077</v>
      </c>
      <c r="AT115" s="129">
        <v>-5030019</v>
      </c>
      <c r="AU115" s="129">
        <v>0</v>
      </c>
      <c r="AV115" s="129">
        <v>-50300193</v>
      </c>
      <c r="AW115" s="662" t="s">
        <v>98</v>
      </c>
      <c r="AX115" s="324" t="s">
        <v>566</v>
      </c>
      <c r="AY115" s="663" t="s">
        <v>512</v>
      </c>
      <c r="AZ115" s="529" t="s">
        <v>1322</v>
      </c>
    </row>
    <row r="116" spans="1:52" ht="12.75" x14ac:dyDescent="0.2">
      <c r="A116" s="664">
        <v>109</v>
      </c>
      <c r="B116" s="665" t="s">
        <v>101</v>
      </c>
      <c r="C116" s="666" t="s">
        <v>1257</v>
      </c>
      <c r="D116" s="667" t="s">
        <v>1214</v>
      </c>
      <c r="E116" s="668" t="s">
        <v>100</v>
      </c>
      <c r="F116" s="129">
        <v>-72641878</v>
      </c>
      <c r="G116" s="129">
        <v>11156</v>
      </c>
      <c r="H116" s="129">
        <v>51001479</v>
      </c>
      <c r="I116" s="129">
        <v>4445370</v>
      </c>
      <c r="J116" s="129">
        <v>46556109</v>
      </c>
      <c r="K116" s="129">
        <v>-26096925</v>
      </c>
      <c r="L116" s="129">
        <v>17397950</v>
      </c>
      <c r="M116" s="129">
        <v>-55243928</v>
      </c>
      <c r="N116" s="755">
        <v>0.25</v>
      </c>
      <c r="O116" s="755">
        <v>0.48</v>
      </c>
      <c r="P116" s="755">
        <v>0.27</v>
      </c>
      <c r="Q116" s="755">
        <v>0</v>
      </c>
      <c r="R116" s="755">
        <v>1</v>
      </c>
      <c r="S116" s="129">
        <v>2789</v>
      </c>
      <c r="T116" s="129">
        <v>5355</v>
      </c>
      <c r="U116" s="129">
        <v>3012</v>
      </c>
      <c r="V116" s="129">
        <v>0</v>
      </c>
      <c r="W116" s="129">
        <v>11156</v>
      </c>
      <c r="X116" s="755">
        <v>0.33</v>
      </c>
      <c r="Y116" s="755">
        <v>0.3</v>
      </c>
      <c r="Z116" s="755">
        <v>0.37</v>
      </c>
      <c r="AA116" s="755">
        <v>0</v>
      </c>
      <c r="AB116" s="755">
        <v>1</v>
      </c>
      <c r="AC116" s="129">
        <v>-15363516</v>
      </c>
      <c r="AD116" s="129">
        <v>-13966833</v>
      </c>
      <c r="AE116" s="129">
        <v>-17225760</v>
      </c>
      <c r="AF116" s="129">
        <v>0</v>
      </c>
      <c r="AG116" s="129">
        <v>-46556109</v>
      </c>
      <c r="AH116" s="755">
        <v>0.33</v>
      </c>
      <c r="AI116" s="755">
        <v>0.3</v>
      </c>
      <c r="AJ116" s="755">
        <v>0.37</v>
      </c>
      <c r="AK116" s="755">
        <v>0</v>
      </c>
      <c r="AL116" s="755">
        <v>1</v>
      </c>
      <c r="AM116" s="129">
        <v>-2870662</v>
      </c>
      <c r="AN116" s="129">
        <v>-2609693</v>
      </c>
      <c r="AO116" s="129">
        <v>-3218621</v>
      </c>
      <c r="AP116" s="129">
        <v>0</v>
      </c>
      <c r="AQ116" s="129">
        <v>-8698975</v>
      </c>
      <c r="AR116" s="129">
        <v>-18231389</v>
      </c>
      <c r="AS116" s="129">
        <v>-16571170</v>
      </c>
      <c r="AT116" s="129">
        <v>-20441369</v>
      </c>
      <c r="AU116" s="129">
        <v>0</v>
      </c>
      <c r="AV116" s="129">
        <v>-55243928</v>
      </c>
      <c r="AW116" s="662" t="s">
        <v>100</v>
      </c>
      <c r="AX116" s="324" t="s">
        <v>576</v>
      </c>
      <c r="AY116" s="669" t="s">
        <v>485</v>
      </c>
      <c r="AZ116" s="529" t="s">
        <v>1323</v>
      </c>
    </row>
    <row r="117" spans="1:52" ht="12.75" x14ac:dyDescent="0.2">
      <c r="A117" s="664">
        <v>110</v>
      </c>
      <c r="B117" s="665" t="s">
        <v>103</v>
      </c>
      <c r="C117" s="666" t="s">
        <v>486</v>
      </c>
      <c r="D117" s="667" t="s">
        <v>1204</v>
      </c>
      <c r="E117" s="668" t="s">
        <v>504</v>
      </c>
      <c r="F117" s="129">
        <v>-23122811</v>
      </c>
      <c r="G117" s="129">
        <v>-2222432</v>
      </c>
      <c r="H117" s="129">
        <v>14095602</v>
      </c>
      <c r="I117" s="129">
        <v>769946</v>
      </c>
      <c r="J117" s="129">
        <v>13325656</v>
      </c>
      <c r="K117" s="129">
        <v>-7574723</v>
      </c>
      <c r="L117" s="129">
        <v>5049815</v>
      </c>
      <c r="M117" s="129">
        <v>-18072996</v>
      </c>
      <c r="N117" s="755">
        <v>0</v>
      </c>
      <c r="O117" s="755">
        <v>0.99</v>
      </c>
      <c r="P117" s="755">
        <v>0</v>
      </c>
      <c r="Q117" s="755">
        <v>0.01</v>
      </c>
      <c r="R117" s="755">
        <v>1</v>
      </c>
      <c r="S117" s="129">
        <v>0</v>
      </c>
      <c r="T117" s="129">
        <v>-2200208</v>
      </c>
      <c r="U117" s="129">
        <v>0</v>
      </c>
      <c r="V117" s="129">
        <v>-22224</v>
      </c>
      <c r="W117" s="129">
        <v>-2222432</v>
      </c>
      <c r="X117" s="755">
        <v>0</v>
      </c>
      <c r="Y117" s="755">
        <v>0.99</v>
      </c>
      <c r="Z117" s="755">
        <v>0</v>
      </c>
      <c r="AA117" s="755">
        <v>0.01</v>
      </c>
      <c r="AB117" s="755">
        <v>1</v>
      </c>
      <c r="AC117" s="129">
        <v>0</v>
      </c>
      <c r="AD117" s="129">
        <v>-13192399</v>
      </c>
      <c r="AE117" s="129">
        <v>0</v>
      </c>
      <c r="AF117" s="129">
        <v>-133257</v>
      </c>
      <c r="AG117" s="129">
        <v>-13325656</v>
      </c>
      <c r="AH117" s="755">
        <v>0</v>
      </c>
      <c r="AI117" s="755">
        <v>0.99</v>
      </c>
      <c r="AJ117" s="755">
        <v>0</v>
      </c>
      <c r="AK117" s="755">
        <v>0.01</v>
      </c>
      <c r="AL117" s="755">
        <v>1</v>
      </c>
      <c r="AM117" s="129">
        <v>0</v>
      </c>
      <c r="AN117" s="129">
        <v>-2499659</v>
      </c>
      <c r="AO117" s="129">
        <v>0</v>
      </c>
      <c r="AP117" s="129">
        <v>-25249</v>
      </c>
      <c r="AQ117" s="129">
        <v>-2524908</v>
      </c>
      <c r="AR117" s="129">
        <v>0</v>
      </c>
      <c r="AS117" s="129">
        <v>-17892266</v>
      </c>
      <c r="AT117" s="129">
        <v>0</v>
      </c>
      <c r="AU117" s="129">
        <v>-180730</v>
      </c>
      <c r="AV117" s="129">
        <v>-18072996</v>
      </c>
      <c r="AW117" s="662" t="s">
        <v>504</v>
      </c>
      <c r="AX117" s="324" t="s">
        <v>486</v>
      </c>
      <c r="AY117" s="663" t="s">
        <v>505</v>
      </c>
      <c r="AZ117" s="529" t="s">
        <v>1324</v>
      </c>
    </row>
    <row r="118" spans="1:52" ht="12.75" x14ac:dyDescent="0.2">
      <c r="A118" s="664">
        <v>111</v>
      </c>
      <c r="B118" s="665" t="s">
        <v>105</v>
      </c>
      <c r="C118" s="666" t="s">
        <v>1201</v>
      </c>
      <c r="D118" s="667" t="s">
        <v>1218</v>
      </c>
      <c r="E118" s="668" t="s">
        <v>104</v>
      </c>
      <c r="F118" s="129">
        <v>-11681978</v>
      </c>
      <c r="G118" s="129">
        <v>16452</v>
      </c>
      <c r="H118" s="129">
        <v>11768579</v>
      </c>
      <c r="I118" s="129">
        <v>709403</v>
      </c>
      <c r="J118" s="129">
        <v>11059176</v>
      </c>
      <c r="K118" s="129">
        <v>-639254</v>
      </c>
      <c r="L118" s="129">
        <v>426169</v>
      </c>
      <c r="M118" s="129">
        <v>-11255809</v>
      </c>
      <c r="N118" s="755">
        <v>0.25</v>
      </c>
      <c r="O118" s="755">
        <v>0.52500000000000002</v>
      </c>
      <c r="P118" s="755">
        <v>0.215</v>
      </c>
      <c r="Q118" s="755">
        <v>0.01</v>
      </c>
      <c r="R118" s="755">
        <v>1</v>
      </c>
      <c r="S118" s="129">
        <v>4113</v>
      </c>
      <c r="T118" s="129">
        <v>8637</v>
      </c>
      <c r="U118" s="129">
        <v>3537</v>
      </c>
      <c r="V118" s="129">
        <v>165</v>
      </c>
      <c r="W118" s="129">
        <v>16452</v>
      </c>
      <c r="X118" s="755">
        <v>0.5</v>
      </c>
      <c r="Y118" s="755">
        <v>0.4</v>
      </c>
      <c r="Z118" s="755">
        <v>0.09</v>
      </c>
      <c r="AA118" s="755">
        <v>0.01</v>
      </c>
      <c r="AB118" s="755">
        <v>1</v>
      </c>
      <c r="AC118" s="129">
        <v>-5529588</v>
      </c>
      <c r="AD118" s="129">
        <v>-4423670</v>
      </c>
      <c r="AE118" s="129">
        <v>-995326</v>
      </c>
      <c r="AF118" s="129">
        <v>-110592</v>
      </c>
      <c r="AG118" s="129">
        <v>-11059176</v>
      </c>
      <c r="AH118" s="755">
        <v>0.5</v>
      </c>
      <c r="AI118" s="755">
        <v>0.4</v>
      </c>
      <c r="AJ118" s="755">
        <v>0.09</v>
      </c>
      <c r="AK118" s="755">
        <v>0.01</v>
      </c>
      <c r="AL118" s="755">
        <v>1</v>
      </c>
      <c r="AM118" s="129">
        <v>-106542</v>
      </c>
      <c r="AN118" s="129">
        <v>-85234</v>
      </c>
      <c r="AO118" s="129">
        <v>-19178</v>
      </c>
      <c r="AP118" s="129">
        <v>-2131</v>
      </c>
      <c r="AQ118" s="129">
        <v>-213085</v>
      </c>
      <c r="AR118" s="129">
        <v>-5632017</v>
      </c>
      <c r="AS118" s="129">
        <v>-4500267</v>
      </c>
      <c r="AT118" s="129">
        <v>-1010966</v>
      </c>
      <c r="AU118" s="129">
        <v>-112558</v>
      </c>
      <c r="AV118" s="129">
        <v>-11255809</v>
      </c>
      <c r="AW118" s="662" t="s">
        <v>104</v>
      </c>
      <c r="AX118" s="324" t="s">
        <v>556</v>
      </c>
      <c r="AY118" s="663" t="s">
        <v>555</v>
      </c>
      <c r="AZ118" s="529" t="s">
        <v>1325</v>
      </c>
    </row>
    <row r="119" spans="1:52" ht="12.75" x14ac:dyDescent="0.2">
      <c r="A119" s="664">
        <v>112</v>
      </c>
      <c r="B119" s="665" t="s">
        <v>107</v>
      </c>
      <c r="C119" s="666" t="s">
        <v>1257</v>
      </c>
      <c r="D119" s="667" t="s">
        <v>1214</v>
      </c>
      <c r="E119" s="668" t="s">
        <v>106</v>
      </c>
      <c r="F119" s="129">
        <v>-141194645</v>
      </c>
      <c r="G119" s="129">
        <v>-1054398</v>
      </c>
      <c r="H119" s="129">
        <v>131182556</v>
      </c>
      <c r="I119" s="129">
        <v>8678867</v>
      </c>
      <c r="J119" s="129">
        <v>122503689</v>
      </c>
      <c r="K119" s="129">
        <v>-17636558</v>
      </c>
      <c r="L119" s="129">
        <v>11757705</v>
      </c>
      <c r="M119" s="129">
        <v>-129436940</v>
      </c>
      <c r="N119" s="755">
        <v>0.25</v>
      </c>
      <c r="O119" s="755">
        <v>0.48</v>
      </c>
      <c r="P119" s="755">
        <v>0.27</v>
      </c>
      <c r="Q119" s="755">
        <v>0</v>
      </c>
      <c r="R119" s="755">
        <v>1</v>
      </c>
      <c r="S119" s="129">
        <v>-263600</v>
      </c>
      <c r="T119" s="129">
        <v>-506111</v>
      </c>
      <c r="U119" s="129">
        <v>-284687</v>
      </c>
      <c r="V119" s="129">
        <v>0</v>
      </c>
      <c r="W119" s="129">
        <v>-1054398</v>
      </c>
      <c r="X119" s="755">
        <v>0.33</v>
      </c>
      <c r="Y119" s="755">
        <v>0.3</v>
      </c>
      <c r="Z119" s="755">
        <v>0.37</v>
      </c>
      <c r="AA119" s="755">
        <v>0</v>
      </c>
      <c r="AB119" s="755">
        <v>1</v>
      </c>
      <c r="AC119" s="129">
        <v>-40426217</v>
      </c>
      <c r="AD119" s="129">
        <v>-36751107</v>
      </c>
      <c r="AE119" s="129">
        <v>-45326365</v>
      </c>
      <c r="AF119" s="129">
        <v>0</v>
      </c>
      <c r="AG119" s="129">
        <v>-122503689</v>
      </c>
      <c r="AH119" s="755">
        <v>0.33</v>
      </c>
      <c r="AI119" s="755">
        <v>0.3</v>
      </c>
      <c r="AJ119" s="755">
        <v>0.37</v>
      </c>
      <c r="AK119" s="755">
        <v>0</v>
      </c>
      <c r="AL119" s="755">
        <v>1</v>
      </c>
      <c r="AM119" s="129">
        <v>-1940021</v>
      </c>
      <c r="AN119" s="129">
        <v>-1763656</v>
      </c>
      <c r="AO119" s="129">
        <v>-2175175</v>
      </c>
      <c r="AP119" s="129">
        <v>0</v>
      </c>
      <c r="AQ119" s="129">
        <v>-5878853</v>
      </c>
      <c r="AR119" s="129">
        <v>-42629838</v>
      </c>
      <c r="AS119" s="129">
        <v>-39020874</v>
      </c>
      <c r="AT119" s="129">
        <v>-47786228</v>
      </c>
      <c r="AU119" s="129">
        <v>0</v>
      </c>
      <c r="AV119" s="129">
        <v>-129436940</v>
      </c>
      <c r="AW119" s="662" t="s">
        <v>106</v>
      </c>
      <c r="AX119" s="324" t="s">
        <v>576</v>
      </c>
      <c r="AY119" s="669" t="s">
        <v>485</v>
      </c>
      <c r="AZ119" s="529" t="s">
        <v>1326</v>
      </c>
    </row>
    <row r="120" spans="1:52" ht="12.75" x14ac:dyDescent="0.2">
      <c r="A120" s="664">
        <v>113</v>
      </c>
      <c r="B120" s="665" t="s">
        <v>109</v>
      </c>
      <c r="C120" s="666" t="s">
        <v>1201</v>
      </c>
      <c r="D120" s="667" t="s">
        <v>1206</v>
      </c>
      <c r="E120" s="668" t="s">
        <v>108</v>
      </c>
      <c r="F120" s="129">
        <v>-12403195</v>
      </c>
      <c r="G120" s="129">
        <v>2101281</v>
      </c>
      <c r="H120" s="129">
        <v>9083980</v>
      </c>
      <c r="I120" s="129">
        <v>611257</v>
      </c>
      <c r="J120" s="129">
        <v>8472723</v>
      </c>
      <c r="K120" s="129">
        <v>-6031753</v>
      </c>
      <c r="L120" s="129">
        <v>4021169</v>
      </c>
      <c r="M120" s="129">
        <v>-8382026</v>
      </c>
      <c r="N120" s="755">
        <v>0.25</v>
      </c>
      <c r="O120" s="755">
        <v>0.375</v>
      </c>
      <c r="P120" s="755">
        <v>0.36499999999999999</v>
      </c>
      <c r="Q120" s="755">
        <v>0.01</v>
      </c>
      <c r="R120" s="755">
        <v>1</v>
      </c>
      <c r="S120" s="129">
        <v>525320</v>
      </c>
      <c r="T120" s="129">
        <v>787980</v>
      </c>
      <c r="U120" s="129">
        <v>766968</v>
      </c>
      <c r="V120" s="129">
        <v>21013</v>
      </c>
      <c r="W120" s="129">
        <v>2101281</v>
      </c>
      <c r="X120" s="755">
        <v>0.5</v>
      </c>
      <c r="Y120" s="755">
        <v>0.4</v>
      </c>
      <c r="Z120" s="755">
        <v>0.09</v>
      </c>
      <c r="AA120" s="755">
        <v>0.01</v>
      </c>
      <c r="AB120" s="755">
        <v>1</v>
      </c>
      <c r="AC120" s="129">
        <v>-4236362</v>
      </c>
      <c r="AD120" s="129">
        <v>-3389089</v>
      </c>
      <c r="AE120" s="129">
        <v>-762545</v>
      </c>
      <c r="AF120" s="129">
        <v>-84727</v>
      </c>
      <c r="AG120" s="129">
        <v>-8472723</v>
      </c>
      <c r="AH120" s="755">
        <v>0.5</v>
      </c>
      <c r="AI120" s="755">
        <v>0.4</v>
      </c>
      <c r="AJ120" s="755">
        <v>0.09</v>
      </c>
      <c r="AK120" s="755">
        <v>0.01</v>
      </c>
      <c r="AL120" s="755">
        <v>1</v>
      </c>
      <c r="AM120" s="129">
        <v>-1005292</v>
      </c>
      <c r="AN120" s="129">
        <v>-804234</v>
      </c>
      <c r="AO120" s="129">
        <v>-180953</v>
      </c>
      <c r="AP120" s="129">
        <v>-20106</v>
      </c>
      <c r="AQ120" s="129">
        <v>-2010584</v>
      </c>
      <c r="AR120" s="129">
        <v>-4716333</v>
      </c>
      <c r="AS120" s="129">
        <v>-3405343</v>
      </c>
      <c r="AT120" s="129">
        <v>-176530</v>
      </c>
      <c r="AU120" s="129">
        <v>-83820</v>
      </c>
      <c r="AV120" s="129">
        <v>-8382026</v>
      </c>
      <c r="AW120" s="662" t="s">
        <v>108</v>
      </c>
      <c r="AX120" s="324" t="s">
        <v>551</v>
      </c>
      <c r="AY120" s="663" t="s">
        <v>549</v>
      </c>
      <c r="AZ120" s="529" t="s">
        <v>1327</v>
      </c>
    </row>
    <row r="121" spans="1:52" ht="12.75" x14ac:dyDescent="0.2">
      <c r="A121" s="664">
        <v>114</v>
      </c>
      <c r="B121" s="665" t="s">
        <v>111</v>
      </c>
      <c r="C121" s="666" t="s">
        <v>1213</v>
      </c>
      <c r="D121" s="667" t="s">
        <v>1214</v>
      </c>
      <c r="E121" s="668" t="s">
        <v>110</v>
      </c>
      <c r="F121" s="129">
        <v>-48804332</v>
      </c>
      <c r="G121" s="129">
        <v>-2760089</v>
      </c>
      <c r="H121" s="129">
        <v>47259569</v>
      </c>
      <c r="I121" s="129">
        <v>3927856</v>
      </c>
      <c r="J121" s="129">
        <v>43331713</v>
      </c>
      <c r="K121" s="129">
        <v>-2712530</v>
      </c>
      <c r="L121" s="129">
        <v>1808353</v>
      </c>
      <c r="M121" s="129">
        <v>-46995979</v>
      </c>
      <c r="N121" s="755">
        <v>0.25</v>
      </c>
      <c r="O121" s="755">
        <v>0.48</v>
      </c>
      <c r="P121" s="755">
        <v>0.27</v>
      </c>
      <c r="Q121" s="755">
        <v>0</v>
      </c>
      <c r="R121" s="755">
        <v>1</v>
      </c>
      <c r="S121" s="129">
        <v>-690022</v>
      </c>
      <c r="T121" s="129">
        <v>-1324843</v>
      </c>
      <c r="U121" s="129">
        <v>-745224</v>
      </c>
      <c r="V121" s="129">
        <v>0</v>
      </c>
      <c r="W121" s="129">
        <v>-2760089</v>
      </c>
      <c r="X121" s="755">
        <v>0.33</v>
      </c>
      <c r="Y121" s="755">
        <v>0.3</v>
      </c>
      <c r="Z121" s="755">
        <v>0.37</v>
      </c>
      <c r="AA121" s="755">
        <v>0</v>
      </c>
      <c r="AB121" s="755">
        <v>1</v>
      </c>
      <c r="AC121" s="129">
        <v>-14299465</v>
      </c>
      <c r="AD121" s="129">
        <v>-12999514</v>
      </c>
      <c r="AE121" s="129">
        <v>-16032734</v>
      </c>
      <c r="AF121" s="129">
        <v>0</v>
      </c>
      <c r="AG121" s="129">
        <v>-43331713</v>
      </c>
      <c r="AH121" s="755">
        <v>0.33</v>
      </c>
      <c r="AI121" s="755">
        <v>0.3</v>
      </c>
      <c r="AJ121" s="755">
        <v>0.37</v>
      </c>
      <c r="AK121" s="755">
        <v>0</v>
      </c>
      <c r="AL121" s="755">
        <v>1</v>
      </c>
      <c r="AM121" s="129">
        <v>-298378</v>
      </c>
      <c r="AN121" s="129">
        <v>-271253</v>
      </c>
      <c r="AO121" s="129">
        <v>-334545</v>
      </c>
      <c r="AP121" s="129">
        <v>0</v>
      </c>
      <c r="AQ121" s="129">
        <v>-904177</v>
      </c>
      <c r="AR121" s="129">
        <v>-15287866</v>
      </c>
      <c r="AS121" s="129">
        <v>-14595610</v>
      </c>
      <c r="AT121" s="129">
        <v>-17112503</v>
      </c>
      <c r="AU121" s="129">
        <v>0</v>
      </c>
      <c r="AV121" s="129">
        <v>-46995979</v>
      </c>
      <c r="AW121" s="662" t="s">
        <v>110</v>
      </c>
      <c r="AX121" s="324" t="s">
        <v>576</v>
      </c>
      <c r="AY121" s="669" t="s">
        <v>485</v>
      </c>
      <c r="AZ121" s="529" t="s">
        <v>1328</v>
      </c>
    </row>
    <row r="122" spans="1:52" ht="12.75" x14ac:dyDescent="0.2">
      <c r="A122" s="664">
        <v>115</v>
      </c>
      <c r="B122" s="665" t="s">
        <v>113</v>
      </c>
      <c r="C122" s="666" t="s">
        <v>1201</v>
      </c>
      <c r="D122" s="667" t="s">
        <v>1211</v>
      </c>
      <c r="E122" s="668" t="s">
        <v>112</v>
      </c>
      <c r="F122" s="129">
        <v>-27272814</v>
      </c>
      <c r="G122" s="129">
        <v>-3108513</v>
      </c>
      <c r="H122" s="129">
        <v>18167471</v>
      </c>
      <c r="I122" s="129">
        <v>598991</v>
      </c>
      <c r="J122" s="129">
        <v>17568480</v>
      </c>
      <c r="K122" s="129">
        <v>-6595821</v>
      </c>
      <c r="L122" s="129">
        <v>4397214</v>
      </c>
      <c r="M122" s="129">
        <v>-22875600</v>
      </c>
      <c r="N122" s="755">
        <v>0.5</v>
      </c>
      <c r="O122" s="755">
        <v>0.4</v>
      </c>
      <c r="P122" s="755">
        <v>0.09</v>
      </c>
      <c r="Q122" s="755">
        <v>0.01</v>
      </c>
      <c r="R122" s="755">
        <v>1</v>
      </c>
      <c r="S122" s="129">
        <v>-1554257</v>
      </c>
      <c r="T122" s="129">
        <v>-1243405</v>
      </c>
      <c r="U122" s="129">
        <v>-279766</v>
      </c>
      <c r="V122" s="129">
        <v>-31085</v>
      </c>
      <c r="W122" s="129">
        <v>-3108513</v>
      </c>
      <c r="X122" s="755">
        <v>0.5</v>
      </c>
      <c r="Y122" s="755">
        <v>0.4</v>
      </c>
      <c r="Z122" s="755">
        <v>0.09</v>
      </c>
      <c r="AA122" s="755">
        <v>0.01</v>
      </c>
      <c r="AB122" s="755">
        <v>1</v>
      </c>
      <c r="AC122" s="129">
        <v>-8784240</v>
      </c>
      <c r="AD122" s="129">
        <v>-7027392</v>
      </c>
      <c r="AE122" s="129">
        <v>-1581163</v>
      </c>
      <c r="AF122" s="129">
        <v>-175685</v>
      </c>
      <c r="AG122" s="129">
        <v>-17568480</v>
      </c>
      <c r="AH122" s="755">
        <v>0.5</v>
      </c>
      <c r="AI122" s="755">
        <v>0.4</v>
      </c>
      <c r="AJ122" s="755">
        <v>0.09</v>
      </c>
      <c r="AK122" s="755">
        <v>0.01</v>
      </c>
      <c r="AL122" s="755">
        <v>1</v>
      </c>
      <c r="AM122" s="129">
        <v>-1099304</v>
      </c>
      <c r="AN122" s="129">
        <v>-879443</v>
      </c>
      <c r="AO122" s="129">
        <v>-197875</v>
      </c>
      <c r="AP122" s="129">
        <v>-21986</v>
      </c>
      <c r="AQ122" s="129">
        <v>-2198607</v>
      </c>
      <c r="AR122" s="129">
        <v>-11437800</v>
      </c>
      <c r="AS122" s="129">
        <v>-9150240</v>
      </c>
      <c r="AT122" s="129">
        <v>-2058804</v>
      </c>
      <c r="AU122" s="129">
        <v>-228756</v>
      </c>
      <c r="AV122" s="129">
        <v>-22875600</v>
      </c>
      <c r="AW122" s="662" t="s">
        <v>112</v>
      </c>
      <c r="AX122" s="324" t="s">
        <v>528</v>
      </c>
      <c r="AY122" s="663" t="s">
        <v>1913</v>
      </c>
      <c r="AZ122" s="529" t="s">
        <v>1329</v>
      </c>
    </row>
    <row r="123" spans="1:52" ht="12.75" x14ac:dyDescent="0.2">
      <c r="A123" s="664">
        <v>116</v>
      </c>
      <c r="B123" s="665" t="s">
        <v>115</v>
      </c>
      <c r="C123" s="666" t="s">
        <v>1201</v>
      </c>
      <c r="D123" s="667" t="s">
        <v>1218</v>
      </c>
      <c r="E123" s="668" t="s">
        <v>114</v>
      </c>
      <c r="F123" s="129">
        <v>-34916986</v>
      </c>
      <c r="G123" s="129">
        <v>1664262</v>
      </c>
      <c r="H123" s="129">
        <v>36520866</v>
      </c>
      <c r="I123" s="129">
        <v>2061498</v>
      </c>
      <c r="J123" s="129">
        <v>34459368</v>
      </c>
      <c r="K123" s="129">
        <v>-2121880</v>
      </c>
      <c r="L123" s="129">
        <v>1414587</v>
      </c>
      <c r="M123" s="129">
        <v>-33502399</v>
      </c>
      <c r="N123" s="755">
        <v>0.25</v>
      </c>
      <c r="O123" s="755">
        <v>0.52500000000000002</v>
      </c>
      <c r="P123" s="755">
        <v>0.215</v>
      </c>
      <c r="Q123" s="755">
        <v>0.01</v>
      </c>
      <c r="R123" s="755">
        <v>1</v>
      </c>
      <c r="S123" s="129">
        <v>416066</v>
      </c>
      <c r="T123" s="129">
        <v>873738</v>
      </c>
      <c r="U123" s="129">
        <v>357816</v>
      </c>
      <c r="V123" s="129">
        <v>16643</v>
      </c>
      <c r="W123" s="129">
        <v>1664262</v>
      </c>
      <c r="X123" s="755">
        <v>0.5</v>
      </c>
      <c r="Y123" s="755">
        <v>0.4</v>
      </c>
      <c r="Z123" s="755">
        <v>0.09</v>
      </c>
      <c r="AA123" s="755">
        <v>0.01</v>
      </c>
      <c r="AB123" s="755">
        <v>1</v>
      </c>
      <c r="AC123" s="129">
        <v>-17229684</v>
      </c>
      <c r="AD123" s="129">
        <v>-13783747</v>
      </c>
      <c r="AE123" s="129">
        <v>-3101343</v>
      </c>
      <c r="AF123" s="129">
        <v>-344594</v>
      </c>
      <c r="AG123" s="129">
        <v>-34459368</v>
      </c>
      <c r="AH123" s="755">
        <v>0.5</v>
      </c>
      <c r="AI123" s="755">
        <v>0.4</v>
      </c>
      <c r="AJ123" s="755">
        <v>0.09</v>
      </c>
      <c r="AK123" s="755">
        <v>0.01</v>
      </c>
      <c r="AL123" s="755">
        <v>1</v>
      </c>
      <c r="AM123" s="129">
        <v>-353647</v>
      </c>
      <c r="AN123" s="129">
        <v>-282917</v>
      </c>
      <c r="AO123" s="129">
        <v>-63656</v>
      </c>
      <c r="AP123" s="129">
        <v>-7073</v>
      </c>
      <c r="AQ123" s="129">
        <v>-707293</v>
      </c>
      <c r="AR123" s="129">
        <v>-17167265</v>
      </c>
      <c r="AS123" s="129">
        <v>-13192927</v>
      </c>
      <c r="AT123" s="129">
        <v>-2807183</v>
      </c>
      <c r="AU123" s="129">
        <v>-335024</v>
      </c>
      <c r="AV123" s="129">
        <v>-33502399</v>
      </c>
      <c r="AW123" s="662" t="s">
        <v>114</v>
      </c>
      <c r="AX123" s="324" t="s">
        <v>556</v>
      </c>
      <c r="AY123" s="663" t="s">
        <v>555</v>
      </c>
      <c r="AZ123" s="529" t="s">
        <v>1330</v>
      </c>
    </row>
    <row r="124" spans="1:52" ht="12.75" x14ac:dyDescent="0.2">
      <c r="A124" s="664">
        <v>117</v>
      </c>
      <c r="B124" s="665" t="s">
        <v>117</v>
      </c>
      <c r="C124" s="666" t="s">
        <v>1213</v>
      </c>
      <c r="D124" s="667" t="s">
        <v>1214</v>
      </c>
      <c r="E124" s="668" t="s">
        <v>116</v>
      </c>
      <c r="F124" s="129">
        <v>-29576038</v>
      </c>
      <c r="G124" s="129">
        <v>51514</v>
      </c>
      <c r="H124" s="129">
        <v>30100000</v>
      </c>
      <c r="I124" s="129">
        <v>3500000</v>
      </c>
      <c r="J124" s="129">
        <v>26600000</v>
      </c>
      <c r="K124" s="129">
        <v>-3027552</v>
      </c>
      <c r="L124" s="129">
        <v>2018368</v>
      </c>
      <c r="M124" s="129">
        <v>-27557670</v>
      </c>
      <c r="N124" s="755">
        <v>0.25</v>
      </c>
      <c r="O124" s="755">
        <v>0.48</v>
      </c>
      <c r="P124" s="755">
        <v>0.27</v>
      </c>
      <c r="Q124" s="755">
        <v>0</v>
      </c>
      <c r="R124" s="755">
        <v>1</v>
      </c>
      <c r="S124" s="129">
        <v>12879</v>
      </c>
      <c r="T124" s="129">
        <v>24727</v>
      </c>
      <c r="U124" s="129">
        <v>13909</v>
      </c>
      <c r="V124" s="129">
        <v>0</v>
      </c>
      <c r="W124" s="129">
        <v>51514</v>
      </c>
      <c r="X124" s="755">
        <v>0.33</v>
      </c>
      <c r="Y124" s="755">
        <v>0.3</v>
      </c>
      <c r="Z124" s="755">
        <v>0.37</v>
      </c>
      <c r="AA124" s="755">
        <v>0</v>
      </c>
      <c r="AB124" s="755">
        <v>1</v>
      </c>
      <c r="AC124" s="129">
        <v>-8778000</v>
      </c>
      <c r="AD124" s="129">
        <v>-7980000</v>
      </c>
      <c r="AE124" s="129">
        <v>-9842000</v>
      </c>
      <c r="AF124" s="129">
        <v>0</v>
      </c>
      <c r="AG124" s="129">
        <v>-26600000</v>
      </c>
      <c r="AH124" s="755">
        <v>0.33</v>
      </c>
      <c r="AI124" s="755">
        <v>0.3</v>
      </c>
      <c r="AJ124" s="755">
        <v>0.37</v>
      </c>
      <c r="AK124" s="755">
        <v>0</v>
      </c>
      <c r="AL124" s="755">
        <v>1</v>
      </c>
      <c r="AM124" s="129">
        <v>-333031</v>
      </c>
      <c r="AN124" s="129">
        <v>-302755</v>
      </c>
      <c r="AO124" s="129">
        <v>-373398</v>
      </c>
      <c r="AP124" s="129">
        <v>0</v>
      </c>
      <c r="AQ124" s="129">
        <v>-1009184</v>
      </c>
      <c r="AR124" s="129">
        <v>-9098152</v>
      </c>
      <c r="AS124" s="129">
        <v>-8258028</v>
      </c>
      <c r="AT124" s="129">
        <v>-10201489</v>
      </c>
      <c r="AU124" s="129">
        <v>0</v>
      </c>
      <c r="AV124" s="129">
        <v>-27557670</v>
      </c>
      <c r="AW124" s="662" t="s">
        <v>116</v>
      </c>
      <c r="AX124" s="324" t="s">
        <v>576</v>
      </c>
      <c r="AY124" s="669" t="s">
        <v>485</v>
      </c>
      <c r="AZ124" s="529" t="s">
        <v>1331</v>
      </c>
    </row>
    <row r="125" spans="1:52" ht="12.75" x14ac:dyDescent="0.2">
      <c r="A125" s="664">
        <v>118</v>
      </c>
      <c r="B125" s="665" t="s">
        <v>119</v>
      </c>
      <c r="C125" s="666" t="s">
        <v>1201</v>
      </c>
      <c r="D125" s="667" t="s">
        <v>1202</v>
      </c>
      <c r="E125" s="668" t="s">
        <v>118</v>
      </c>
      <c r="F125" s="129">
        <v>-14898899</v>
      </c>
      <c r="G125" s="129">
        <v>-338035</v>
      </c>
      <c r="H125" s="129">
        <v>13833689</v>
      </c>
      <c r="I125" s="129">
        <v>610893</v>
      </c>
      <c r="J125" s="129">
        <v>13222796</v>
      </c>
      <c r="K125" s="129">
        <v>-1338068</v>
      </c>
      <c r="L125" s="129">
        <v>892045</v>
      </c>
      <c r="M125" s="129">
        <v>-14006854</v>
      </c>
      <c r="N125" s="755">
        <v>0.5</v>
      </c>
      <c r="O125" s="755">
        <v>0.4</v>
      </c>
      <c r="P125" s="755">
        <v>0.09</v>
      </c>
      <c r="Q125" s="755">
        <v>0.01</v>
      </c>
      <c r="R125" s="755">
        <v>1</v>
      </c>
      <c r="S125" s="129">
        <v>-169018</v>
      </c>
      <c r="T125" s="129">
        <v>-135214</v>
      </c>
      <c r="U125" s="129">
        <v>-30423</v>
      </c>
      <c r="V125" s="129">
        <v>-3380</v>
      </c>
      <c r="W125" s="129">
        <v>-338035</v>
      </c>
      <c r="X125" s="755">
        <v>0.5</v>
      </c>
      <c r="Y125" s="755">
        <v>0.4</v>
      </c>
      <c r="Z125" s="755">
        <v>0.09</v>
      </c>
      <c r="AA125" s="755">
        <v>0.01</v>
      </c>
      <c r="AB125" s="755">
        <v>1</v>
      </c>
      <c r="AC125" s="129">
        <v>-6611398</v>
      </c>
      <c r="AD125" s="129">
        <v>-5289118</v>
      </c>
      <c r="AE125" s="129">
        <v>-1190052</v>
      </c>
      <c r="AF125" s="129">
        <v>-132228</v>
      </c>
      <c r="AG125" s="129">
        <v>-13222796</v>
      </c>
      <c r="AH125" s="755">
        <v>0.5</v>
      </c>
      <c r="AI125" s="755">
        <v>0.4</v>
      </c>
      <c r="AJ125" s="755">
        <v>0.09</v>
      </c>
      <c r="AK125" s="755">
        <v>0.01</v>
      </c>
      <c r="AL125" s="755">
        <v>1</v>
      </c>
      <c r="AM125" s="129">
        <v>-223011</v>
      </c>
      <c r="AN125" s="129">
        <v>-178409</v>
      </c>
      <c r="AO125" s="129">
        <v>-40142</v>
      </c>
      <c r="AP125" s="129">
        <v>-4460</v>
      </c>
      <c r="AQ125" s="129">
        <v>-446023</v>
      </c>
      <c r="AR125" s="129">
        <v>-7003427</v>
      </c>
      <c r="AS125" s="129">
        <v>-5602741</v>
      </c>
      <c r="AT125" s="129">
        <v>-1260617</v>
      </c>
      <c r="AU125" s="129">
        <v>-140069</v>
      </c>
      <c r="AV125" s="129">
        <v>-14006854</v>
      </c>
      <c r="AW125" s="662" t="s">
        <v>118</v>
      </c>
      <c r="AX125" s="324" t="s">
        <v>532</v>
      </c>
      <c r="AY125" s="663" t="s">
        <v>1914</v>
      </c>
      <c r="AZ125" s="529" t="s">
        <v>1332</v>
      </c>
    </row>
    <row r="126" spans="1:52" ht="12.75" x14ac:dyDescent="0.2">
      <c r="A126" s="664">
        <v>119</v>
      </c>
      <c r="B126" s="665" t="s">
        <v>121</v>
      </c>
      <c r="C126" s="666" t="s">
        <v>486</v>
      </c>
      <c r="D126" s="667" t="s">
        <v>1283</v>
      </c>
      <c r="E126" s="668" t="s">
        <v>508</v>
      </c>
      <c r="F126" s="129">
        <v>-11991096</v>
      </c>
      <c r="G126" s="129">
        <v>1085569</v>
      </c>
      <c r="H126" s="129">
        <v>11237499</v>
      </c>
      <c r="I126" s="129">
        <v>603228</v>
      </c>
      <c r="J126" s="129">
        <v>10634271</v>
      </c>
      <c r="K126" s="129">
        <v>-2442394</v>
      </c>
      <c r="L126" s="129">
        <v>1628263</v>
      </c>
      <c r="M126" s="129">
        <v>-10362833</v>
      </c>
      <c r="N126" s="755">
        <v>0.5</v>
      </c>
      <c r="O126" s="755">
        <v>0.49</v>
      </c>
      <c r="P126" s="755">
        <v>0</v>
      </c>
      <c r="Q126" s="755">
        <v>0.01</v>
      </c>
      <c r="R126" s="755">
        <v>1</v>
      </c>
      <c r="S126" s="129">
        <v>542785</v>
      </c>
      <c r="T126" s="129">
        <v>531929</v>
      </c>
      <c r="U126" s="129">
        <v>0</v>
      </c>
      <c r="V126" s="129">
        <v>10856</v>
      </c>
      <c r="W126" s="129">
        <v>1085569</v>
      </c>
      <c r="X126" s="755">
        <v>0.5</v>
      </c>
      <c r="Y126" s="755">
        <v>0.49</v>
      </c>
      <c r="Z126" s="755">
        <v>0</v>
      </c>
      <c r="AA126" s="755">
        <v>0.01</v>
      </c>
      <c r="AB126" s="755">
        <v>1</v>
      </c>
      <c r="AC126" s="129">
        <v>-5317136</v>
      </c>
      <c r="AD126" s="129">
        <v>-5210793</v>
      </c>
      <c r="AE126" s="129">
        <v>0</v>
      </c>
      <c r="AF126" s="129">
        <v>-106343</v>
      </c>
      <c r="AG126" s="129">
        <v>-10634271</v>
      </c>
      <c r="AH126" s="755">
        <v>0.5</v>
      </c>
      <c r="AI126" s="755">
        <v>0.49</v>
      </c>
      <c r="AJ126" s="755">
        <v>0</v>
      </c>
      <c r="AK126" s="755">
        <v>0.01</v>
      </c>
      <c r="AL126" s="755">
        <v>1</v>
      </c>
      <c r="AM126" s="129">
        <v>-407066</v>
      </c>
      <c r="AN126" s="129">
        <v>-398924</v>
      </c>
      <c r="AO126" s="129">
        <v>0</v>
      </c>
      <c r="AP126" s="129">
        <v>-8141</v>
      </c>
      <c r="AQ126" s="129">
        <v>-814131</v>
      </c>
      <c r="AR126" s="129">
        <v>-5181417</v>
      </c>
      <c r="AS126" s="129">
        <v>-5077788</v>
      </c>
      <c r="AT126" s="129">
        <v>0</v>
      </c>
      <c r="AU126" s="129">
        <v>-103628</v>
      </c>
      <c r="AV126" s="129">
        <v>-10362833</v>
      </c>
      <c r="AW126" s="662" t="s">
        <v>508</v>
      </c>
      <c r="AX126" s="324" t="s">
        <v>486</v>
      </c>
      <c r="AY126" s="663" t="s">
        <v>509</v>
      </c>
      <c r="AZ126" s="529" t="s">
        <v>1333</v>
      </c>
    </row>
    <row r="127" spans="1:52" ht="12.75" x14ac:dyDescent="0.2">
      <c r="A127" s="664">
        <v>120</v>
      </c>
      <c r="B127" s="665" t="s">
        <v>123</v>
      </c>
      <c r="C127" s="666" t="s">
        <v>1201</v>
      </c>
      <c r="D127" s="667" t="s">
        <v>1202</v>
      </c>
      <c r="E127" s="668" t="s">
        <v>122</v>
      </c>
      <c r="F127" s="129">
        <v>-418133</v>
      </c>
      <c r="G127" s="129">
        <v>765682</v>
      </c>
      <c r="H127" s="129">
        <v>13645510</v>
      </c>
      <c r="I127" s="129">
        <v>686133</v>
      </c>
      <c r="J127" s="129">
        <v>12959377</v>
      </c>
      <c r="K127" s="129">
        <v>11775562</v>
      </c>
      <c r="L127" s="129">
        <v>0</v>
      </c>
      <c r="M127" s="129">
        <v>-418133</v>
      </c>
      <c r="N127" s="755">
        <v>0.25</v>
      </c>
      <c r="O127" s="755">
        <v>0.44</v>
      </c>
      <c r="P127" s="755">
        <v>0.26</v>
      </c>
      <c r="Q127" s="755">
        <v>0.05</v>
      </c>
      <c r="R127" s="755">
        <v>1</v>
      </c>
      <c r="S127" s="129">
        <v>191421</v>
      </c>
      <c r="T127" s="129">
        <v>336900</v>
      </c>
      <c r="U127" s="129">
        <v>199077</v>
      </c>
      <c r="V127" s="129">
        <v>38284</v>
      </c>
      <c r="W127" s="129">
        <v>765682</v>
      </c>
      <c r="X127" s="755">
        <v>0.5</v>
      </c>
      <c r="Y127" s="755">
        <v>0.4</v>
      </c>
      <c r="Z127" s="755">
        <v>0.09</v>
      </c>
      <c r="AA127" s="755">
        <v>0.01</v>
      </c>
      <c r="AB127" s="755">
        <v>1</v>
      </c>
      <c r="AC127" s="129">
        <v>-591907</v>
      </c>
      <c r="AD127" s="129">
        <v>-473526</v>
      </c>
      <c r="AE127" s="129">
        <v>-106543</v>
      </c>
      <c r="AF127" s="129">
        <v>-11838</v>
      </c>
      <c r="AG127" s="129">
        <v>-1183815</v>
      </c>
      <c r="AH127" s="755">
        <v>0.5</v>
      </c>
      <c r="AI127" s="755">
        <v>0.4</v>
      </c>
      <c r="AJ127" s="755">
        <v>0.09</v>
      </c>
      <c r="AK127" s="755">
        <v>0.01</v>
      </c>
      <c r="AL127" s="755">
        <v>1</v>
      </c>
      <c r="AM127" s="129">
        <v>0</v>
      </c>
      <c r="AN127" s="129">
        <v>0</v>
      </c>
      <c r="AO127" s="129">
        <v>0</v>
      </c>
      <c r="AP127" s="129">
        <v>0</v>
      </c>
      <c r="AQ127" s="129">
        <v>0</v>
      </c>
      <c r="AR127" s="129">
        <v>-400487</v>
      </c>
      <c r="AS127" s="129">
        <v>-136626</v>
      </c>
      <c r="AT127" s="129">
        <v>92534</v>
      </c>
      <c r="AU127" s="129">
        <v>26446</v>
      </c>
      <c r="AV127" s="129">
        <v>-418133</v>
      </c>
      <c r="AW127" s="662" t="s">
        <v>122</v>
      </c>
      <c r="AX127" s="324" t="s">
        <v>525</v>
      </c>
      <c r="AY127" s="663" t="s">
        <v>524</v>
      </c>
      <c r="AZ127" s="529" t="s">
        <v>1334</v>
      </c>
    </row>
    <row r="128" spans="1:52" ht="14.25" x14ac:dyDescent="0.2">
      <c r="A128" s="664">
        <v>121</v>
      </c>
      <c r="B128" s="665" t="s">
        <v>125</v>
      </c>
      <c r="C128" s="666" t="s">
        <v>1201</v>
      </c>
      <c r="D128" s="667" t="s">
        <v>1202</v>
      </c>
      <c r="E128" s="668" t="s">
        <v>1922</v>
      </c>
      <c r="F128" s="129">
        <v>-24131588</v>
      </c>
      <c r="G128" s="129">
        <v>-3478874</v>
      </c>
      <c r="H128" s="129">
        <v>18797112</v>
      </c>
      <c r="I128" s="129">
        <v>582235</v>
      </c>
      <c r="J128" s="129">
        <v>18214877</v>
      </c>
      <c r="K128" s="129">
        <v>-2437837</v>
      </c>
      <c r="L128" s="129">
        <v>1625225</v>
      </c>
      <c r="M128" s="129">
        <v>-22506363</v>
      </c>
      <c r="N128" s="755">
        <v>0.5</v>
      </c>
      <c r="O128" s="755">
        <v>0.4</v>
      </c>
      <c r="P128" s="755">
        <v>0.09</v>
      </c>
      <c r="Q128" s="755">
        <v>0.01</v>
      </c>
      <c r="R128" s="755">
        <v>1</v>
      </c>
      <c r="S128" s="129">
        <v>-1739437</v>
      </c>
      <c r="T128" s="129">
        <v>-1391549</v>
      </c>
      <c r="U128" s="129">
        <v>-313099</v>
      </c>
      <c r="V128" s="129">
        <v>-34789</v>
      </c>
      <c r="W128" s="129">
        <v>-3478874</v>
      </c>
      <c r="X128" s="755">
        <v>0.5</v>
      </c>
      <c r="Y128" s="755">
        <v>0.4</v>
      </c>
      <c r="Z128" s="755">
        <v>0.09</v>
      </c>
      <c r="AA128" s="755">
        <v>0.01</v>
      </c>
      <c r="AB128" s="755">
        <v>1</v>
      </c>
      <c r="AC128" s="129">
        <v>-9107439</v>
      </c>
      <c r="AD128" s="129">
        <v>-7285951</v>
      </c>
      <c r="AE128" s="129">
        <v>-1639339</v>
      </c>
      <c r="AF128" s="129">
        <v>-182149</v>
      </c>
      <c r="AG128" s="129">
        <v>-18214877</v>
      </c>
      <c r="AH128" s="755">
        <v>0.5</v>
      </c>
      <c r="AI128" s="755">
        <v>0.4</v>
      </c>
      <c r="AJ128" s="755">
        <v>0.09</v>
      </c>
      <c r="AK128" s="755">
        <v>0.01</v>
      </c>
      <c r="AL128" s="755">
        <v>1</v>
      </c>
      <c r="AM128" s="129">
        <v>-406306</v>
      </c>
      <c r="AN128" s="129">
        <v>-325045</v>
      </c>
      <c r="AO128" s="129">
        <v>-73135</v>
      </c>
      <c r="AP128" s="129">
        <v>-8126</v>
      </c>
      <c r="AQ128" s="129">
        <v>-812612</v>
      </c>
      <c r="AR128" s="129">
        <v>-11253182</v>
      </c>
      <c r="AS128" s="129">
        <v>-9002545</v>
      </c>
      <c r="AT128" s="129">
        <v>-2025573</v>
      </c>
      <c r="AU128" s="129">
        <v>-225064</v>
      </c>
      <c r="AV128" s="129">
        <v>-22506363</v>
      </c>
      <c r="AW128" s="662" t="s">
        <v>124</v>
      </c>
      <c r="AX128" s="324" t="s">
        <v>532</v>
      </c>
      <c r="AY128" s="663" t="s">
        <v>1920</v>
      </c>
      <c r="AZ128" s="529" t="s">
        <v>1335</v>
      </c>
    </row>
    <row r="129" spans="1:52" ht="12.75" x14ac:dyDescent="0.2">
      <c r="A129" s="664">
        <v>122</v>
      </c>
      <c r="B129" s="665" t="s">
        <v>127</v>
      </c>
      <c r="C129" s="666" t="s">
        <v>1213</v>
      </c>
      <c r="D129" s="667" t="s">
        <v>1214</v>
      </c>
      <c r="E129" s="668" t="s">
        <v>126</v>
      </c>
      <c r="F129" s="129">
        <v>-53050861</v>
      </c>
      <c r="G129" s="129">
        <v>-320043</v>
      </c>
      <c r="H129" s="129">
        <v>46206770</v>
      </c>
      <c r="I129" s="129">
        <v>2596028</v>
      </c>
      <c r="J129" s="129">
        <v>43610742</v>
      </c>
      <c r="K129" s="129">
        <v>-9120076</v>
      </c>
      <c r="L129" s="129">
        <v>6080051</v>
      </c>
      <c r="M129" s="129">
        <v>-46970810</v>
      </c>
      <c r="N129" s="755">
        <v>0.25</v>
      </c>
      <c r="O129" s="755">
        <v>0.48</v>
      </c>
      <c r="P129" s="755">
        <v>0.27</v>
      </c>
      <c r="Q129" s="755">
        <v>0</v>
      </c>
      <c r="R129" s="755">
        <v>1</v>
      </c>
      <c r="S129" s="129">
        <v>-80011</v>
      </c>
      <c r="T129" s="129">
        <v>-153621</v>
      </c>
      <c r="U129" s="129">
        <v>-86412</v>
      </c>
      <c r="V129" s="129">
        <v>0</v>
      </c>
      <c r="W129" s="129">
        <v>-320043</v>
      </c>
      <c r="X129" s="755">
        <v>0.33</v>
      </c>
      <c r="Y129" s="755">
        <v>0.3</v>
      </c>
      <c r="Z129" s="755">
        <v>0.37</v>
      </c>
      <c r="AA129" s="755">
        <v>0</v>
      </c>
      <c r="AB129" s="755">
        <v>1</v>
      </c>
      <c r="AC129" s="129">
        <v>-14391545</v>
      </c>
      <c r="AD129" s="129">
        <v>-13083223</v>
      </c>
      <c r="AE129" s="129">
        <v>-16135975</v>
      </c>
      <c r="AF129" s="129">
        <v>0</v>
      </c>
      <c r="AG129" s="129">
        <v>-43610742</v>
      </c>
      <c r="AH129" s="755">
        <v>0.33</v>
      </c>
      <c r="AI129" s="755">
        <v>0.3</v>
      </c>
      <c r="AJ129" s="755">
        <v>0.37</v>
      </c>
      <c r="AK129" s="755">
        <v>0</v>
      </c>
      <c r="AL129" s="755">
        <v>1</v>
      </c>
      <c r="AM129" s="129">
        <v>-1003208</v>
      </c>
      <c r="AN129" s="129">
        <v>-912008</v>
      </c>
      <c r="AO129" s="129">
        <v>-1124809</v>
      </c>
      <c r="AP129" s="129">
        <v>0</v>
      </c>
      <c r="AQ129" s="129">
        <v>-3040025</v>
      </c>
      <c r="AR129" s="129">
        <v>-15474764</v>
      </c>
      <c r="AS129" s="129">
        <v>-14148851</v>
      </c>
      <c r="AT129" s="129">
        <v>-17347196</v>
      </c>
      <c r="AU129" s="129">
        <v>0</v>
      </c>
      <c r="AV129" s="129">
        <v>-46970810</v>
      </c>
      <c r="AW129" s="662" t="s">
        <v>126</v>
      </c>
      <c r="AX129" s="324" t="s">
        <v>576</v>
      </c>
      <c r="AY129" s="669" t="s">
        <v>485</v>
      </c>
      <c r="AZ129" s="529" t="s">
        <v>1336</v>
      </c>
    </row>
    <row r="130" spans="1:52" ht="12.75" x14ac:dyDescent="0.2">
      <c r="A130" s="664">
        <v>123</v>
      </c>
      <c r="B130" s="665" t="s">
        <v>129</v>
      </c>
      <c r="C130" s="666" t="s">
        <v>486</v>
      </c>
      <c r="D130" s="667" t="s">
        <v>1228</v>
      </c>
      <c r="E130" s="668" t="s">
        <v>533</v>
      </c>
      <c r="F130" s="129">
        <v>-27058128</v>
      </c>
      <c r="G130" s="129">
        <v>2528504</v>
      </c>
      <c r="H130" s="129">
        <v>29161000</v>
      </c>
      <c r="I130" s="129">
        <v>1540000</v>
      </c>
      <c r="J130" s="129">
        <v>27621000</v>
      </c>
      <c r="K130" s="129">
        <v>-1965632</v>
      </c>
      <c r="L130" s="129">
        <v>1310421</v>
      </c>
      <c r="M130" s="129">
        <v>-25747707</v>
      </c>
      <c r="N130" s="755">
        <v>0.5</v>
      </c>
      <c r="O130" s="755">
        <v>0.49</v>
      </c>
      <c r="P130" s="755">
        <v>0</v>
      </c>
      <c r="Q130" s="755">
        <v>0.01</v>
      </c>
      <c r="R130" s="755">
        <v>1</v>
      </c>
      <c r="S130" s="129">
        <v>1264252</v>
      </c>
      <c r="T130" s="129">
        <v>1238967</v>
      </c>
      <c r="U130" s="129">
        <v>0</v>
      </c>
      <c r="V130" s="129">
        <v>25285</v>
      </c>
      <c r="W130" s="129">
        <v>2528504</v>
      </c>
      <c r="X130" s="755">
        <v>0.5</v>
      </c>
      <c r="Y130" s="755">
        <v>0.49</v>
      </c>
      <c r="Z130" s="755">
        <v>0</v>
      </c>
      <c r="AA130" s="755">
        <v>0.01</v>
      </c>
      <c r="AB130" s="755">
        <v>1</v>
      </c>
      <c r="AC130" s="129">
        <v>-13810500</v>
      </c>
      <c r="AD130" s="129">
        <v>-13534290</v>
      </c>
      <c r="AE130" s="129">
        <v>0</v>
      </c>
      <c r="AF130" s="129">
        <v>-276210</v>
      </c>
      <c r="AG130" s="129">
        <v>-27621000</v>
      </c>
      <c r="AH130" s="755">
        <v>0.5</v>
      </c>
      <c r="AI130" s="755">
        <v>0.49</v>
      </c>
      <c r="AJ130" s="755">
        <v>0</v>
      </c>
      <c r="AK130" s="755">
        <v>0.01</v>
      </c>
      <c r="AL130" s="755">
        <v>1</v>
      </c>
      <c r="AM130" s="129">
        <v>-327605</v>
      </c>
      <c r="AN130" s="129">
        <v>-321053</v>
      </c>
      <c r="AO130" s="129">
        <v>0</v>
      </c>
      <c r="AP130" s="129">
        <v>-6552</v>
      </c>
      <c r="AQ130" s="129">
        <v>-655211</v>
      </c>
      <c r="AR130" s="129">
        <v>-12873853</v>
      </c>
      <c r="AS130" s="129">
        <v>-12616376</v>
      </c>
      <c r="AT130" s="129">
        <v>0</v>
      </c>
      <c r="AU130" s="129">
        <v>-257477</v>
      </c>
      <c r="AV130" s="129">
        <v>-25747707</v>
      </c>
      <c r="AW130" s="662" t="s">
        <v>533</v>
      </c>
      <c r="AX130" s="324" t="s">
        <v>486</v>
      </c>
      <c r="AY130" s="663" t="s">
        <v>534</v>
      </c>
      <c r="AZ130" s="529" t="s">
        <v>1337</v>
      </c>
    </row>
    <row r="131" spans="1:52" ht="12.75" x14ac:dyDescent="0.2">
      <c r="A131" s="664">
        <v>124</v>
      </c>
      <c r="B131" s="665" t="s">
        <v>131</v>
      </c>
      <c r="C131" s="666" t="s">
        <v>1201</v>
      </c>
      <c r="D131" s="667" t="s">
        <v>1211</v>
      </c>
      <c r="E131" s="668" t="s">
        <v>130</v>
      </c>
      <c r="F131" s="129">
        <v>-22860823</v>
      </c>
      <c r="G131" s="129">
        <v>2196415</v>
      </c>
      <c r="H131" s="129">
        <v>22700867</v>
      </c>
      <c r="I131" s="129">
        <v>1013470</v>
      </c>
      <c r="J131" s="129">
        <v>21687397</v>
      </c>
      <c r="K131" s="129">
        <v>-3369841</v>
      </c>
      <c r="L131" s="129">
        <v>2246561</v>
      </c>
      <c r="M131" s="129">
        <v>-20614262</v>
      </c>
      <c r="N131" s="755">
        <v>0.25</v>
      </c>
      <c r="O131" s="755">
        <v>0.35</v>
      </c>
      <c r="P131" s="755">
        <v>0.4</v>
      </c>
      <c r="Q131" s="755">
        <v>0</v>
      </c>
      <c r="R131" s="755">
        <v>1</v>
      </c>
      <c r="S131" s="129">
        <v>549104</v>
      </c>
      <c r="T131" s="129">
        <v>768745</v>
      </c>
      <c r="U131" s="129">
        <v>878566</v>
      </c>
      <c r="V131" s="129">
        <v>0</v>
      </c>
      <c r="W131" s="129">
        <v>2196415</v>
      </c>
      <c r="X131" s="755">
        <v>0.5</v>
      </c>
      <c r="Y131" s="755">
        <v>0.4</v>
      </c>
      <c r="Z131" s="755">
        <v>0.1</v>
      </c>
      <c r="AA131" s="755">
        <v>0</v>
      </c>
      <c r="AB131" s="755">
        <v>1</v>
      </c>
      <c r="AC131" s="129">
        <v>-10843699</v>
      </c>
      <c r="AD131" s="129">
        <v>-8674959</v>
      </c>
      <c r="AE131" s="129">
        <v>-2168740</v>
      </c>
      <c r="AF131" s="129">
        <v>0</v>
      </c>
      <c r="AG131" s="129">
        <v>-21687397</v>
      </c>
      <c r="AH131" s="755">
        <v>0.5</v>
      </c>
      <c r="AI131" s="755">
        <v>0.4</v>
      </c>
      <c r="AJ131" s="755">
        <v>0.1</v>
      </c>
      <c r="AK131" s="755">
        <v>0</v>
      </c>
      <c r="AL131" s="755">
        <v>1</v>
      </c>
      <c r="AM131" s="129">
        <v>-561640</v>
      </c>
      <c r="AN131" s="129">
        <v>-449312</v>
      </c>
      <c r="AO131" s="129">
        <v>-112328</v>
      </c>
      <c r="AP131" s="129">
        <v>0</v>
      </c>
      <c r="AQ131" s="129">
        <v>-1123280</v>
      </c>
      <c r="AR131" s="129">
        <v>-10856235</v>
      </c>
      <c r="AS131" s="129">
        <v>-8355526</v>
      </c>
      <c r="AT131" s="129">
        <v>-1402502</v>
      </c>
      <c r="AU131" s="129">
        <v>0</v>
      </c>
      <c r="AV131" s="129">
        <v>-20614262</v>
      </c>
      <c r="AW131" s="662" t="s">
        <v>130</v>
      </c>
      <c r="AX131" s="324" t="s">
        <v>536</v>
      </c>
      <c r="AY131" s="663" t="s">
        <v>512</v>
      </c>
      <c r="AZ131" s="529" t="s">
        <v>1338</v>
      </c>
    </row>
    <row r="132" spans="1:52" ht="12.75" x14ac:dyDescent="0.2">
      <c r="A132" s="664">
        <v>125</v>
      </c>
      <c r="B132" s="665" t="s">
        <v>133</v>
      </c>
      <c r="C132" s="666" t="s">
        <v>1201</v>
      </c>
      <c r="D132" s="667" t="s">
        <v>1206</v>
      </c>
      <c r="E132" s="668" t="s">
        <v>132</v>
      </c>
      <c r="F132" s="129">
        <v>-8669475</v>
      </c>
      <c r="G132" s="129">
        <v>-797514</v>
      </c>
      <c r="H132" s="129">
        <v>8865848</v>
      </c>
      <c r="I132" s="129">
        <v>582656</v>
      </c>
      <c r="J132" s="129">
        <v>8283192</v>
      </c>
      <c r="K132" s="129">
        <v>411231</v>
      </c>
      <c r="L132" s="129">
        <v>0</v>
      </c>
      <c r="M132" s="129">
        <v>-8669475</v>
      </c>
      <c r="N132" s="755">
        <v>0.5</v>
      </c>
      <c r="O132" s="755">
        <v>0.4</v>
      </c>
      <c r="P132" s="755">
        <v>0.09</v>
      </c>
      <c r="Q132" s="755">
        <v>0.01</v>
      </c>
      <c r="R132" s="755">
        <v>1</v>
      </c>
      <c r="S132" s="129">
        <v>-398757</v>
      </c>
      <c r="T132" s="129">
        <v>-319006</v>
      </c>
      <c r="U132" s="129">
        <v>-71776</v>
      </c>
      <c r="V132" s="129">
        <v>-7975</v>
      </c>
      <c r="W132" s="129">
        <v>-797514</v>
      </c>
      <c r="X132" s="755">
        <v>0.5</v>
      </c>
      <c r="Y132" s="755">
        <v>0.4</v>
      </c>
      <c r="Z132" s="755">
        <v>0.09</v>
      </c>
      <c r="AA132" s="755">
        <v>0.01</v>
      </c>
      <c r="AB132" s="755">
        <v>1</v>
      </c>
      <c r="AC132" s="129">
        <v>-3935981</v>
      </c>
      <c r="AD132" s="129">
        <v>-3148784</v>
      </c>
      <c r="AE132" s="129">
        <v>-708476</v>
      </c>
      <c r="AF132" s="129">
        <v>-78720</v>
      </c>
      <c r="AG132" s="129">
        <v>-7871961</v>
      </c>
      <c r="AH132" s="755">
        <v>0.5</v>
      </c>
      <c r="AI132" s="755">
        <v>0.4</v>
      </c>
      <c r="AJ132" s="755">
        <v>0.09</v>
      </c>
      <c r="AK132" s="755">
        <v>0.01</v>
      </c>
      <c r="AL132" s="755">
        <v>1</v>
      </c>
      <c r="AM132" s="129">
        <v>0</v>
      </c>
      <c r="AN132" s="129">
        <v>0</v>
      </c>
      <c r="AO132" s="129">
        <v>0</v>
      </c>
      <c r="AP132" s="129">
        <v>0</v>
      </c>
      <c r="AQ132" s="129">
        <v>0</v>
      </c>
      <c r="AR132" s="129">
        <v>-4334738</v>
      </c>
      <c r="AS132" s="129">
        <v>-3467790</v>
      </c>
      <c r="AT132" s="129">
        <v>-780253</v>
      </c>
      <c r="AU132" s="129">
        <v>-86695</v>
      </c>
      <c r="AV132" s="129">
        <v>-8669475</v>
      </c>
      <c r="AW132" s="662" t="s">
        <v>132</v>
      </c>
      <c r="AX132" s="324" t="s">
        <v>516</v>
      </c>
      <c r="AY132" s="663" t="s">
        <v>515</v>
      </c>
      <c r="AZ132" s="529" t="s">
        <v>1339</v>
      </c>
    </row>
    <row r="133" spans="1:52" ht="12.75" x14ac:dyDescent="0.2">
      <c r="A133" s="664">
        <v>126</v>
      </c>
      <c r="B133" s="665" t="s">
        <v>135</v>
      </c>
      <c r="C133" s="666" t="s">
        <v>1213</v>
      </c>
      <c r="D133" s="667" t="s">
        <v>1214</v>
      </c>
      <c r="E133" s="668" t="s">
        <v>134</v>
      </c>
      <c r="F133" s="129">
        <v>-114521382</v>
      </c>
      <c r="G133" s="129">
        <v>-2058323</v>
      </c>
      <c r="H133" s="129">
        <v>99410000</v>
      </c>
      <c r="I133" s="129">
        <v>1539000</v>
      </c>
      <c r="J133" s="129">
        <v>97871000</v>
      </c>
      <c r="K133" s="129">
        <v>-14592059</v>
      </c>
      <c r="L133" s="129">
        <v>9728039</v>
      </c>
      <c r="M133" s="129">
        <v>-104793343</v>
      </c>
      <c r="N133" s="755">
        <v>0.25</v>
      </c>
      <c r="O133" s="755">
        <v>0.48</v>
      </c>
      <c r="P133" s="755">
        <v>0.27</v>
      </c>
      <c r="Q133" s="755">
        <v>0</v>
      </c>
      <c r="R133" s="755">
        <v>1</v>
      </c>
      <c r="S133" s="129">
        <v>-514581</v>
      </c>
      <c r="T133" s="129">
        <v>-987995</v>
      </c>
      <c r="U133" s="129">
        <v>-555747</v>
      </c>
      <c r="V133" s="129">
        <v>0</v>
      </c>
      <c r="W133" s="129">
        <v>-2058323</v>
      </c>
      <c r="X133" s="755">
        <v>0.33</v>
      </c>
      <c r="Y133" s="755">
        <v>0.3</v>
      </c>
      <c r="Z133" s="755">
        <v>0.37</v>
      </c>
      <c r="AA133" s="755">
        <v>0</v>
      </c>
      <c r="AB133" s="755">
        <v>1</v>
      </c>
      <c r="AC133" s="129">
        <v>-32297430</v>
      </c>
      <c r="AD133" s="129">
        <v>-29361300</v>
      </c>
      <c r="AE133" s="129">
        <v>-36212270</v>
      </c>
      <c r="AF133" s="129">
        <v>0</v>
      </c>
      <c r="AG133" s="129">
        <v>-97871000</v>
      </c>
      <c r="AH133" s="755">
        <v>0.33</v>
      </c>
      <c r="AI133" s="755">
        <v>0.3</v>
      </c>
      <c r="AJ133" s="755">
        <v>0.37</v>
      </c>
      <c r="AK133" s="755">
        <v>0</v>
      </c>
      <c r="AL133" s="755">
        <v>1</v>
      </c>
      <c r="AM133" s="129">
        <v>-1605126</v>
      </c>
      <c r="AN133" s="129">
        <v>-1459206</v>
      </c>
      <c r="AO133" s="129">
        <v>-1799687</v>
      </c>
      <c r="AP133" s="129">
        <v>0</v>
      </c>
      <c r="AQ133" s="129">
        <v>-4864020</v>
      </c>
      <c r="AR133" s="129">
        <v>-34417137</v>
      </c>
      <c r="AS133" s="129">
        <v>-31808501</v>
      </c>
      <c r="AT133" s="129">
        <v>-38567704</v>
      </c>
      <c r="AU133" s="129">
        <v>0</v>
      </c>
      <c r="AV133" s="129">
        <v>-104793343</v>
      </c>
      <c r="AW133" s="662" t="s">
        <v>134</v>
      </c>
      <c r="AX133" s="324" t="s">
        <v>576</v>
      </c>
      <c r="AY133" s="669" t="s">
        <v>485</v>
      </c>
      <c r="AZ133" s="529" t="s">
        <v>1340</v>
      </c>
    </row>
    <row r="134" spans="1:52" ht="12.75" x14ac:dyDescent="0.2">
      <c r="A134" s="664">
        <v>127</v>
      </c>
      <c r="B134" s="665" t="s">
        <v>137</v>
      </c>
      <c r="C134" s="666" t="s">
        <v>1201</v>
      </c>
      <c r="D134" s="667" t="s">
        <v>1206</v>
      </c>
      <c r="E134" s="668" t="s">
        <v>136</v>
      </c>
      <c r="F134" s="129">
        <v>-7333809</v>
      </c>
      <c r="G134" s="129">
        <v>1901742</v>
      </c>
      <c r="H134" s="129">
        <v>9786534</v>
      </c>
      <c r="I134" s="129">
        <v>397237</v>
      </c>
      <c r="J134" s="129">
        <v>9389297</v>
      </c>
      <c r="K134" s="129">
        <v>153746</v>
      </c>
      <c r="L134" s="129">
        <v>0</v>
      </c>
      <c r="M134" s="129">
        <v>-7333809</v>
      </c>
      <c r="N134" s="755">
        <v>0.25</v>
      </c>
      <c r="O134" s="755">
        <v>0.375</v>
      </c>
      <c r="P134" s="755">
        <v>0.36499999999999999</v>
      </c>
      <c r="Q134" s="755">
        <v>0.01</v>
      </c>
      <c r="R134" s="755">
        <v>1</v>
      </c>
      <c r="S134" s="129">
        <v>475436</v>
      </c>
      <c r="T134" s="129">
        <v>713153</v>
      </c>
      <c r="U134" s="129">
        <v>694136</v>
      </c>
      <c r="V134" s="129">
        <v>19017</v>
      </c>
      <c r="W134" s="129">
        <v>1901742</v>
      </c>
      <c r="X134" s="755">
        <v>0.5</v>
      </c>
      <c r="Y134" s="755">
        <v>0.4</v>
      </c>
      <c r="Z134" s="755">
        <v>0.09</v>
      </c>
      <c r="AA134" s="755">
        <v>0.01</v>
      </c>
      <c r="AB134" s="755">
        <v>1</v>
      </c>
      <c r="AC134" s="129">
        <v>-4617776</v>
      </c>
      <c r="AD134" s="129">
        <v>-3694220</v>
      </c>
      <c r="AE134" s="129">
        <v>-831200</v>
      </c>
      <c r="AF134" s="129">
        <v>-92356</v>
      </c>
      <c r="AG134" s="129">
        <v>-9235551</v>
      </c>
      <c r="AH134" s="755">
        <v>0.5</v>
      </c>
      <c r="AI134" s="755">
        <v>0.4</v>
      </c>
      <c r="AJ134" s="755">
        <v>0.09</v>
      </c>
      <c r="AK134" s="755">
        <v>0.01</v>
      </c>
      <c r="AL134" s="755">
        <v>1</v>
      </c>
      <c r="AM134" s="129">
        <v>0</v>
      </c>
      <c r="AN134" s="129">
        <v>0</v>
      </c>
      <c r="AO134" s="129">
        <v>0</v>
      </c>
      <c r="AP134" s="129">
        <v>0</v>
      </c>
      <c r="AQ134" s="129">
        <v>0</v>
      </c>
      <c r="AR134" s="129">
        <v>-4142340</v>
      </c>
      <c r="AS134" s="129">
        <v>-2981067</v>
      </c>
      <c r="AT134" s="129">
        <v>-137064</v>
      </c>
      <c r="AU134" s="129">
        <v>-73338</v>
      </c>
      <c r="AV134" s="129">
        <v>-7333809</v>
      </c>
      <c r="AW134" s="662" t="s">
        <v>136</v>
      </c>
      <c r="AX134" s="324" t="s">
        <v>551</v>
      </c>
      <c r="AY134" s="663" t="s">
        <v>549</v>
      </c>
      <c r="AZ134" s="529" t="s">
        <v>1341</v>
      </c>
    </row>
    <row r="135" spans="1:52" ht="12.75" x14ac:dyDescent="0.2">
      <c r="A135" s="664">
        <v>128</v>
      </c>
      <c r="B135" s="665" t="s">
        <v>139</v>
      </c>
      <c r="C135" s="666" t="s">
        <v>1201</v>
      </c>
      <c r="D135" s="667" t="s">
        <v>1202</v>
      </c>
      <c r="E135" s="668" t="s">
        <v>138</v>
      </c>
      <c r="F135" s="129">
        <v>-20268326</v>
      </c>
      <c r="G135" s="129">
        <v>-1063111</v>
      </c>
      <c r="H135" s="129">
        <v>21049606</v>
      </c>
      <c r="I135" s="129">
        <v>819330</v>
      </c>
      <c r="J135" s="129">
        <v>20230276</v>
      </c>
      <c r="K135" s="129">
        <v>1025061</v>
      </c>
      <c r="L135" s="129">
        <v>0</v>
      </c>
      <c r="M135" s="129">
        <v>-20268326</v>
      </c>
      <c r="N135" s="755">
        <v>0.25</v>
      </c>
      <c r="O135" s="755">
        <v>0.2</v>
      </c>
      <c r="P135" s="755">
        <v>0.55000000000000004</v>
      </c>
      <c r="Q135" s="755">
        <v>0</v>
      </c>
      <c r="R135" s="755">
        <v>1</v>
      </c>
      <c r="S135" s="129">
        <v>-265778</v>
      </c>
      <c r="T135" s="129">
        <v>-212622</v>
      </c>
      <c r="U135" s="129">
        <v>-584711</v>
      </c>
      <c r="V135" s="129">
        <v>0</v>
      </c>
      <c r="W135" s="129">
        <v>-1063111</v>
      </c>
      <c r="X135" s="755">
        <v>0.5</v>
      </c>
      <c r="Y135" s="755">
        <v>0.4</v>
      </c>
      <c r="Z135" s="755">
        <v>0.1</v>
      </c>
      <c r="AA135" s="755">
        <v>0</v>
      </c>
      <c r="AB135" s="755">
        <v>1</v>
      </c>
      <c r="AC135" s="129">
        <v>-9602608</v>
      </c>
      <c r="AD135" s="129">
        <v>-7682086</v>
      </c>
      <c r="AE135" s="129">
        <v>-1920522</v>
      </c>
      <c r="AF135" s="129">
        <v>0</v>
      </c>
      <c r="AG135" s="129">
        <v>-19205215</v>
      </c>
      <c r="AH135" s="755">
        <v>0.5</v>
      </c>
      <c r="AI135" s="755">
        <v>0.4</v>
      </c>
      <c r="AJ135" s="755">
        <v>0.1</v>
      </c>
      <c r="AK135" s="755">
        <v>0</v>
      </c>
      <c r="AL135" s="755">
        <v>1</v>
      </c>
      <c r="AM135" s="129">
        <v>0</v>
      </c>
      <c r="AN135" s="129">
        <v>0</v>
      </c>
      <c r="AO135" s="129">
        <v>0</v>
      </c>
      <c r="AP135" s="129">
        <v>0</v>
      </c>
      <c r="AQ135" s="129">
        <v>0</v>
      </c>
      <c r="AR135" s="129">
        <v>-9868385</v>
      </c>
      <c r="AS135" s="129">
        <v>-7894708</v>
      </c>
      <c r="AT135" s="129">
        <v>-2505233</v>
      </c>
      <c r="AU135" s="129">
        <v>0</v>
      </c>
      <c r="AV135" s="129">
        <v>-20268326</v>
      </c>
      <c r="AW135" s="662" t="s">
        <v>138</v>
      </c>
      <c r="AX135" s="324" t="s">
        <v>568</v>
      </c>
      <c r="AY135" s="663" t="s">
        <v>512</v>
      </c>
      <c r="AZ135" s="529" t="s">
        <v>1342</v>
      </c>
    </row>
    <row r="136" spans="1:52" ht="12.75" x14ac:dyDescent="0.2">
      <c r="A136" s="664">
        <v>129</v>
      </c>
      <c r="B136" s="665" t="s">
        <v>141</v>
      </c>
      <c r="C136" s="666" t="s">
        <v>1213</v>
      </c>
      <c r="D136" s="667" t="s">
        <v>1214</v>
      </c>
      <c r="E136" s="668" t="s">
        <v>140</v>
      </c>
      <c r="F136" s="129">
        <v>-81371503</v>
      </c>
      <c r="G136" s="129">
        <v>-6240843</v>
      </c>
      <c r="H136" s="129">
        <v>58836945</v>
      </c>
      <c r="I136" s="129">
        <v>2669925</v>
      </c>
      <c r="J136" s="129">
        <v>56167020</v>
      </c>
      <c r="K136" s="129">
        <v>-18963640</v>
      </c>
      <c r="L136" s="129">
        <v>12642427</v>
      </c>
      <c r="M136" s="129">
        <v>-68729076</v>
      </c>
      <c r="N136" s="755">
        <v>0.25</v>
      </c>
      <c r="O136" s="755">
        <v>0.48</v>
      </c>
      <c r="P136" s="755">
        <v>0.27</v>
      </c>
      <c r="Q136" s="755">
        <v>0</v>
      </c>
      <c r="R136" s="755">
        <v>1</v>
      </c>
      <c r="S136" s="129">
        <v>-1560211</v>
      </c>
      <c r="T136" s="129">
        <v>-2995605</v>
      </c>
      <c r="U136" s="129">
        <v>-1685028</v>
      </c>
      <c r="V136" s="129">
        <v>0</v>
      </c>
      <c r="W136" s="129">
        <v>-6240843</v>
      </c>
      <c r="X136" s="755">
        <v>0.33</v>
      </c>
      <c r="Y136" s="755">
        <v>0.3</v>
      </c>
      <c r="Z136" s="755">
        <v>0.37</v>
      </c>
      <c r="AA136" s="755">
        <v>0</v>
      </c>
      <c r="AB136" s="755">
        <v>1</v>
      </c>
      <c r="AC136" s="129">
        <v>-18535117</v>
      </c>
      <c r="AD136" s="129">
        <v>-16850106</v>
      </c>
      <c r="AE136" s="129">
        <v>-20781797</v>
      </c>
      <c r="AF136" s="129">
        <v>0</v>
      </c>
      <c r="AG136" s="129">
        <v>-56167020</v>
      </c>
      <c r="AH136" s="755">
        <v>0.33</v>
      </c>
      <c r="AI136" s="755">
        <v>0.3</v>
      </c>
      <c r="AJ136" s="755">
        <v>0.37</v>
      </c>
      <c r="AK136" s="755">
        <v>0</v>
      </c>
      <c r="AL136" s="755">
        <v>1</v>
      </c>
      <c r="AM136" s="129">
        <v>-2086000</v>
      </c>
      <c r="AN136" s="129">
        <v>-1896364</v>
      </c>
      <c r="AO136" s="129">
        <v>-2338849</v>
      </c>
      <c r="AP136" s="129">
        <v>0</v>
      </c>
      <c r="AQ136" s="129">
        <v>-6321213</v>
      </c>
      <c r="AR136" s="129">
        <v>-22181328</v>
      </c>
      <c r="AS136" s="129">
        <v>-21742075</v>
      </c>
      <c r="AT136" s="129">
        <v>-24805674</v>
      </c>
      <c r="AU136" s="129">
        <v>0</v>
      </c>
      <c r="AV136" s="129">
        <v>-68729076</v>
      </c>
      <c r="AW136" s="662" t="s">
        <v>140</v>
      </c>
      <c r="AX136" s="324" t="s">
        <v>576</v>
      </c>
      <c r="AY136" s="669" t="s">
        <v>485</v>
      </c>
      <c r="AZ136" s="529" t="s">
        <v>1343</v>
      </c>
    </row>
    <row r="137" spans="1:52" ht="12.75" x14ac:dyDescent="0.2">
      <c r="A137" s="664">
        <v>130</v>
      </c>
      <c r="B137" s="665" t="s">
        <v>143</v>
      </c>
      <c r="C137" s="666" t="s">
        <v>1201</v>
      </c>
      <c r="D137" s="667" t="s">
        <v>1211</v>
      </c>
      <c r="E137" s="668" t="s">
        <v>142</v>
      </c>
      <c r="F137" s="129">
        <v>-26645930</v>
      </c>
      <c r="G137" s="129">
        <v>-747953</v>
      </c>
      <c r="H137" s="129">
        <v>22158726</v>
      </c>
      <c r="I137" s="129">
        <v>982772</v>
      </c>
      <c r="J137" s="129">
        <v>21175954</v>
      </c>
      <c r="K137" s="129">
        <v>-4722023</v>
      </c>
      <c r="L137" s="129">
        <v>3148015</v>
      </c>
      <c r="M137" s="129">
        <v>-23497915</v>
      </c>
      <c r="N137" s="755">
        <v>0.5</v>
      </c>
      <c r="O137" s="755">
        <v>0.4</v>
      </c>
      <c r="P137" s="755">
        <v>0.09</v>
      </c>
      <c r="Q137" s="755">
        <v>0.01</v>
      </c>
      <c r="R137" s="755">
        <v>1</v>
      </c>
      <c r="S137" s="129">
        <v>-373977</v>
      </c>
      <c r="T137" s="129">
        <v>-299181</v>
      </c>
      <c r="U137" s="129">
        <v>-67316</v>
      </c>
      <c r="V137" s="129">
        <v>-7480</v>
      </c>
      <c r="W137" s="129">
        <v>-747953</v>
      </c>
      <c r="X137" s="755">
        <v>0.5</v>
      </c>
      <c r="Y137" s="755">
        <v>0.4</v>
      </c>
      <c r="Z137" s="755">
        <v>0.09</v>
      </c>
      <c r="AA137" s="755">
        <v>0.01</v>
      </c>
      <c r="AB137" s="755">
        <v>1</v>
      </c>
      <c r="AC137" s="129">
        <v>-10587977</v>
      </c>
      <c r="AD137" s="129">
        <v>-8470382</v>
      </c>
      <c r="AE137" s="129">
        <v>-1905836</v>
      </c>
      <c r="AF137" s="129">
        <v>-211760</v>
      </c>
      <c r="AG137" s="129">
        <v>-21175954</v>
      </c>
      <c r="AH137" s="755">
        <v>0.5</v>
      </c>
      <c r="AI137" s="755">
        <v>0.4</v>
      </c>
      <c r="AJ137" s="755">
        <v>0.09</v>
      </c>
      <c r="AK137" s="755">
        <v>0.01</v>
      </c>
      <c r="AL137" s="755">
        <v>1</v>
      </c>
      <c r="AM137" s="129">
        <v>-787004</v>
      </c>
      <c r="AN137" s="129">
        <v>-629603</v>
      </c>
      <c r="AO137" s="129">
        <v>-141661</v>
      </c>
      <c r="AP137" s="129">
        <v>-15740</v>
      </c>
      <c r="AQ137" s="129">
        <v>-1574008</v>
      </c>
      <c r="AR137" s="129">
        <v>-11748957</v>
      </c>
      <c r="AS137" s="129">
        <v>-9399166</v>
      </c>
      <c r="AT137" s="129">
        <v>-2114812</v>
      </c>
      <c r="AU137" s="129">
        <v>-234979</v>
      </c>
      <c r="AV137" s="129">
        <v>-23497915</v>
      </c>
      <c r="AW137" s="662" t="s">
        <v>142</v>
      </c>
      <c r="AX137" s="324" t="s">
        <v>503</v>
      </c>
      <c r="AY137" s="663" t="s">
        <v>502</v>
      </c>
      <c r="AZ137" s="529" t="s">
        <v>1344</v>
      </c>
    </row>
    <row r="138" spans="1:52" ht="12.75" x14ac:dyDescent="0.2">
      <c r="A138" s="664">
        <v>131</v>
      </c>
      <c r="B138" s="665" t="s">
        <v>145</v>
      </c>
      <c r="C138" s="666" t="s">
        <v>1201</v>
      </c>
      <c r="D138" s="667" t="s">
        <v>1204</v>
      </c>
      <c r="E138" s="668" t="s">
        <v>144</v>
      </c>
      <c r="F138" s="129">
        <v>-7713892</v>
      </c>
      <c r="G138" s="129">
        <v>371817</v>
      </c>
      <c r="H138" s="129">
        <v>8327072</v>
      </c>
      <c r="I138" s="129">
        <v>411607</v>
      </c>
      <c r="J138" s="129">
        <v>7915465</v>
      </c>
      <c r="K138" s="129">
        <v>-170244</v>
      </c>
      <c r="L138" s="129">
        <v>113496</v>
      </c>
      <c r="M138" s="129">
        <v>-7600396</v>
      </c>
      <c r="N138" s="755">
        <v>0.25</v>
      </c>
      <c r="O138" s="755">
        <v>0.56000000000000005</v>
      </c>
      <c r="P138" s="755">
        <v>0.17499999999999999</v>
      </c>
      <c r="Q138" s="755">
        <v>1.4999999999999999E-2</v>
      </c>
      <c r="R138" s="755">
        <v>1</v>
      </c>
      <c r="S138" s="129">
        <v>92954</v>
      </c>
      <c r="T138" s="129">
        <v>208218</v>
      </c>
      <c r="U138" s="129">
        <v>65068</v>
      </c>
      <c r="V138" s="129">
        <v>5577</v>
      </c>
      <c r="W138" s="129">
        <v>371817</v>
      </c>
      <c r="X138" s="755">
        <v>0.5</v>
      </c>
      <c r="Y138" s="755">
        <v>0.4</v>
      </c>
      <c r="Z138" s="755">
        <v>0.09</v>
      </c>
      <c r="AA138" s="755">
        <v>0.01</v>
      </c>
      <c r="AB138" s="755">
        <v>1</v>
      </c>
      <c r="AC138" s="129">
        <v>-3957733</v>
      </c>
      <c r="AD138" s="129">
        <v>-3166186</v>
      </c>
      <c r="AE138" s="129">
        <v>-712392</v>
      </c>
      <c r="AF138" s="129">
        <v>-79155</v>
      </c>
      <c r="AG138" s="129">
        <v>-7915465</v>
      </c>
      <c r="AH138" s="755">
        <v>0.5</v>
      </c>
      <c r="AI138" s="755">
        <v>0.4</v>
      </c>
      <c r="AJ138" s="755">
        <v>0.09</v>
      </c>
      <c r="AK138" s="755">
        <v>0.01</v>
      </c>
      <c r="AL138" s="755">
        <v>1</v>
      </c>
      <c r="AM138" s="129">
        <v>-28374</v>
      </c>
      <c r="AN138" s="129">
        <v>-22699</v>
      </c>
      <c r="AO138" s="129">
        <v>-5107</v>
      </c>
      <c r="AP138" s="129">
        <v>-567</v>
      </c>
      <c r="AQ138" s="129">
        <v>-56748</v>
      </c>
      <c r="AR138" s="129">
        <v>-3893152</v>
      </c>
      <c r="AS138" s="129">
        <v>-2980668</v>
      </c>
      <c r="AT138" s="129">
        <v>-652431</v>
      </c>
      <c r="AU138" s="129">
        <v>-74145</v>
      </c>
      <c r="AV138" s="129">
        <v>-7600396</v>
      </c>
      <c r="AW138" s="662" t="s">
        <v>144</v>
      </c>
      <c r="AX138" s="324" t="s">
        <v>547</v>
      </c>
      <c r="AY138" s="663" t="s">
        <v>545</v>
      </c>
      <c r="AZ138" s="529" t="s">
        <v>1345</v>
      </c>
    </row>
    <row r="139" spans="1:52" ht="12.75" x14ac:dyDescent="0.2">
      <c r="A139" s="664">
        <v>132</v>
      </c>
      <c r="B139" s="665" t="s">
        <v>147</v>
      </c>
      <c r="C139" s="666" t="s">
        <v>1201</v>
      </c>
      <c r="D139" s="667" t="s">
        <v>1211</v>
      </c>
      <c r="E139" s="668" t="s">
        <v>146</v>
      </c>
      <c r="F139" s="129">
        <v>-30177795</v>
      </c>
      <c r="G139" s="129">
        <v>-1577879</v>
      </c>
      <c r="H139" s="129">
        <v>27038148</v>
      </c>
      <c r="I139" s="129">
        <v>822531</v>
      </c>
      <c r="J139" s="129">
        <v>26215617</v>
      </c>
      <c r="K139" s="129">
        <v>-2384299</v>
      </c>
      <c r="L139" s="129">
        <v>1589533</v>
      </c>
      <c r="M139" s="129">
        <v>-28588262</v>
      </c>
      <c r="N139" s="755">
        <v>0.5</v>
      </c>
      <c r="O139" s="755">
        <v>0.4</v>
      </c>
      <c r="P139" s="755">
        <v>0.1</v>
      </c>
      <c r="Q139" s="755">
        <v>0</v>
      </c>
      <c r="R139" s="755">
        <v>1</v>
      </c>
      <c r="S139" s="129">
        <v>-788940</v>
      </c>
      <c r="T139" s="129">
        <v>-631152</v>
      </c>
      <c r="U139" s="129">
        <v>-157788</v>
      </c>
      <c r="V139" s="129">
        <v>0</v>
      </c>
      <c r="W139" s="129">
        <v>-1577879</v>
      </c>
      <c r="X139" s="755">
        <v>0.5</v>
      </c>
      <c r="Y139" s="755">
        <v>0.4</v>
      </c>
      <c r="Z139" s="755">
        <v>0.1</v>
      </c>
      <c r="AA139" s="755">
        <v>0</v>
      </c>
      <c r="AB139" s="755">
        <v>1</v>
      </c>
      <c r="AC139" s="129">
        <v>-13107809</v>
      </c>
      <c r="AD139" s="129">
        <v>-10486247</v>
      </c>
      <c r="AE139" s="129">
        <v>-2621562</v>
      </c>
      <c r="AF139" s="129">
        <v>0</v>
      </c>
      <c r="AG139" s="129">
        <v>-26215617</v>
      </c>
      <c r="AH139" s="755">
        <v>0.5</v>
      </c>
      <c r="AI139" s="755">
        <v>0.4</v>
      </c>
      <c r="AJ139" s="755">
        <v>0.1</v>
      </c>
      <c r="AK139" s="755">
        <v>0</v>
      </c>
      <c r="AL139" s="755">
        <v>1</v>
      </c>
      <c r="AM139" s="129">
        <v>-397383</v>
      </c>
      <c r="AN139" s="129">
        <v>-317907</v>
      </c>
      <c r="AO139" s="129">
        <v>-79477</v>
      </c>
      <c r="AP139" s="129">
        <v>0</v>
      </c>
      <c r="AQ139" s="129">
        <v>-794766</v>
      </c>
      <c r="AR139" s="129">
        <v>-14294131</v>
      </c>
      <c r="AS139" s="129">
        <v>-11435305</v>
      </c>
      <c r="AT139" s="129">
        <v>-2858826</v>
      </c>
      <c r="AU139" s="129">
        <v>0</v>
      </c>
      <c r="AV139" s="129">
        <v>-28588262</v>
      </c>
      <c r="AW139" s="662" t="s">
        <v>146</v>
      </c>
      <c r="AX139" s="324" t="s">
        <v>565</v>
      </c>
      <c r="AY139" s="663" t="s">
        <v>512</v>
      </c>
      <c r="AZ139" s="529" t="s">
        <v>1346</v>
      </c>
    </row>
    <row r="140" spans="1:52" ht="12.75" x14ac:dyDescent="0.2">
      <c r="A140" s="664">
        <v>133</v>
      </c>
      <c r="B140" s="665" t="s">
        <v>148</v>
      </c>
      <c r="C140" s="666" t="s">
        <v>486</v>
      </c>
      <c r="D140" s="667" t="s">
        <v>1202</v>
      </c>
      <c r="E140" s="668" t="s">
        <v>820</v>
      </c>
      <c r="F140" s="129">
        <v>-27399124</v>
      </c>
      <c r="G140" s="129">
        <v>-445245</v>
      </c>
      <c r="H140" s="129">
        <v>24468498</v>
      </c>
      <c r="I140" s="129">
        <v>859318</v>
      </c>
      <c r="J140" s="129">
        <v>23609180</v>
      </c>
      <c r="K140" s="129">
        <v>-3344699</v>
      </c>
      <c r="L140" s="129">
        <v>2229799</v>
      </c>
      <c r="M140" s="129">
        <v>-25169325</v>
      </c>
      <c r="N140" s="755">
        <v>0.25</v>
      </c>
      <c r="O140" s="755">
        <v>0.74</v>
      </c>
      <c r="P140" s="755">
        <v>0</v>
      </c>
      <c r="Q140" s="755">
        <v>0.01</v>
      </c>
      <c r="R140" s="755">
        <v>1</v>
      </c>
      <c r="S140" s="129">
        <v>-111311</v>
      </c>
      <c r="T140" s="129">
        <v>-329481</v>
      </c>
      <c r="U140" s="129">
        <v>0</v>
      </c>
      <c r="V140" s="129">
        <v>-4452</v>
      </c>
      <c r="W140" s="129">
        <v>-445245</v>
      </c>
      <c r="X140" s="755">
        <v>0.5</v>
      </c>
      <c r="Y140" s="755">
        <v>0.49</v>
      </c>
      <c r="Z140" s="755">
        <v>0</v>
      </c>
      <c r="AA140" s="755">
        <v>0.01</v>
      </c>
      <c r="AB140" s="755">
        <v>1</v>
      </c>
      <c r="AC140" s="129">
        <v>-11804590</v>
      </c>
      <c r="AD140" s="129">
        <v>-11568498</v>
      </c>
      <c r="AE140" s="129">
        <v>0</v>
      </c>
      <c r="AF140" s="129">
        <v>-236092</v>
      </c>
      <c r="AG140" s="129">
        <v>-23609180</v>
      </c>
      <c r="AH140" s="755">
        <v>0.5</v>
      </c>
      <c r="AI140" s="755">
        <v>0.49</v>
      </c>
      <c r="AJ140" s="755">
        <v>0</v>
      </c>
      <c r="AK140" s="755">
        <v>0.01</v>
      </c>
      <c r="AL140" s="755">
        <v>1</v>
      </c>
      <c r="AM140" s="129">
        <v>-557450</v>
      </c>
      <c r="AN140" s="129">
        <v>-546301</v>
      </c>
      <c r="AO140" s="129">
        <v>0</v>
      </c>
      <c r="AP140" s="129">
        <v>-11149</v>
      </c>
      <c r="AQ140" s="129">
        <v>-1114900</v>
      </c>
      <c r="AR140" s="129">
        <v>-12473351</v>
      </c>
      <c r="AS140" s="129">
        <v>-12444280</v>
      </c>
      <c r="AT140" s="129">
        <v>0</v>
      </c>
      <c r="AU140" s="129">
        <v>-251693</v>
      </c>
      <c r="AV140" s="129">
        <v>-25169325</v>
      </c>
      <c r="AW140" s="662" t="s">
        <v>820</v>
      </c>
      <c r="AX140" s="324" t="s">
        <v>486</v>
      </c>
      <c r="AY140" s="663" t="s">
        <v>1914</v>
      </c>
      <c r="AZ140" s="529" t="s">
        <v>1347</v>
      </c>
    </row>
    <row r="141" spans="1:52" ht="12.75" x14ac:dyDescent="0.2">
      <c r="A141" s="664">
        <v>134</v>
      </c>
      <c r="B141" s="665" t="s">
        <v>149</v>
      </c>
      <c r="C141" s="666" t="s">
        <v>486</v>
      </c>
      <c r="D141" s="667" t="s">
        <v>1224</v>
      </c>
      <c r="E141" s="668" t="s">
        <v>821</v>
      </c>
      <c r="F141" s="129">
        <v>-1321327</v>
      </c>
      <c r="G141" s="129">
        <v>126718</v>
      </c>
      <c r="H141" s="129">
        <v>1203449</v>
      </c>
      <c r="I141" s="129">
        <v>61186</v>
      </c>
      <c r="J141" s="129">
        <v>1142263</v>
      </c>
      <c r="K141" s="129">
        <v>-305782</v>
      </c>
      <c r="L141" s="129">
        <v>203855</v>
      </c>
      <c r="M141" s="129">
        <v>-1117472</v>
      </c>
      <c r="N141" s="755">
        <v>0.5</v>
      </c>
      <c r="O141" s="755">
        <v>0.5</v>
      </c>
      <c r="P141" s="755">
        <v>0</v>
      </c>
      <c r="Q141" s="755">
        <v>0</v>
      </c>
      <c r="R141" s="755">
        <v>1</v>
      </c>
      <c r="S141" s="129">
        <v>63359</v>
      </c>
      <c r="T141" s="129">
        <v>63359</v>
      </c>
      <c r="U141" s="129">
        <v>0</v>
      </c>
      <c r="V141" s="129">
        <v>0</v>
      </c>
      <c r="W141" s="129">
        <v>126718</v>
      </c>
      <c r="X141" s="755">
        <v>0.5</v>
      </c>
      <c r="Y141" s="755">
        <v>0.5</v>
      </c>
      <c r="Z141" s="755">
        <v>0</v>
      </c>
      <c r="AA141" s="755">
        <v>0</v>
      </c>
      <c r="AB141" s="755">
        <v>1</v>
      </c>
      <c r="AC141" s="129">
        <v>-571132</v>
      </c>
      <c r="AD141" s="129">
        <v>-571132</v>
      </c>
      <c r="AE141" s="129">
        <v>0</v>
      </c>
      <c r="AF141" s="129">
        <v>0</v>
      </c>
      <c r="AG141" s="129">
        <v>-1142263</v>
      </c>
      <c r="AH141" s="755">
        <v>0.5</v>
      </c>
      <c r="AI141" s="755">
        <v>0.5</v>
      </c>
      <c r="AJ141" s="755">
        <v>0</v>
      </c>
      <c r="AK141" s="755">
        <v>0</v>
      </c>
      <c r="AL141" s="755">
        <v>1</v>
      </c>
      <c r="AM141" s="129">
        <v>-50964</v>
      </c>
      <c r="AN141" s="129">
        <v>-50964</v>
      </c>
      <c r="AO141" s="129">
        <v>0</v>
      </c>
      <c r="AP141" s="129">
        <v>0</v>
      </c>
      <c r="AQ141" s="129">
        <v>-101927</v>
      </c>
      <c r="AR141" s="129">
        <v>-558736</v>
      </c>
      <c r="AS141" s="129">
        <v>-558736</v>
      </c>
      <c r="AT141" s="129">
        <v>0</v>
      </c>
      <c r="AU141" s="129">
        <v>0</v>
      </c>
      <c r="AV141" s="129">
        <v>-1117472</v>
      </c>
      <c r="AW141" s="662" t="s">
        <v>821</v>
      </c>
      <c r="AX141" s="324" t="s">
        <v>486</v>
      </c>
      <c r="AY141" s="663" t="s">
        <v>512</v>
      </c>
      <c r="AZ141" s="529" t="s">
        <v>1348</v>
      </c>
    </row>
    <row r="142" spans="1:52" ht="12.75" x14ac:dyDescent="0.2">
      <c r="A142" s="664">
        <v>135</v>
      </c>
      <c r="B142" s="665" t="s">
        <v>151</v>
      </c>
      <c r="C142" s="666" t="s">
        <v>1257</v>
      </c>
      <c r="D142" s="667" t="s">
        <v>1214</v>
      </c>
      <c r="E142" s="668" t="s">
        <v>150</v>
      </c>
      <c r="F142" s="129">
        <v>-84656790</v>
      </c>
      <c r="G142" s="129">
        <v>2484025</v>
      </c>
      <c r="H142" s="129">
        <v>83214992</v>
      </c>
      <c r="I142" s="129">
        <v>7087442</v>
      </c>
      <c r="J142" s="129">
        <v>76127550</v>
      </c>
      <c r="K142" s="129">
        <v>-11013265</v>
      </c>
      <c r="L142" s="129">
        <v>7342177</v>
      </c>
      <c r="M142" s="129">
        <v>-77314613</v>
      </c>
      <c r="N142" s="755">
        <v>0.25</v>
      </c>
      <c r="O142" s="755">
        <v>0.48</v>
      </c>
      <c r="P142" s="755">
        <v>0.27</v>
      </c>
      <c r="Q142" s="755">
        <v>0</v>
      </c>
      <c r="R142" s="755">
        <v>1</v>
      </c>
      <c r="S142" s="129">
        <v>621006</v>
      </c>
      <c r="T142" s="129">
        <v>1192332</v>
      </c>
      <c r="U142" s="129">
        <v>670687</v>
      </c>
      <c r="V142" s="129">
        <v>0</v>
      </c>
      <c r="W142" s="129">
        <v>2484025</v>
      </c>
      <c r="X142" s="755">
        <v>0.33</v>
      </c>
      <c r="Y142" s="755">
        <v>0.3</v>
      </c>
      <c r="Z142" s="755">
        <v>0.37</v>
      </c>
      <c r="AA142" s="755">
        <v>0</v>
      </c>
      <c r="AB142" s="755">
        <v>1</v>
      </c>
      <c r="AC142" s="129">
        <v>-25122092</v>
      </c>
      <c r="AD142" s="129">
        <v>-22838265</v>
      </c>
      <c r="AE142" s="129">
        <v>-28167194</v>
      </c>
      <c r="AF142" s="129">
        <v>0</v>
      </c>
      <c r="AG142" s="129">
        <v>-76127550</v>
      </c>
      <c r="AH142" s="755">
        <v>0.33</v>
      </c>
      <c r="AI142" s="755">
        <v>0.3</v>
      </c>
      <c r="AJ142" s="755">
        <v>0.37</v>
      </c>
      <c r="AK142" s="755">
        <v>0</v>
      </c>
      <c r="AL142" s="755">
        <v>1</v>
      </c>
      <c r="AM142" s="129">
        <v>-1211459</v>
      </c>
      <c r="AN142" s="129">
        <v>-1101327</v>
      </c>
      <c r="AO142" s="129">
        <v>-1358303</v>
      </c>
      <c r="AP142" s="129">
        <v>0</v>
      </c>
      <c r="AQ142" s="129">
        <v>-3671088</v>
      </c>
      <c r="AR142" s="129">
        <v>-25712544</v>
      </c>
      <c r="AS142" s="129">
        <v>-22747260</v>
      </c>
      <c r="AT142" s="129">
        <v>-28854809</v>
      </c>
      <c r="AU142" s="129">
        <v>0</v>
      </c>
      <c r="AV142" s="129">
        <v>-77314613</v>
      </c>
      <c r="AW142" s="662" t="s">
        <v>150</v>
      </c>
      <c r="AX142" s="324" t="s">
        <v>576</v>
      </c>
      <c r="AY142" s="669" t="s">
        <v>485</v>
      </c>
      <c r="AZ142" s="529" t="s">
        <v>1349</v>
      </c>
    </row>
    <row r="143" spans="1:52" ht="12.75" x14ac:dyDescent="0.2">
      <c r="A143" s="664">
        <v>136</v>
      </c>
      <c r="B143" s="665" t="s">
        <v>153</v>
      </c>
      <c r="C143" s="666" t="s">
        <v>1257</v>
      </c>
      <c r="D143" s="667" t="s">
        <v>1214</v>
      </c>
      <c r="E143" s="668" t="s">
        <v>152</v>
      </c>
      <c r="F143" s="129">
        <v>-264477149</v>
      </c>
      <c r="G143" s="129">
        <v>5886371</v>
      </c>
      <c r="H143" s="129">
        <v>233272984</v>
      </c>
      <c r="I143" s="129">
        <v>5918417</v>
      </c>
      <c r="J143" s="129">
        <v>227354567</v>
      </c>
      <c r="K143" s="129">
        <v>-43008953</v>
      </c>
      <c r="L143" s="129">
        <v>28672635</v>
      </c>
      <c r="M143" s="129">
        <v>-235804514</v>
      </c>
      <c r="N143" s="755">
        <v>0.25</v>
      </c>
      <c r="O143" s="755">
        <v>0.48</v>
      </c>
      <c r="P143" s="755">
        <v>0.27</v>
      </c>
      <c r="Q143" s="755">
        <v>0</v>
      </c>
      <c r="R143" s="755">
        <v>1</v>
      </c>
      <c r="S143" s="129">
        <v>1471593</v>
      </c>
      <c r="T143" s="129">
        <v>2825458</v>
      </c>
      <c r="U143" s="129">
        <v>1589320</v>
      </c>
      <c r="V143" s="129">
        <v>0</v>
      </c>
      <c r="W143" s="129">
        <v>5886371</v>
      </c>
      <c r="X143" s="755">
        <v>0.33</v>
      </c>
      <c r="Y143" s="755">
        <v>0.3</v>
      </c>
      <c r="Z143" s="755">
        <v>0.37</v>
      </c>
      <c r="AA143" s="755">
        <v>0</v>
      </c>
      <c r="AB143" s="755">
        <v>1</v>
      </c>
      <c r="AC143" s="129">
        <v>-75027007</v>
      </c>
      <c r="AD143" s="129">
        <v>-68206370</v>
      </c>
      <c r="AE143" s="129">
        <v>-84121190</v>
      </c>
      <c r="AF143" s="129">
        <v>0</v>
      </c>
      <c r="AG143" s="129">
        <v>-227354567</v>
      </c>
      <c r="AH143" s="755">
        <v>0.33</v>
      </c>
      <c r="AI143" s="755">
        <v>0.3</v>
      </c>
      <c r="AJ143" s="755">
        <v>0.37</v>
      </c>
      <c r="AK143" s="755">
        <v>0</v>
      </c>
      <c r="AL143" s="755">
        <v>1</v>
      </c>
      <c r="AM143" s="129">
        <v>-4730985</v>
      </c>
      <c r="AN143" s="129">
        <v>-4300895</v>
      </c>
      <c r="AO143" s="129">
        <v>-5304438</v>
      </c>
      <c r="AP143" s="129">
        <v>0</v>
      </c>
      <c r="AQ143" s="129">
        <v>-14336318</v>
      </c>
      <c r="AR143" s="129">
        <v>-78286399</v>
      </c>
      <c r="AS143" s="129">
        <v>-69681807</v>
      </c>
      <c r="AT143" s="129">
        <v>-87836307</v>
      </c>
      <c r="AU143" s="129">
        <v>0</v>
      </c>
      <c r="AV143" s="129">
        <v>-235804514</v>
      </c>
      <c r="AW143" s="662" t="s">
        <v>152</v>
      </c>
      <c r="AX143" s="324" t="s">
        <v>576</v>
      </c>
      <c r="AY143" s="669" t="s">
        <v>485</v>
      </c>
      <c r="AZ143" s="529" t="s">
        <v>1350</v>
      </c>
    </row>
    <row r="144" spans="1:52" ht="12.75" x14ac:dyDescent="0.2">
      <c r="A144" s="664">
        <v>137</v>
      </c>
      <c r="B144" s="665" t="s">
        <v>155</v>
      </c>
      <c r="C144" s="666" t="s">
        <v>1201</v>
      </c>
      <c r="D144" s="667" t="s">
        <v>1211</v>
      </c>
      <c r="E144" s="668" t="s">
        <v>823</v>
      </c>
      <c r="F144" s="129">
        <v>-19292914</v>
      </c>
      <c r="G144" s="129">
        <v>-98214</v>
      </c>
      <c r="H144" s="129">
        <v>22116000</v>
      </c>
      <c r="I144" s="129">
        <v>1000000</v>
      </c>
      <c r="J144" s="129">
        <v>21116000</v>
      </c>
      <c r="K144" s="129">
        <v>1921300</v>
      </c>
      <c r="L144" s="129">
        <v>0</v>
      </c>
      <c r="M144" s="129">
        <v>-19292914</v>
      </c>
      <c r="N144" s="755">
        <v>0.25</v>
      </c>
      <c r="O144" s="755">
        <v>0.42499999999999999</v>
      </c>
      <c r="P144" s="755">
        <v>0.32500000000000001</v>
      </c>
      <c r="Q144" s="755">
        <v>0</v>
      </c>
      <c r="R144" s="755">
        <v>1</v>
      </c>
      <c r="S144" s="129">
        <v>-24554</v>
      </c>
      <c r="T144" s="129">
        <v>-41741</v>
      </c>
      <c r="U144" s="129">
        <v>-31920</v>
      </c>
      <c r="V144" s="129">
        <v>0</v>
      </c>
      <c r="W144" s="129">
        <v>-98214</v>
      </c>
      <c r="X144" s="755">
        <v>0.5</v>
      </c>
      <c r="Y144" s="755">
        <v>0.4</v>
      </c>
      <c r="Z144" s="755">
        <v>0.1</v>
      </c>
      <c r="AA144" s="755">
        <v>0</v>
      </c>
      <c r="AB144" s="755">
        <v>1</v>
      </c>
      <c r="AC144" s="129">
        <v>-9597350</v>
      </c>
      <c r="AD144" s="129">
        <v>-7677880</v>
      </c>
      <c r="AE144" s="129">
        <v>-1919470</v>
      </c>
      <c r="AF144" s="129">
        <v>0</v>
      </c>
      <c r="AG144" s="129">
        <v>-19194700</v>
      </c>
      <c r="AH144" s="755">
        <v>0.5</v>
      </c>
      <c r="AI144" s="755">
        <v>0.4</v>
      </c>
      <c r="AJ144" s="755">
        <v>0.1</v>
      </c>
      <c r="AK144" s="755">
        <v>0</v>
      </c>
      <c r="AL144" s="755">
        <v>1</v>
      </c>
      <c r="AM144" s="129">
        <v>0</v>
      </c>
      <c r="AN144" s="129">
        <v>0</v>
      </c>
      <c r="AO144" s="129">
        <v>0</v>
      </c>
      <c r="AP144" s="129">
        <v>0</v>
      </c>
      <c r="AQ144" s="129">
        <v>0</v>
      </c>
      <c r="AR144" s="129">
        <v>-9621904</v>
      </c>
      <c r="AS144" s="129">
        <v>-7719621</v>
      </c>
      <c r="AT144" s="129">
        <v>-1951390</v>
      </c>
      <c r="AU144" s="129">
        <v>0</v>
      </c>
      <c r="AV144" s="129">
        <v>-19292914</v>
      </c>
      <c r="AW144" s="662" t="s">
        <v>823</v>
      </c>
      <c r="AX144" s="324" t="s">
        <v>553</v>
      </c>
      <c r="AY144" s="663" t="s">
        <v>512</v>
      </c>
      <c r="AZ144" s="529" t="s">
        <v>1351</v>
      </c>
    </row>
    <row r="145" spans="1:52" ht="12.75" x14ac:dyDescent="0.2">
      <c r="A145" s="664">
        <v>138</v>
      </c>
      <c r="B145" s="665" t="s">
        <v>157</v>
      </c>
      <c r="C145" s="666" t="s">
        <v>486</v>
      </c>
      <c r="D145" s="667" t="s">
        <v>1218</v>
      </c>
      <c r="E145" s="668" t="s">
        <v>819</v>
      </c>
      <c r="F145" s="129">
        <v>-45193873</v>
      </c>
      <c r="G145" s="129">
        <v>4289674</v>
      </c>
      <c r="H145" s="129">
        <v>42107812</v>
      </c>
      <c r="I145" s="129">
        <v>1800000</v>
      </c>
      <c r="J145" s="129">
        <v>40307812</v>
      </c>
      <c r="K145" s="129">
        <v>-9175735</v>
      </c>
      <c r="L145" s="129">
        <v>6117157</v>
      </c>
      <c r="M145" s="129">
        <v>-39076716</v>
      </c>
      <c r="N145" s="755">
        <v>0.5</v>
      </c>
      <c r="O145" s="755">
        <v>0.49</v>
      </c>
      <c r="P145" s="755">
        <v>0</v>
      </c>
      <c r="Q145" s="755">
        <v>0.01</v>
      </c>
      <c r="R145" s="755">
        <v>1</v>
      </c>
      <c r="S145" s="129">
        <v>2144837</v>
      </c>
      <c r="T145" s="129">
        <v>2101940</v>
      </c>
      <c r="U145" s="129">
        <v>0</v>
      </c>
      <c r="V145" s="129">
        <v>42897</v>
      </c>
      <c r="W145" s="129">
        <v>4289674</v>
      </c>
      <c r="X145" s="755">
        <v>0.5</v>
      </c>
      <c r="Y145" s="755">
        <v>0.49</v>
      </c>
      <c r="Z145" s="755">
        <v>0</v>
      </c>
      <c r="AA145" s="755">
        <v>0.01</v>
      </c>
      <c r="AB145" s="755">
        <v>1</v>
      </c>
      <c r="AC145" s="129">
        <v>-20153906</v>
      </c>
      <c r="AD145" s="129">
        <v>-19750828</v>
      </c>
      <c r="AE145" s="129">
        <v>0</v>
      </c>
      <c r="AF145" s="129">
        <v>-403078</v>
      </c>
      <c r="AG145" s="129">
        <v>-40307812</v>
      </c>
      <c r="AH145" s="755">
        <v>0.5</v>
      </c>
      <c r="AI145" s="755">
        <v>0.49</v>
      </c>
      <c r="AJ145" s="755">
        <v>0</v>
      </c>
      <c r="AK145" s="755">
        <v>0.01</v>
      </c>
      <c r="AL145" s="755">
        <v>1</v>
      </c>
      <c r="AM145" s="129">
        <v>-1529289</v>
      </c>
      <c r="AN145" s="129">
        <v>-1498703</v>
      </c>
      <c r="AO145" s="129">
        <v>0</v>
      </c>
      <c r="AP145" s="129">
        <v>-30586</v>
      </c>
      <c r="AQ145" s="129">
        <v>-3058578</v>
      </c>
      <c r="AR145" s="129">
        <v>-19538358</v>
      </c>
      <c r="AS145" s="129">
        <v>-19147591</v>
      </c>
      <c r="AT145" s="129">
        <v>0</v>
      </c>
      <c r="AU145" s="129">
        <v>-390767</v>
      </c>
      <c r="AV145" s="129">
        <v>-39076716</v>
      </c>
      <c r="AW145" s="662" t="s">
        <v>819</v>
      </c>
      <c r="AX145" s="324" t="s">
        <v>486</v>
      </c>
      <c r="AY145" s="663" t="s">
        <v>538</v>
      </c>
      <c r="AZ145" s="529" t="s">
        <v>1352</v>
      </c>
    </row>
    <row r="146" spans="1:52" ht="12.75" x14ac:dyDescent="0.2">
      <c r="A146" s="664">
        <v>139</v>
      </c>
      <c r="B146" s="665" t="s">
        <v>159</v>
      </c>
      <c r="C146" s="666" t="s">
        <v>1213</v>
      </c>
      <c r="D146" s="667" t="s">
        <v>1214</v>
      </c>
      <c r="E146" s="668" t="s">
        <v>158</v>
      </c>
      <c r="F146" s="129">
        <v>-65240791</v>
      </c>
      <c r="G146" s="129">
        <v>806336</v>
      </c>
      <c r="H146" s="129">
        <v>49603013</v>
      </c>
      <c r="I146" s="129">
        <v>2066000</v>
      </c>
      <c r="J146" s="129">
        <v>47537013</v>
      </c>
      <c r="K146" s="129">
        <v>-18510114</v>
      </c>
      <c r="L146" s="129">
        <v>12340076</v>
      </c>
      <c r="M146" s="129">
        <v>-52900715</v>
      </c>
      <c r="N146" s="755">
        <v>0.25</v>
      </c>
      <c r="O146" s="755">
        <v>0.48</v>
      </c>
      <c r="P146" s="755">
        <v>0.27</v>
      </c>
      <c r="Q146" s="755">
        <v>0</v>
      </c>
      <c r="R146" s="755">
        <v>1</v>
      </c>
      <c r="S146" s="129">
        <v>201584</v>
      </c>
      <c r="T146" s="129">
        <v>387041</v>
      </c>
      <c r="U146" s="129">
        <v>217711</v>
      </c>
      <c r="V146" s="129">
        <v>0</v>
      </c>
      <c r="W146" s="129">
        <v>806336</v>
      </c>
      <c r="X146" s="755">
        <v>0.33</v>
      </c>
      <c r="Y146" s="755">
        <v>0.3</v>
      </c>
      <c r="Z146" s="755">
        <v>0.37</v>
      </c>
      <c r="AA146" s="755">
        <v>0</v>
      </c>
      <c r="AB146" s="755">
        <v>1</v>
      </c>
      <c r="AC146" s="129">
        <v>-15687214</v>
      </c>
      <c r="AD146" s="129">
        <v>-14261104</v>
      </c>
      <c r="AE146" s="129">
        <v>-17588695</v>
      </c>
      <c r="AF146" s="129">
        <v>0</v>
      </c>
      <c r="AG146" s="129">
        <v>-47537013</v>
      </c>
      <c r="AH146" s="755">
        <v>0.33</v>
      </c>
      <c r="AI146" s="755">
        <v>0.3</v>
      </c>
      <c r="AJ146" s="755">
        <v>0.37</v>
      </c>
      <c r="AK146" s="755">
        <v>0</v>
      </c>
      <c r="AL146" s="755">
        <v>1</v>
      </c>
      <c r="AM146" s="129">
        <v>-2036113</v>
      </c>
      <c r="AN146" s="129">
        <v>-1851011</v>
      </c>
      <c r="AO146" s="129">
        <v>-2282914</v>
      </c>
      <c r="AP146" s="129">
        <v>0</v>
      </c>
      <c r="AQ146" s="129">
        <v>-6170038</v>
      </c>
      <c r="AR146" s="129">
        <v>-17521743</v>
      </c>
      <c r="AS146" s="129">
        <v>-15725074</v>
      </c>
      <c r="AT146" s="129">
        <v>-19653898</v>
      </c>
      <c r="AU146" s="129">
        <v>0</v>
      </c>
      <c r="AV146" s="129">
        <v>-52900715</v>
      </c>
      <c r="AW146" s="662" t="s">
        <v>158</v>
      </c>
      <c r="AX146" s="324" t="s">
        <v>576</v>
      </c>
      <c r="AY146" s="669" t="s">
        <v>485</v>
      </c>
      <c r="AZ146" s="529" t="s">
        <v>1353</v>
      </c>
    </row>
    <row r="147" spans="1:52" ht="12.75" x14ac:dyDescent="0.2">
      <c r="A147" s="664">
        <v>140</v>
      </c>
      <c r="B147" s="665" t="s">
        <v>161</v>
      </c>
      <c r="C147" s="666" t="s">
        <v>1217</v>
      </c>
      <c r="D147" s="667" t="s">
        <v>1218</v>
      </c>
      <c r="E147" s="668" t="s">
        <v>160</v>
      </c>
      <c r="F147" s="129">
        <v>-55661625</v>
      </c>
      <c r="G147" s="129">
        <v>416180</v>
      </c>
      <c r="H147" s="129">
        <v>50642219</v>
      </c>
      <c r="I147" s="129">
        <v>2391923</v>
      </c>
      <c r="J147" s="129">
        <v>48250296</v>
      </c>
      <c r="K147" s="129">
        <v>-7827509</v>
      </c>
      <c r="L147" s="129">
        <v>5218339</v>
      </c>
      <c r="M147" s="129">
        <v>-50443285</v>
      </c>
      <c r="N147" s="755">
        <v>0.25</v>
      </c>
      <c r="O147" s="755">
        <v>0.74</v>
      </c>
      <c r="P147" s="755">
        <v>0</v>
      </c>
      <c r="Q147" s="755">
        <v>0.01</v>
      </c>
      <c r="R147" s="755">
        <v>1</v>
      </c>
      <c r="S147" s="129">
        <v>104045</v>
      </c>
      <c r="T147" s="129">
        <v>307974</v>
      </c>
      <c r="U147" s="129">
        <v>0</v>
      </c>
      <c r="V147" s="129">
        <v>4162</v>
      </c>
      <c r="W147" s="129">
        <v>416180</v>
      </c>
      <c r="X147" s="755">
        <v>0.5</v>
      </c>
      <c r="Y147" s="755">
        <v>0.49</v>
      </c>
      <c r="Z147" s="755">
        <v>0</v>
      </c>
      <c r="AA147" s="755">
        <v>0.01</v>
      </c>
      <c r="AB147" s="755">
        <v>1</v>
      </c>
      <c r="AC147" s="129">
        <v>-24125148</v>
      </c>
      <c r="AD147" s="129">
        <v>-23642645</v>
      </c>
      <c r="AE147" s="129">
        <v>0</v>
      </c>
      <c r="AF147" s="129">
        <v>-482503</v>
      </c>
      <c r="AG147" s="129">
        <v>-48250296</v>
      </c>
      <c r="AH147" s="755">
        <v>0.5</v>
      </c>
      <c r="AI147" s="755">
        <v>0.49</v>
      </c>
      <c r="AJ147" s="755">
        <v>0</v>
      </c>
      <c r="AK147" s="755">
        <v>0.01</v>
      </c>
      <c r="AL147" s="755">
        <v>1</v>
      </c>
      <c r="AM147" s="129">
        <v>-1304585</v>
      </c>
      <c r="AN147" s="129">
        <v>-1278493</v>
      </c>
      <c r="AO147" s="129">
        <v>0</v>
      </c>
      <c r="AP147" s="129">
        <v>-26092</v>
      </c>
      <c r="AQ147" s="129">
        <v>-2609170</v>
      </c>
      <c r="AR147" s="129">
        <v>-25325688</v>
      </c>
      <c r="AS147" s="129">
        <v>-24613165</v>
      </c>
      <c r="AT147" s="129">
        <v>0</v>
      </c>
      <c r="AU147" s="129">
        <v>-504433</v>
      </c>
      <c r="AV147" s="129">
        <v>-50443285</v>
      </c>
      <c r="AW147" s="662" t="s">
        <v>160</v>
      </c>
      <c r="AX147" s="324" t="s">
        <v>570</v>
      </c>
      <c r="AY147" s="663" t="s">
        <v>575</v>
      </c>
      <c r="AZ147" s="529" t="s">
        <v>1354</v>
      </c>
    </row>
    <row r="148" spans="1:52" ht="12.75" x14ac:dyDescent="0.2">
      <c r="A148" s="664">
        <v>141</v>
      </c>
      <c r="B148" s="665" t="s">
        <v>163</v>
      </c>
      <c r="C148" s="666" t="s">
        <v>1217</v>
      </c>
      <c r="D148" s="667" t="s">
        <v>1204</v>
      </c>
      <c r="E148" s="668" t="s">
        <v>162</v>
      </c>
      <c r="F148" s="129">
        <v>-16261735</v>
      </c>
      <c r="G148" s="129">
        <v>-2644</v>
      </c>
      <c r="H148" s="129">
        <v>11286181</v>
      </c>
      <c r="I148" s="129">
        <v>466922</v>
      </c>
      <c r="J148" s="129">
        <v>10819259</v>
      </c>
      <c r="K148" s="129">
        <v>-5439832</v>
      </c>
      <c r="L148" s="129">
        <v>3626555</v>
      </c>
      <c r="M148" s="129">
        <v>-12635180</v>
      </c>
      <c r="N148" s="755">
        <v>0</v>
      </c>
      <c r="O148" s="755">
        <v>0.99</v>
      </c>
      <c r="P148" s="755">
        <v>0</v>
      </c>
      <c r="Q148" s="755">
        <v>0.01</v>
      </c>
      <c r="R148" s="755">
        <v>1</v>
      </c>
      <c r="S148" s="129">
        <v>0</v>
      </c>
      <c r="T148" s="129">
        <v>-2618</v>
      </c>
      <c r="U148" s="129">
        <v>0</v>
      </c>
      <c r="V148" s="129">
        <v>-26</v>
      </c>
      <c r="W148" s="129">
        <v>-2644</v>
      </c>
      <c r="X148" s="755">
        <v>0</v>
      </c>
      <c r="Y148" s="755">
        <v>0.99</v>
      </c>
      <c r="Z148" s="755">
        <v>0</v>
      </c>
      <c r="AA148" s="755">
        <v>0.01</v>
      </c>
      <c r="AB148" s="755">
        <v>1</v>
      </c>
      <c r="AC148" s="129">
        <v>0</v>
      </c>
      <c r="AD148" s="129">
        <v>-10711066</v>
      </c>
      <c r="AE148" s="129">
        <v>0</v>
      </c>
      <c r="AF148" s="129">
        <v>-108193</v>
      </c>
      <c r="AG148" s="129">
        <v>-10819259</v>
      </c>
      <c r="AH148" s="755">
        <v>0</v>
      </c>
      <c r="AI148" s="755">
        <v>0.99</v>
      </c>
      <c r="AJ148" s="755">
        <v>0</v>
      </c>
      <c r="AK148" s="755">
        <v>0.01</v>
      </c>
      <c r="AL148" s="755">
        <v>1</v>
      </c>
      <c r="AM148" s="129">
        <v>0</v>
      </c>
      <c r="AN148" s="129">
        <v>-1795145</v>
      </c>
      <c r="AO148" s="129">
        <v>0</v>
      </c>
      <c r="AP148" s="129">
        <v>-18133</v>
      </c>
      <c r="AQ148" s="129">
        <v>-1813277</v>
      </c>
      <c r="AR148" s="129">
        <v>0</v>
      </c>
      <c r="AS148" s="129">
        <v>-12508829</v>
      </c>
      <c r="AT148" s="129">
        <v>0</v>
      </c>
      <c r="AU148" s="129">
        <v>-126352</v>
      </c>
      <c r="AV148" s="129">
        <v>-12635180</v>
      </c>
      <c r="AW148" s="662" t="s">
        <v>162</v>
      </c>
      <c r="AX148" s="324" t="s">
        <v>570</v>
      </c>
      <c r="AY148" s="663" t="s">
        <v>571</v>
      </c>
      <c r="AZ148" s="529" t="s">
        <v>1355</v>
      </c>
    </row>
    <row r="149" spans="1:52" ht="12.75" x14ac:dyDescent="0.2">
      <c r="A149" s="664">
        <v>142</v>
      </c>
      <c r="B149" s="665" t="s">
        <v>165</v>
      </c>
      <c r="C149" s="666" t="s">
        <v>1257</v>
      </c>
      <c r="D149" s="667" t="s">
        <v>1214</v>
      </c>
      <c r="E149" s="668" t="s">
        <v>164</v>
      </c>
      <c r="F149" s="129">
        <v>-84692237</v>
      </c>
      <c r="G149" s="129">
        <v>-2417265</v>
      </c>
      <c r="H149" s="129">
        <v>86144906</v>
      </c>
      <c r="I149" s="129">
        <v>3564701</v>
      </c>
      <c r="J149" s="129">
        <v>82580205</v>
      </c>
      <c r="K149" s="129">
        <v>305233</v>
      </c>
      <c r="L149" s="129">
        <v>0</v>
      </c>
      <c r="M149" s="129">
        <v>-84692237</v>
      </c>
      <c r="N149" s="755">
        <v>0.25</v>
      </c>
      <c r="O149" s="755">
        <v>0.48</v>
      </c>
      <c r="P149" s="755">
        <v>0.27</v>
      </c>
      <c r="Q149" s="755">
        <v>0</v>
      </c>
      <c r="R149" s="755">
        <v>1</v>
      </c>
      <c r="S149" s="129">
        <v>-604316</v>
      </c>
      <c r="T149" s="129">
        <v>-1160287</v>
      </c>
      <c r="U149" s="129">
        <v>-652662</v>
      </c>
      <c r="V149" s="129">
        <v>0</v>
      </c>
      <c r="W149" s="129">
        <v>-2417265</v>
      </c>
      <c r="X149" s="755">
        <v>0.33</v>
      </c>
      <c r="Y149" s="755">
        <v>0.3</v>
      </c>
      <c r="Z149" s="755">
        <v>0.37</v>
      </c>
      <c r="AA149" s="755">
        <v>0</v>
      </c>
      <c r="AB149" s="755">
        <v>1</v>
      </c>
      <c r="AC149" s="129">
        <v>-27150741</v>
      </c>
      <c r="AD149" s="129">
        <v>-24682492</v>
      </c>
      <c r="AE149" s="129">
        <v>-30441740</v>
      </c>
      <c r="AF149" s="129">
        <v>0</v>
      </c>
      <c r="AG149" s="129">
        <v>-82274972</v>
      </c>
      <c r="AH149" s="755">
        <v>0.33</v>
      </c>
      <c r="AI149" s="755">
        <v>0.3</v>
      </c>
      <c r="AJ149" s="755">
        <v>0.37</v>
      </c>
      <c r="AK149" s="755">
        <v>0</v>
      </c>
      <c r="AL149" s="755">
        <v>1</v>
      </c>
      <c r="AM149" s="129">
        <v>0</v>
      </c>
      <c r="AN149" s="129">
        <v>0</v>
      </c>
      <c r="AO149" s="129">
        <v>0</v>
      </c>
      <c r="AP149" s="129">
        <v>0</v>
      </c>
      <c r="AQ149" s="129">
        <v>0</v>
      </c>
      <c r="AR149" s="129">
        <v>-27755057</v>
      </c>
      <c r="AS149" s="129">
        <v>-25842779</v>
      </c>
      <c r="AT149" s="129">
        <v>-31094401</v>
      </c>
      <c r="AU149" s="129">
        <v>0</v>
      </c>
      <c r="AV149" s="129">
        <v>-84692237</v>
      </c>
      <c r="AW149" s="662" t="s">
        <v>164</v>
      </c>
      <c r="AX149" s="324" t="s">
        <v>576</v>
      </c>
      <c r="AY149" s="669" t="s">
        <v>485</v>
      </c>
      <c r="AZ149" s="529" t="s">
        <v>1356</v>
      </c>
    </row>
    <row r="150" spans="1:52" ht="12.75" x14ac:dyDescent="0.2">
      <c r="A150" s="664">
        <v>143</v>
      </c>
      <c r="B150" s="665" t="s">
        <v>167</v>
      </c>
      <c r="C150" s="666" t="s">
        <v>1201</v>
      </c>
      <c r="D150" s="667" t="s">
        <v>1204</v>
      </c>
      <c r="E150" s="668" t="s">
        <v>166</v>
      </c>
      <c r="F150" s="129">
        <v>-26279136</v>
      </c>
      <c r="G150" s="129">
        <v>-5670452</v>
      </c>
      <c r="H150" s="129">
        <v>19015263</v>
      </c>
      <c r="I150" s="129">
        <v>1730528</v>
      </c>
      <c r="J150" s="129">
        <v>17284735</v>
      </c>
      <c r="K150" s="129">
        <v>-3323949</v>
      </c>
      <c r="L150" s="129">
        <v>2215966</v>
      </c>
      <c r="M150" s="129">
        <v>-24063170</v>
      </c>
      <c r="N150" s="755">
        <v>0.5</v>
      </c>
      <c r="O150" s="755">
        <v>0.4</v>
      </c>
      <c r="P150" s="755">
        <v>0.09</v>
      </c>
      <c r="Q150" s="755">
        <v>0.01</v>
      </c>
      <c r="R150" s="755">
        <v>1</v>
      </c>
      <c r="S150" s="129">
        <v>-2835226</v>
      </c>
      <c r="T150" s="129">
        <v>-2268181</v>
      </c>
      <c r="U150" s="129">
        <v>-510341</v>
      </c>
      <c r="V150" s="129">
        <v>-56705</v>
      </c>
      <c r="W150" s="129">
        <v>-5670452</v>
      </c>
      <c r="X150" s="755">
        <v>0.5</v>
      </c>
      <c r="Y150" s="755">
        <v>0.4</v>
      </c>
      <c r="Z150" s="755">
        <v>0.09</v>
      </c>
      <c r="AA150" s="755">
        <v>0.01</v>
      </c>
      <c r="AB150" s="755">
        <v>1</v>
      </c>
      <c r="AC150" s="129">
        <v>-8642368</v>
      </c>
      <c r="AD150" s="129">
        <v>-6913894</v>
      </c>
      <c r="AE150" s="129">
        <v>-1555626</v>
      </c>
      <c r="AF150" s="129">
        <v>-172847</v>
      </c>
      <c r="AG150" s="129">
        <v>-17284735</v>
      </c>
      <c r="AH150" s="755">
        <v>0.5</v>
      </c>
      <c r="AI150" s="755">
        <v>0.4</v>
      </c>
      <c r="AJ150" s="755">
        <v>0.09</v>
      </c>
      <c r="AK150" s="755">
        <v>0.01</v>
      </c>
      <c r="AL150" s="755">
        <v>1</v>
      </c>
      <c r="AM150" s="129">
        <v>-553992</v>
      </c>
      <c r="AN150" s="129">
        <v>-443193</v>
      </c>
      <c r="AO150" s="129">
        <v>-99718</v>
      </c>
      <c r="AP150" s="129">
        <v>-11080</v>
      </c>
      <c r="AQ150" s="129">
        <v>-1107983</v>
      </c>
      <c r="AR150" s="129">
        <v>-12031585</v>
      </c>
      <c r="AS150" s="129">
        <v>-9625268</v>
      </c>
      <c r="AT150" s="129">
        <v>-2165685</v>
      </c>
      <c r="AU150" s="129">
        <v>-240632</v>
      </c>
      <c r="AV150" s="129">
        <v>-24063170</v>
      </c>
      <c r="AW150" s="662" t="s">
        <v>166</v>
      </c>
      <c r="AX150" s="324" t="s">
        <v>547</v>
      </c>
      <c r="AY150" s="663" t="s">
        <v>545</v>
      </c>
      <c r="AZ150" s="529" t="s">
        <v>1357</v>
      </c>
    </row>
    <row r="151" spans="1:52" ht="12.75" x14ac:dyDescent="0.2">
      <c r="A151" s="664">
        <v>144</v>
      </c>
      <c r="B151" s="665" t="s">
        <v>169</v>
      </c>
      <c r="C151" s="666" t="s">
        <v>1217</v>
      </c>
      <c r="D151" s="667" t="s">
        <v>1218</v>
      </c>
      <c r="E151" s="668" t="s">
        <v>168</v>
      </c>
      <c r="F151" s="129">
        <v>-234879436</v>
      </c>
      <c r="G151" s="129">
        <v>-4900560</v>
      </c>
      <c r="H151" s="129">
        <v>163558081</v>
      </c>
      <c r="I151" s="129">
        <v>8454629</v>
      </c>
      <c r="J151" s="129">
        <v>155103452</v>
      </c>
      <c r="K151" s="129">
        <v>-74875424</v>
      </c>
      <c r="L151" s="129">
        <v>49916949</v>
      </c>
      <c r="M151" s="129">
        <v>-184962487</v>
      </c>
      <c r="N151" s="755">
        <v>0.25</v>
      </c>
      <c r="O151" s="755">
        <v>0.74</v>
      </c>
      <c r="P151" s="755">
        <v>0</v>
      </c>
      <c r="Q151" s="755">
        <v>0.01</v>
      </c>
      <c r="R151" s="755">
        <v>1</v>
      </c>
      <c r="S151" s="129">
        <v>-1225140</v>
      </c>
      <c r="T151" s="129">
        <v>-3626414</v>
      </c>
      <c r="U151" s="129">
        <v>0</v>
      </c>
      <c r="V151" s="129">
        <v>-49006</v>
      </c>
      <c r="W151" s="129">
        <v>-4900560</v>
      </c>
      <c r="X151" s="755">
        <v>0.5</v>
      </c>
      <c r="Y151" s="755">
        <v>0.49</v>
      </c>
      <c r="Z151" s="755">
        <v>0</v>
      </c>
      <c r="AA151" s="755">
        <v>0.01</v>
      </c>
      <c r="AB151" s="755">
        <v>1</v>
      </c>
      <c r="AC151" s="129">
        <v>-77551726</v>
      </c>
      <c r="AD151" s="129">
        <v>-76000691</v>
      </c>
      <c r="AE151" s="129">
        <v>0</v>
      </c>
      <c r="AF151" s="129">
        <v>-1551035</v>
      </c>
      <c r="AG151" s="129">
        <v>-155103452</v>
      </c>
      <c r="AH151" s="755">
        <v>0.5</v>
      </c>
      <c r="AI151" s="755">
        <v>0.49</v>
      </c>
      <c r="AJ151" s="755">
        <v>0</v>
      </c>
      <c r="AK151" s="755">
        <v>0.01</v>
      </c>
      <c r="AL151" s="755">
        <v>1</v>
      </c>
      <c r="AM151" s="129">
        <v>-12479237</v>
      </c>
      <c r="AN151" s="129">
        <v>-12229653</v>
      </c>
      <c r="AO151" s="129">
        <v>0</v>
      </c>
      <c r="AP151" s="129">
        <v>-249585</v>
      </c>
      <c r="AQ151" s="129">
        <v>-24958475</v>
      </c>
      <c r="AR151" s="129">
        <v>-91256103</v>
      </c>
      <c r="AS151" s="129">
        <v>-91856758</v>
      </c>
      <c r="AT151" s="129">
        <v>0</v>
      </c>
      <c r="AU151" s="129">
        <v>-1849625</v>
      </c>
      <c r="AV151" s="129">
        <v>-184962487</v>
      </c>
      <c r="AW151" s="662" t="s">
        <v>168</v>
      </c>
      <c r="AX151" s="324" t="s">
        <v>570</v>
      </c>
      <c r="AY151" s="663" t="s">
        <v>575</v>
      </c>
      <c r="AZ151" s="529" t="s">
        <v>1358</v>
      </c>
    </row>
    <row r="152" spans="1:52" ht="12.75" x14ac:dyDescent="0.2">
      <c r="A152" s="664">
        <v>145</v>
      </c>
      <c r="B152" s="665" t="s">
        <v>171</v>
      </c>
      <c r="C152" s="666" t="s">
        <v>486</v>
      </c>
      <c r="D152" s="667" t="s">
        <v>1206</v>
      </c>
      <c r="E152" s="668" t="s">
        <v>548</v>
      </c>
      <c r="F152" s="129">
        <v>-56792943</v>
      </c>
      <c r="G152" s="129">
        <v>-245878</v>
      </c>
      <c r="H152" s="129">
        <v>47925731</v>
      </c>
      <c r="I152" s="129">
        <v>2357135</v>
      </c>
      <c r="J152" s="129">
        <v>45568596</v>
      </c>
      <c r="K152" s="129">
        <v>-10978469</v>
      </c>
      <c r="L152" s="129">
        <v>7318979</v>
      </c>
      <c r="M152" s="129">
        <v>-49473964</v>
      </c>
      <c r="N152" s="755">
        <v>0.25</v>
      </c>
      <c r="O152" s="755">
        <v>0.74</v>
      </c>
      <c r="P152" s="755">
        <v>0</v>
      </c>
      <c r="Q152" s="755">
        <v>0.01</v>
      </c>
      <c r="R152" s="755">
        <v>1</v>
      </c>
      <c r="S152" s="129">
        <v>-61470</v>
      </c>
      <c r="T152" s="129">
        <v>-181950</v>
      </c>
      <c r="U152" s="129">
        <v>0</v>
      </c>
      <c r="V152" s="129">
        <v>-2459</v>
      </c>
      <c r="W152" s="129">
        <v>-245878</v>
      </c>
      <c r="X152" s="755">
        <v>0.5</v>
      </c>
      <c r="Y152" s="755">
        <v>0.49</v>
      </c>
      <c r="Z152" s="755">
        <v>0</v>
      </c>
      <c r="AA152" s="755">
        <v>0.01</v>
      </c>
      <c r="AB152" s="755">
        <v>1</v>
      </c>
      <c r="AC152" s="129">
        <v>-22784298</v>
      </c>
      <c r="AD152" s="129">
        <v>-22328612</v>
      </c>
      <c r="AE152" s="129">
        <v>0</v>
      </c>
      <c r="AF152" s="129">
        <v>-455686</v>
      </c>
      <c r="AG152" s="129">
        <v>-45568596</v>
      </c>
      <c r="AH152" s="755">
        <v>0.5</v>
      </c>
      <c r="AI152" s="755">
        <v>0.49</v>
      </c>
      <c r="AJ152" s="755">
        <v>0</v>
      </c>
      <c r="AK152" s="755">
        <v>0.01</v>
      </c>
      <c r="AL152" s="755">
        <v>1</v>
      </c>
      <c r="AM152" s="129">
        <v>-1829745</v>
      </c>
      <c r="AN152" s="129">
        <v>-1793150</v>
      </c>
      <c r="AO152" s="129">
        <v>0</v>
      </c>
      <c r="AP152" s="129">
        <v>-36595</v>
      </c>
      <c r="AQ152" s="129">
        <v>-3659490</v>
      </c>
      <c r="AR152" s="129">
        <v>-24675512</v>
      </c>
      <c r="AS152" s="129">
        <v>-24303712</v>
      </c>
      <c r="AT152" s="129">
        <v>0</v>
      </c>
      <c r="AU152" s="129">
        <v>-494740</v>
      </c>
      <c r="AV152" s="129">
        <v>-49473964</v>
      </c>
      <c r="AW152" s="662" t="s">
        <v>548</v>
      </c>
      <c r="AX152" s="324" t="s">
        <v>486</v>
      </c>
      <c r="AY152" s="663" t="s">
        <v>549</v>
      </c>
      <c r="AZ152" s="529" t="s">
        <v>1359</v>
      </c>
    </row>
    <row r="153" spans="1:52" ht="12.75" x14ac:dyDescent="0.2">
      <c r="A153" s="664">
        <v>146</v>
      </c>
      <c r="B153" s="665" t="s">
        <v>173</v>
      </c>
      <c r="C153" s="666" t="s">
        <v>1201</v>
      </c>
      <c r="D153" s="667" t="s">
        <v>1202</v>
      </c>
      <c r="E153" s="668" t="s">
        <v>172</v>
      </c>
      <c r="F153" s="129">
        <v>-8820789</v>
      </c>
      <c r="G153" s="129">
        <v>1300882</v>
      </c>
      <c r="H153" s="129">
        <v>11348606</v>
      </c>
      <c r="I153" s="129">
        <v>1372960</v>
      </c>
      <c r="J153" s="129">
        <v>9975646</v>
      </c>
      <c r="K153" s="129">
        <v>-146025</v>
      </c>
      <c r="L153" s="129">
        <v>97350</v>
      </c>
      <c r="M153" s="129">
        <v>-8723439</v>
      </c>
      <c r="N153" s="755">
        <v>0.25</v>
      </c>
      <c r="O153" s="755">
        <v>0.44</v>
      </c>
      <c r="P153" s="755">
        <v>0.26</v>
      </c>
      <c r="Q153" s="755">
        <v>0.05</v>
      </c>
      <c r="R153" s="755">
        <v>1</v>
      </c>
      <c r="S153" s="129">
        <v>325220</v>
      </c>
      <c r="T153" s="129">
        <v>572388</v>
      </c>
      <c r="U153" s="129">
        <v>338229</v>
      </c>
      <c r="V153" s="129">
        <v>65044</v>
      </c>
      <c r="W153" s="129">
        <v>1300882</v>
      </c>
      <c r="X153" s="755">
        <v>0.5</v>
      </c>
      <c r="Y153" s="755">
        <v>0.4</v>
      </c>
      <c r="Z153" s="755">
        <v>0.09</v>
      </c>
      <c r="AA153" s="755">
        <v>0.01</v>
      </c>
      <c r="AB153" s="755">
        <v>1</v>
      </c>
      <c r="AC153" s="129">
        <v>-4987823</v>
      </c>
      <c r="AD153" s="129">
        <v>-3990258</v>
      </c>
      <c r="AE153" s="129">
        <v>-897808</v>
      </c>
      <c r="AF153" s="129">
        <v>-99756</v>
      </c>
      <c r="AG153" s="129">
        <v>-9975646</v>
      </c>
      <c r="AH153" s="755">
        <v>0.5</v>
      </c>
      <c r="AI153" s="755">
        <v>0.4</v>
      </c>
      <c r="AJ153" s="755">
        <v>0.09</v>
      </c>
      <c r="AK153" s="755">
        <v>0.01</v>
      </c>
      <c r="AL153" s="755">
        <v>1</v>
      </c>
      <c r="AM153" s="129">
        <v>-24338</v>
      </c>
      <c r="AN153" s="129">
        <v>-19470</v>
      </c>
      <c r="AO153" s="129">
        <v>-4381</v>
      </c>
      <c r="AP153" s="129">
        <v>-487</v>
      </c>
      <c r="AQ153" s="129">
        <v>-48675</v>
      </c>
      <c r="AR153" s="129">
        <v>-4686940</v>
      </c>
      <c r="AS153" s="129">
        <v>-3437340</v>
      </c>
      <c r="AT153" s="129">
        <v>-563960</v>
      </c>
      <c r="AU153" s="129">
        <v>-35199</v>
      </c>
      <c r="AV153" s="129">
        <v>-8723439</v>
      </c>
      <c r="AW153" s="662" t="s">
        <v>172</v>
      </c>
      <c r="AX153" s="324" t="s">
        <v>525</v>
      </c>
      <c r="AY153" s="663" t="s">
        <v>524</v>
      </c>
      <c r="AZ153" s="529" t="s">
        <v>1360</v>
      </c>
    </row>
    <row r="154" spans="1:52" ht="12.75" x14ac:dyDescent="0.2">
      <c r="A154" s="664">
        <v>147</v>
      </c>
      <c r="B154" s="665" t="s">
        <v>175</v>
      </c>
      <c r="C154" s="666" t="s">
        <v>1257</v>
      </c>
      <c r="D154" s="667" t="s">
        <v>1214</v>
      </c>
      <c r="E154" s="668" t="s">
        <v>174</v>
      </c>
      <c r="F154" s="129">
        <v>-43182282</v>
      </c>
      <c r="G154" s="129">
        <v>-1170805</v>
      </c>
      <c r="H154" s="129">
        <v>34069779</v>
      </c>
      <c r="I154" s="129">
        <v>2062903</v>
      </c>
      <c r="J154" s="129">
        <v>32006876</v>
      </c>
      <c r="K154" s="129">
        <v>-10004601</v>
      </c>
      <c r="L154" s="129">
        <v>6669734</v>
      </c>
      <c r="M154" s="129">
        <v>-36512548</v>
      </c>
      <c r="N154" s="755">
        <v>0.25</v>
      </c>
      <c r="O154" s="755">
        <v>0.48</v>
      </c>
      <c r="P154" s="755">
        <v>0.27</v>
      </c>
      <c r="Q154" s="755">
        <v>0</v>
      </c>
      <c r="R154" s="755">
        <v>1</v>
      </c>
      <c r="S154" s="129">
        <v>-292701</v>
      </c>
      <c r="T154" s="129">
        <v>-561986</v>
      </c>
      <c r="U154" s="129">
        <v>-316117</v>
      </c>
      <c r="V154" s="129">
        <v>0</v>
      </c>
      <c r="W154" s="129">
        <v>-1170805</v>
      </c>
      <c r="X154" s="755">
        <v>0.33</v>
      </c>
      <c r="Y154" s="755">
        <v>0.3</v>
      </c>
      <c r="Z154" s="755">
        <v>0.37</v>
      </c>
      <c r="AA154" s="755">
        <v>0</v>
      </c>
      <c r="AB154" s="755">
        <v>1</v>
      </c>
      <c r="AC154" s="129">
        <v>-10562269</v>
      </c>
      <c r="AD154" s="129">
        <v>-9602063</v>
      </c>
      <c r="AE154" s="129">
        <v>-11842544</v>
      </c>
      <c r="AF154" s="129">
        <v>0</v>
      </c>
      <c r="AG154" s="129">
        <v>-32006876</v>
      </c>
      <c r="AH154" s="755">
        <v>0.33</v>
      </c>
      <c r="AI154" s="755">
        <v>0.3</v>
      </c>
      <c r="AJ154" s="755">
        <v>0.37</v>
      </c>
      <c r="AK154" s="755">
        <v>0</v>
      </c>
      <c r="AL154" s="755">
        <v>1</v>
      </c>
      <c r="AM154" s="129">
        <v>-1100506</v>
      </c>
      <c r="AN154" s="129">
        <v>-1000460</v>
      </c>
      <c r="AO154" s="129">
        <v>-1233901</v>
      </c>
      <c r="AP154" s="129">
        <v>0</v>
      </c>
      <c r="AQ154" s="129">
        <v>-3334867</v>
      </c>
      <c r="AR154" s="129">
        <v>-11955476</v>
      </c>
      <c r="AS154" s="129">
        <v>-11164509</v>
      </c>
      <c r="AT154" s="129">
        <v>-13392562</v>
      </c>
      <c r="AU154" s="129">
        <v>0</v>
      </c>
      <c r="AV154" s="129">
        <v>-36512548</v>
      </c>
      <c r="AW154" s="662" t="s">
        <v>174</v>
      </c>
      <c r="AX154" s="324" t="s">
        <v>576</v>
      </c>
      <c r="AY154" s="669" t="s">
        <v>485</v>
      </c>
      <c r="AZ154" s="529" t="s">
        <v>1361</v>
      </c>
    </row>
    <row r="155" spans="1:52" ht="12.75" x14ac:dyDescent="0.2">
      <c r="A155" s="664">
        <v>148</v>
      </c>
      <c r="B155" s="665" t="s">
        <v>177</v>
      </c>
      <c r="C155" s="666" t="s">
        <v>1201</v>
      </c>
      <c r="D155" s="667" t="s">
        <v>1228</v>
      </c>
      <c r="E155" s="668" t="s">
        <v>176</v>
      </c>
      <c r="F155" s="129">
        <v>-14627000</v>
      </c>
      <c r="G155" s="129">
        <v>2376383</v>
      </c>
      <c r="H155" s="129">
        <v>14093209</v>
      </c>
      <c r="I155" s="129">
        <v>555694</v>
      </c>
      <c r="J155" s="129">
        <v>13537515</v>
      </c>
      <c r="K155" s="129">
        <v>-3465868</v>
      </c>
      <c r="L155" s="129">
        <v>2310579</v>
      </c>
      <c r="M155" s="129">
        <v>-12316421</v>
      </c>
      <c r="N155" s="755">
        <v>0.25</v>
      </c>
      <c r="O155" s="755">
        <v>0.4</v>
      </c>
      <c r="P155" s="755">
        <v>0.34</v>
      </c>
      <c r="Q155" s="755">
        <v>0.01</v>
      </c>
      <c r="R155" s="755">
        <v>1</v>
      </c>
      <c r="S155" s="129">
        <v>594096</v>
      </c>
      <c r="T155" s="129">
        <v>950553</v>
      </c>
      <c r="U155" s="129">
        <v>807970</v>
      </c>
      <c r="V155" s="129">
        <v>23764</v>
      </c>
      <c r="W155" s="129">
        <v>2376383</v>
      </c>
      <c r="X155" s="755">
        <v>0.5</v>
      </c>
      <c r="Y155" s="755">
        <v>0.4</v>
      </c>
      <c r="Z155" s="755">
        <v>0.09</v>
      </c>
      <c r="AA155" s="755">
        <v>0.01</v>
      </c>
      <c r="AB155" s="755">
        <v>1</v>
      </c>
      <c r="AC155" s="129">
        <v>-6768758</v>
      </c>
      <c r="AD155" s="129">
        <v>-5415006</v>
      </c>
      <c r="AE155" s="129">
        <v>-1218376</v>
      </c>
      <c r="AF155" s="129">
        <v>-135375</v>
      </c>
      <c r="AG155" s="129">
        <v>-13537515</v>
      </c>
      <c r="AH155" s="755">
        <v>0.5</v>
      </c>
      <c r="AI155" s="755">
        <v>0.4</v>
      </c>
      <c r="AJ155" s="755">
        <v>0.09</v>
      </c>
      <c r="AK155" s="755">
        <v>0.01</v>
      </c>
      <c r="AL155" s="755">
        <v>1</v>
      </c>
      <c r="AM155" s="129">
        <v>-577645</v>
      </c>
      <c r="AN155" s="129">
        <v>-462116</v>
      </c>
      <c r="AO155" s="129">
        <v>-103976</v>
      </c>
      <c r="AP155" s="129">
        <v>-11553</v>
      </c>
      <c r="AQ155" s="129">
        <v>-1155289</v>
      </c>
      <c r="AR155" s="129">
        <v>-6752306</v>
      </c>
      <c r="AS155" s="129">
        <v>-4926569</v>
      </c>
      <c r="AT155" s="129">
        <v>-514382</v>
      </c>
      <c r="AU155" s="129">
        <v>-123164</v>
      </c>
      <c r="AV155" s="129">
        <v>-12316421</v>
      </c>
      <c r="AW155" s="662" t="s">
        <v>176</v>
      </c>
      <c r="AX155" s="324" t="s">
        <v>564</v>
      </c>
      <c r="AY155" s="663" t="s">
        <v>1917</v>
      </c>
      <c r="AZ155" s="529" t="s">
        <v>1362</v>
      </c>
    </row>
    <row r="156" spans="1:52" ht="12.75" x14ac:dyDescent="0.2">
      <c r="A156" s="664">
        <v>149</v>
      </c>
      <c r="B156" s="665" t="s">
        <v>179</v>
      </c>
      <c r="C156" s="666" t="s">
        <v>1201</v>
      </c>
      <c r="D156" s="667" t="s">
        <v>1206</v>
      </c>
      <c r="E156" s="668" t="s">
        <v>178</v>
      </c>
      <c r="F156" s="129">
        <v>-30070943</v>
      </c>
      <c r="G156" s="129">
        <v>-64708</v>
      </c>
      <c r="H156" s="129">
        <v>27311168</v>
      </c>
      <c r="I156" s="129">
        <v>913476</v>
      </c>
      <c r="J156" s="129">
        <v>26397692</v>
      </c>
      <c r="K156" s="129">
        <v>-3608543</v>
      </c>
      <c r="L156" s="129">
        <v>2405695</v>
      </c>
      <c r="M156" s="129">
        <v>-27665248</v>
      </c>
      <c r="N156" s="755">
        <v>0.5</v>
      </c>
      <c r="O156" s="755">
        <v>0.4</v>
      </c>
      <c r="P156" s="755">
        <v>0.1</v>
      </c>
      <c r="Q156" s="755">
        <v>0</v>
      </c>
      <c r="R156" s="755">
        <v>1</v>
      </c>
      <c r="S156" s="129">
        <v>-32354</v>
      </c>
      <c r="T156" s="129">
        <v>-25883</v>
      </c>
      <c r="U156" s="129">
        <v>-6471</v>
      </c>
      <c r="V156" s="129">
        <v>0</v>
      </c>
      <c r="W156" s="129">
        <v>-64708</v>
      </c>
      <c r="X156" s="755">
        <v>0.5</v>
      </c>
      <c r="Y156" s="755">
        <v>0.4</v>
      </c>
      <c r="Z156" s="755">
        <v>0.1</v>
      </c>
      <c r="AA156" s="755">
        <v>0</v>
      </c>
      <c r="AB156" s="755">
        <v>1</v>
      </c>
      <c r="AC156" s="129">
        <v>-13198846</v>
      </c>
      <c r="AD156" s="129">
        <v>-10559077</v>
      </c>
      <c r="AE156" s="129">
        <v>-2639769</v>
      </c>
      <c r="AF156" s="129">
        <v>0</v>
      </c>
      <c r="AG156" s="129">
        <v>-26397692</v>
      </c>
      <c r="AH156" s="755">
        <v>0.5</v>
      </c>
      <c r="AI156" s="755">
        <v>0.4</v>
      </c>
      <c r="AJ156" s="755">
        <v>0.1</v>
      </c>
      <c r="AK156" s="755">
        <v>0</v>
      </c>
      <c r="AL156" s="755">
        <v>1</v>
      </c>
      <c r="AM156" s="129">
        <v>-601424</v>
      </c>
      <c r="AN156" s="129">
        <v>-481139</v>
      </c>
      <c r="AO156" s="129">
        <v>-120285</v>
      </c>
      <c r="AP156" s="129">
        <v>0</v>
      </c>
      <c r="AQ156" s="129">
        <v>-1202848</v>
      </c>
      <c r="AR156" s="129">
        <v>-13832624</v>
      </c>
      <c r="AS156" s="129">
        <v>-11066099</v>
      </c>
      <c r="AT156" s="129">
        <v>-2766525</v>
      </c>
      <c r="AU156" s="129">
        <v>0</v>
      </c>
      <c r="AV156" s="129">
        <v>-27665248</v>
      </c>
      <c r="AW156" s="662" t="s">
        <v>178</v>
      </c>
      <c r="AX156" s="324" t="s">
        <v>552</v>
      </c>
      <c r="AY156" s="663" t="s">
        <v>512</v>
      </c>
      <c r="AZ156" s="529" t="s">
        <v>1363</v>
      </c>
    </row>
    <row r="157" spans="1:52" ht="12.75" x14ac:dyDescent="0.2">
      <c r="A157" s="664">
        <v>150</v>
      </c>
      <c r="B157" s="665" t="s">
        <v>181</v>
      </c>
      <c r="C157" s="666" t="s">
        <v>1217</v>
      </c>
      <c r="D157" s="667" t="s">
        <v>1204</v>
      </c>
      <c r="E157" s="668" t="s">
        <v>180</v>
      </c>
      <c r="F157" s="129">
        <v>-133662114</v>
      </c>
      <c r="G157" s="129">
        <v>-2766971</v>
      </c>
      <c r="H157" s="129">
        <v>125188745</v>
      </c>
      <c r="I157" s="129">
        <v>4325392</v>
      </c>
      <c r="J157" s="129">
        <v>120863353</v>
      </c>
      <c r="K157" s="129">
        <v>-10031790</v>
      </c>
      <c r="L157" s="129">
        <v>6687860</v>
      </c>
      <c r="M157" s="129">
        <v>-126974254</v>
      </c>
      <c r="N157" s="755">
        <v>0</v>
      </c>
      <c r="O157" s="755">
        <v>0.99</v>
      </c>
      <c r="P157" s="755">
        <v>0</v>
      </c>
      <c r="Q157" s="755">
        <v>0.01</v>
      </c>
      <c r="R157" s="755">
        <v>1</v>
      </c>
      <c r="S157" s="129">
        <v>0</v>
      </c>
      <c r="T157" s="129">
        <v>-2739301</v>
      </c>
      <c r="U157" s="129">
        <v>0</v>
      </c>
      <c r="V157" s="129">
        <v>-27670</v>
      </c>
      <c r="W157" s="129">
        <v>-2766971</v>
      </c>
      <c r="X157" s="755">
        <v>0</v>
      </c>
      <c r="Y157" s="755">
        <v>0.99</v>
      </c>
      <c r="Z157" s="755">
        <v>0</v>
      </c>
      <c r="AA157" s="755">
        <v>0.01</v>
      </c>
      <c r="AB157" s="755">
        <v>1</v>
      </c>
      <c r="AC157" s="129">
        <v>0</v>
      </c>
      <c r="AD157" s="129">
        <v>-119654719</v>
      </c>
      <c r="AE157" s="129">
        <v>0</v>
      </c>
      <c r="AF157" s="129">
        <v>-1208634</v>
      </c>
      <c r="AG157" s="129">
        <v>-120863353</v>
      </c>
      <c r="AH157" s="755">
        <v>0</v>
      </c>
      <c r="AI157" s="755">
        <v>0.99</v>
      </c>
      <c r="AJ157" s="755">
        <v>0</v>
      </c>
      <c r="AK157" s="755">
        <v>0.01</v>
      </c>
      <c r="AL157" s="755">
        <v>1</v>
      </c>
      <c r="AM157" s="129">
        <v>0</v>
      </c>
      <c r="AN157" s="129">
        <v>-3310491</v>
      </c>
      <c r="AO157" s="129">
        <v>0</v>
      </c>
      <c r="AP157" s="129">
        <v>-33439</v>
      </c>
      <c r="AQ157" s="129">
        <v>-3343930</v>
      </c>
      <c r="AR157" s="129">
        <v>0</v>
      </c>
      <c r="AS157" s="129">
        <v>-125704511</v>
      </c>
      <c r="AT157" s="129">
        <v>0</v>
      </c>
      <c r="AU157" s="129">
        <v>-1269743</v>
      </c>
      <c r="AV157" s="129">
        <v>-126974254</v>
      </c>
      <c r="AW157" s="662" t="s">
        <v>180</v>
      </c>
      <c r="AX157" s="324" t="s">
        <v>570</v>
      </c>
      <c r="AY157" s="663" t="s">
        <v>571</v>
      </c>
      <c r="AZ157" s="529" t="s">
        <v>1364</v>
      </c>
    </row>
    <row r="158" spans="1:52" ht="12.75" x14ac:dyDescent="0.2">
      <c r="A158" s="664">
        <v>151</v>
      </c>
      <c r="B158" s="665" t="s">
        <v>183</v>
      </c>
      <c r="C158" s="666" t="s">
        <v>486</v>
      </c>
      <c r="D158" s="667" t="s">
        <v>1211</v>
      </c>
      <c r="E158" s="668" t="s">
        <v>491</v>
      </c>
      <c r="F158" s="129">
        <v>-30519009</v>
      </c>
      <c r="G158" s="129">
        <v>-2867480</v>
      </c>
      <c r="H158" s="129">
        <v>26240387</v>
      </c>
      <c r="I158" s="129">
        <v>1089946</v>
      </c>
      <c r="J158" s="129">
        <v>25150441</v>
      </c>
      <c r="K158" s="129">
        <v>-2501088</v>
      </c>
      <c r="L158" s="129">
        <v>1667392</v>
      </c>
      <c r="M158" s="129">
        <v>-28851617</v>
      </c>
      <c r="N158" s="755">
        <v>0.5</v>
      </c>
      <c r="O158" s="755">
        <v>0.49</v>
      </c>
      <c r="P158" s="755">
        <v>0</v>
      </c>
      <c r="Q158" s="755">
        <v>0.01</v>
      </c>
      <c r="R158" s="755">
        <v>1</v>
      </c>
      <c r="S158" s="129">
        <v>-1433740</v>
      </c>
      <c r="T158" s="129">
        <v>-1405065</v>
      </c>
      <c r="U158" s="129">
        <v>0</v>
      </c>
      <c r="V158" s="129">
        <v>-28675</v>
      </c>
      <c r="W158" s="129">
        <v>-2867480</v>
      </c>
      <c r="X158" s="755">
        <v>0.5</v>
      </c>
      <c r="Y158" s="755">
        <v>0.49</v>
      </c>
      <c r="Z158" s="755">
        <v>0</v>
      </c>
      <c r="AA158" s="755">
        <v>0.01</v>
      </c>
      <c r="AB158" s="755">
        <v>1</v>
      </c>
      <c r="AC158" s="129">
        <v>-12575221</v>
      </c>
      <c r="AD158" s="129">
        <v>-12323716</v>
      </c>
      <c r="AE158" s="129">
        <v>0</v>
      </c>
      <c r="AF158" s="129">
        <v>-251504</v>
      </c>
      <c r="AG158" s="129">
        <v>-25150441</v>
      </c>
      <c r="AH158" s="755">
        <v>0.5</v>
      </c>
      <c r="AI158" s="755">
        <v>0.49</v>
      </c>
      <c r="AJ158" s="755">
        <v>0</v>
      </c>
      <c r="AK158" s="755">
        <v>0.01</v>
      </c>
      <c r="AL158" s="755">
        <v>1</v>
      </c>
      <c r="AM158" s="129">
        <v>-416848</v>
      </c>
      <c r="AN158" s="129">
        <v>-408511</v>
      </c>
      <c r="AO158" s="129">
        <v>0</v>
      </c>
      <c r="AP158" s="129">
        <v>-8337</v>
      </c>
      <c r="AQ158" s="129">
        <v>-833696</v>
      </c>
      <c r="AR158" s="129">
        <v>-14425809</v>
      </c>
      <c r="AS158" s="129">
        <v>-14137292</v>
      </c>
      <c r="AT158" s="129">
        <v>0</v>
      </c>
      <c r="AU158" s="129">
        <v>-288516</v>
      </c>
      <c r="AV158" s="129">
        <v>-28851617</v>
      </c>
      <c r="AW158" s="662" t="s">
        <v>491</v>
      </c>
      <c r="AX158" s="324" t="s">
        <v>486</v>
      </c>
      <c r="AY158" s="663" t="s">
        <v>492</v>
      </c>
      <c r="AZ158" s="529" t="s">
        <v>1365</v>
      </c>
    </row>
    <row r="159" spans="1:52" ht="12.75" x14ac:dyDescent="0.2">
      <c r="A159" s="664">
        <v>152</v>
      </c>
      <c r="B159" s="665" t="s">
        <v>185</v>
      </c>
      <c r="C159" s="666" t="s">
        <v>1201</v>
      </c>
      <c r="D159" s="667" t="s">
        <v>1202</v>
      </c>
      <c r="E159" s="668" t="s">
        <v>184</v>
      </c>
      <c r="F159" s="129">
        <v>-36033068</v>
      </c>
      <c r="G159" s="129">
        <v>-3627288</v>
      </c>
      <c r="H159" s="129">
        <v>29465736</v>
      </c>
      <c r="I159" s="129">
        <v>1449106</v>
      </c>
      <c r="J159" s="129">
        <v>28016630</v>
      </c>
      <c r="K159" s="129">
        <v>-4389150</v>
      </c>
      <c r="L159" s="129">
        <v>2926100</v>
      </c>
      <c r="M159" s="129">
        <v>-33106968</v>
      </c>
      <c r="N159" s="755">
        <v>0.5</v>
      </c>
      <c r="O159" s="755">
        <v>0.4</v>
      </c>
      <c r="P159" s="755">
        <v>0.09</v>
      </c>
      <c r="Q159" s="755">
        <v>0.01</v>
      </c>
      <c r="R159" s="755">
        <v>1</v>
      </c>
      <c r="S159" s="129">
        <v>-1813644</v>
      </c>
      <c r="T159" s="129">
        <v>-1450915</v>
      </c>
      <c r="U159" s="129">
        <v>-326456</v>
      </c>
      <c r="V159" s="129">
        <v>-36273</v>
      </c>
      <c r="W159" s="129">
        <v>-3627288</v>
      </c>
      <c r="X159" s="755">
        <v>0.5</v>
      </c>
      <c r="Y159" s="755">
        <v>0.4</v>
      </c>
      <c r="Z159" s="755">
        <v>0.09</v>
      </c>
      <c r="AA159" s="755">
        <v>0.01</v>
      </c>
      <c r="AB159" s="755">
        <v>1</v>
      </c>
      <c r="AC159" s="129">
        <v>-14008315</v>
      </c>
      <c r="AD159" s="129">
        <v>-11206652</v>
      </c>
      <c r="AE159" s="129">
        <v>-2521497</v>
      </c>
      <c r="AF159" s="129">
        <v>-280166</v>
      </c>
      <c r="AG159" s="129">
        <v>-28016630</v>
      </c>
      <c r="AH159" s="755">
        <v>0.5</v>
      </c>
      <c r="AI159" s="755">
        <v>0.4</v>
      </c>
      <c r="AJ159" s="755">
        <v>0.09</v>
      </c>
      <c r="AK159" s="755">
        <v>0.01</v>
      </c>
      <c r="AL159" s="755">
        <v>1</v>
      </c>
      <c r="AM159" s="129">
        <v>-731525</v>
      </c>
      <c r="AN159" s="129">
        <v>-585220</v>
      </c>
      <c r="AO159" s="129">
        <v>-131675</v>
      </c>
      <c r="AP159" s="129">
        <v>-14631</v>
      </c>
      <c r="AQ159" s="129">
        <v>-1463050</v>
      </c>
      <c r="AR159" s="129">
        <v>-16553484</v>
      </c>
      <c r="AS159" s="129">
        <v>-13242787</v>
      </c>
      <c r="AT159" s="129">
        <v>-2979627</v>
      </c>
      <c r="AU159" s="129">
        <v>-331070</v>
      </c>
      <c r="AV159" s="129">
        <v>-33106968</v>
      </c>
      <c r="AW159" s="662" t="s">
        <v>184</v>
      </c>
      <c r="AX159" s="324" t="s">
        <v>543</v>
      </c>
      <c r="AY159" s="663" t="s">
        <v>542</v>
      </c>
      <c r="AZ159" s="529" t="s">
        <v>1366</v>
      </c>
    </row>
    <row r="160" spans="1:52" ht="12.75" x14ac:dyDescent="0.2">
      <c r="A160" s="664">
        <v>153</v>
      </c>
      <c r="B160" s="665" t="s">
        <v>187</v>
      </c>
      <c r="C160" s="666" t="s">
        <v>1201</v>
      </c>
      <c r="D160" s="667" t="s">
        <v>1211</v>
      </c>
      <c r="E160" s="668" t="s">
        <v>186</v>
      </c>
      <c r="F160" s="129">
        <v>-7598059</v>
      </c>
      <c r="G160" s="129">
        <v>-645373</v>
      </c>
      <c r="H160" s="129">
        <v>7253190</v>
      </c>
      <c r="I160" s="129">
        <v>498797</v>
      </c>
      <c r="J160" s="129">
        <v>6754393</v>
      </c>
      <c r="K160" s="129">
        <v>-198293</v>
      </c>
      <c r="L160" s="129">
        <v>132195</v>
      </c>
      <c r="M160" s="129">
        <v>-7465864</v>
      </c>
      <c r="N160" s="755">
        <v>0.5</v>
      </c>
      <c r="O160" s="755">
        <v>0.4</v>
      </c>
      <c r="P160" s="755">
        <v>0.09</v>
      </c>
      <c r="Q160" s="755">
        <v>0.01</v>
      </c>
      <c r="R160" s="755">
        <v>1</v>
      </c>
      <c r="S160" s="129">
        <v>-322687</v>
      </c>
      <c r="T160" s="129">
        <v>-258149</v>
      </c>
      <c r="U160" s="129">
        <v>-58084</v>
      </c>
      <c r="V160" s="129">
        <v>-6454</v>
      </c>
      <c r="W160" s="129">
        <v>-645373</v>
      </c>
      <c r="X160" s="755">
        <v>0.5</v>
      </c>
      <c r="Y160" s="755">
        <v>0.4</v>
      </c>
      <c r="Z160" s="755">
        <v>0.09</v>
      </c>
      <c r="AA160" s="755">
        <v>0.01</v>
      </c>
      <c r="AB160" s="755">
        <v>1</v>
      </c>
      <c r="AC160" s="129">
        <v>-3377197</v>
      </c>
      <c r="AD160" s="129">
        <v>-2701757</v>
      </c>
      <c r="AE160" s="129">
        <v>-607895</v>
      </c>
      <c r="AF160" s="129">
        <v>-67544</v>
      </c>
      <c r="AG160" s="129">
        <v>-6754393</v>
      </c>
      <c r="AH160" s="755">
        <v>0.5</v>
      </c>
      <c r="AI160" s="755">
        <v>0.4</v>
      </c>
      <c r="AJ160" s="755">
        <v>0.09</v>
      </c>
      <c r="AK160" s="755">
        <v>0.01</v>
      </c>
      <c r="AL160" s="755">
        <v>1</v>
      </c>
      <c r="AM160" s="129">
        <v>-33049</v>
      </c>
      <c r="AN160" s="129">
        <v>-26439</v>
      </c>
      <c r="AO160" s="129">
        <v>-5949</v>
      </c>
      <c r="AP160" s="129">
        <v>-661</v>
      </c>
      <c r="AQ160" s="129">
        <v>-66098</v>
      </c>
      <c r="AR160" s="129">
        <v>-3732932</v>
      </c>
      <c r="AS160" s="129">
        <v>-2986346</v>
      </c>
      <c r="AT160" s="129">
        <v>-671928</v>
      </c>
      <c r="AU160" s="129">
        <v>-74659</v>
      </c>
      <c r="AV160" s="129">
        <v>-7465864</v>
      </c>
      <c r="AW160" s="662" t="s">
        <v>186</v>
      </c>
      <c r="AX160" s="324" t="s">
        <v>528</v>
      </c>
      <c r="AY160" s="663" t="s">
        <v>1913</v>
      </c>
      <c r="AZ160" s="529" t="s">
        <v>1367</v>
      </c>
    </row>
    <row r="161" spans="1:52" ht="12.75" x14ac:dyDescent="0.2">
      <c r="A161" s="664">
        <v>154</v>
      </c>
      <c r="B161" s="665" t="s">
        <v>189</v>
      </c>
      <c r="C161" s="666" t="s">
        <v>1201</v>
      </c>
      <c r="D161" s="667" t="s">
        <v>1228</v>
      </c>
      <c r="E161" s="668" t="s">
        <v>188</v>
      </c>
      <c r="F161" s="129">
        <v>-7861048</v>
      </c>
      <c r="G161" s="129">
        <v>3147932</v>
      </c>
      <c r="H161" s="129">
        <v>8987078</v>
      </c>
      <c r="I161" s="129">
        <v>531399</v>
      </c>
      <c r="J161" s="129">
        <v>8455679</v>
      </c>
      <c r="K161" s="129">
        <v>-2553301</v>
      </c>
      <c r="L161" s="129">
        <v>1702201</v>
      </c>
      <c r="M161" s="129">
        <v>-6158847</v>
      </c>
      <c r="N161" s="755">
        <v>0.25</v>
      </c>
      <c r="O161" s="755">
        <v>0</v>
      </c>
      <c r="P161" s="755">
        <v>0.74</v>
      </c>
      <c r="Q161" s="755">
        <v>0.01</v>
      </c>
      <c r="R161" s="755">
        <v>1</v>
      </c>
      <c r="S161" s="129">
        <v>786983</v>
      </c>
      <c r="T161" s="129">
        <v>0</v>
      </c>
      <c r="U161" s="129">
        <v>2329470</v>
      </c>
      <c r="V161" s="129">
        <v>31479</v>
      </c>
      <c r="W161" s="129">
        <v>3147932</v>
      </c>
      <c r="X161" s="755">
        <v>0.5</v>
      </c>
      <c r="Y161" s="755">
        <v>0.4</v>
      </c>
      <c r="Z161" s="755">
        <v>0.09</v>
      </c>
      <c r="AA161" s="755">
        <v>0.01</v>
      </c>
      <c r="AB161" s="755">
        <v>1</v>
      </c>
      <c r="AC161" s="129">
        <v>-4227839</v>
      </c>
      <c r="AD161" s="129">
        <v>-3382272</v>
      </c>
      <c r="AE161" s="129">
        <v>-761011</v>
      </c>
      <c r="AF161" s="129">
        <v>-84557</v>
      </c>
      <c r="AG161" s="129">
        <v>-8455679</v>
      </c>
      <c r="AH161" s="755">
        <v>0.5</v>
      </c>
      <c r="AI161" s="755">
        <v>0.4</v>
      </c>
      <c r="AJ161" s="755">
        <v>0.09</v>
      </c>
      <c r="AK161" s="755">
        <v>0.01</v>
      </c>
      <c r="AL161" s="755">
        <v>1</v>
      </c>
      <c r="AM161" s="129">
        <v>-425550</v>
      </c>
      <c r="AN161" s="129">
        <v>-340440</v>
      </c>
      <c r="AO161" s="129">
        <v>-76599</v>
      </c>
      <c r="AP161" s="129">
        <v>-8511</v>
      </c>
      <c r="AQ161" s="129">
        <v>-851100</v>
      </c>
      <c r="AR161" s="129">
        <v>-3866407</v>
      </c>
      <c r="AS161" s="129">
        <v>-3722712</v>
      </c>
      <c r="AT161" s="129">
        <v>1491860</v>
      </c>
      <c r="AU161" s="129">
        <v>-61588</v>
      </c>
      <c r="AV161" s="129">
        <v>-6158847</v>
      </c>
      <c r="AW161" s="662" t="s">
        <v>188</v>
      </c>
      <c r="AX161" s="324" t="s">
        <v>535</v>
      </c>
      <c r="AY161" s="663" t="s">
        <v>534</v>
      </c>
      <c r="AZ161" s="529" t="s">
        <v>1368</v>
      </c>
    </row>
    <row r="162" spans="1:52" ht="12.75" x14ac:dyDescent="0.2">
      <c r="A162" s="664">
        <v>155</v>
      </c>
      <c r="B162" s="665" t="s">
        <v>191</v>
      </c>
      <c r="C162" s="666" t="s">
        <v>1217</v>
      </c>
      <c r="D162" s="667" t="s">
        <v>1204</v>
      </c>
      <c r="E162" s="668" t="s">
        <v>190</v>
      </c>
      <c r="F162" s="129">
        <v>-181108059</v>
      </c>
      <c r="G162" s="129">
        <v>826310</v>
      </c>
      <c r="H162" s="129">
        <v>146076809</v>
      </c>
      <c r="I162" s="129">
        <v>5595846</v>
      </c>
      <c r="J162" s="129">
        <v>140480963</v>
      </c>
      <c r="K162" s="129">
        <v>-41453406</v>
      </c>
      <c r="L162" s="129">
        <v>27635604</v>
      </c>
      <c r="M162" s="129">
        <v>-153472455</v>
      </c>
      <c r="N162" s="755">
        <v>0</v>
      </c>
      <c r="O162" s="755">
        <v>0.99</v>
      </c>
      <c r="P162" s="755">
        <v>0</v>
      </c>
      <c r="Q162" s="755">
        <v>0.01</v>
      </c>
      <c r="R162" s="755">
        <v>1</v>
      </c>
      <c r="S162" s="129">
        <v>0</v>
      </c>
      <c r="T162" s="129">
        <v>818047</v>
      </c>
      <c r="U162" s="129">
        <v>0</v>
      </c>
      <c r="V162" s="129">
        <v>8263</v>
      </c>
      <c r="W162" s="129">
        <v>826310</v>
      </c>
      <c r="X162" s="755">
        <v>0</v>
      </c>
      <c r="Y162" s="755">
        <v>0.99</v>
      </c>
      <c r="Z162" s="755">
        <v>0</v>
      </c>
      <c r="AA162" s="755">
        <v>0.01</v>
      </c>
      <c r="AB162" s="755">
        <v>1</v>
      </c>
      <c r="AC162" s="129">
        <v>0</v>
      </c>
      <c r="AD162" s="129">
        <v>-139076153</v>
      </c>
      <c r="AE162" s="129">
        <v>0</v>
      </c>
      <c r="AF162" s="129">
        <v>-1404810</v>
      </c>
      <c r="AG162" s="129">
        <v>-140480963</v>
      </c>
      <c r="AH162" s="755">
        <v>0</v>
      </c>
      <c r="AI162" s="755">
        <v>0.99</v>
      </c>
      <c r="AJ162" s="755">
        <v>0</v>
      </c>
      <c r="AK162" s="755">
        <v>0.01</v>
      </c>
      <c r="AL162" s="755">
        <v>1</v>
      </c>
      <c r="AM162" s="129">
        <v>0</v>
      </c>
      <c r="AN162" s="129">
        <v>-13679624</v>
      </c>
      <c r="AO162" s="129">
        <v>0</v>
      </c>
      <c r="AP162" s="129">
        <v>-138178</v>
      </c>
      <c r="AQ162" s="129">
        <v>-13817802</v>
      </c>
      <c r="AR162" s="129">
        <v>0</v>
      </c>
      <c r="AS162" s="129">
        <v>-151937730</v>
      </c>
      <c r="AT162" s="129">
        <v>0</v>
      </c>
      <c r="AU162" s="129">
        <v>-1534725</v>
      </c>
      <c r="AV162" s="129">
        <v>-153472455</v>
      </c>
      <c r="AW162" s="662" t="s">
        <v>190</v>
      </c>
      <c r="AX162" s="324" t="s">
        <v>570</v>
      </c>
      <c r="AY162" s="663" t="s">
        <v>1915</v>
      </c>
      <c r="AZ162" s="529" t="s">
        <v>1369</v>
      </c>
    </row>
    <row r="163" spans="1:52" ht="12.75" x14ac:dyDescent="0.2">
      <c r="A163" s="664">
        <v>156</v>
      </c>
      <c r="B163" s="665" t="s">
        <v>193</v>
      </c>
      <c r="C163" s="666" t="s">
        <v>1201</v>
      </c>
      <c r="D163" s="667" t="s">
        <v>1206</v>
      </c>
      <c r="E163" s="668" t="s">
        <v>192</v>
      </c>
      <c r="F163" s="129">
        <v>-18616684</v>
      </c>
      <c r="G163" s="129">
        <v>-393954</v>
      </c>
      <c r="H163" s="129">
        <v>16542385</v>
      </c>
      <c r="I163" s="129">
        <v>474318</v>
      </c>
      <c r="J163" s="129">
        <v>16068067</v>
      </c>
      <c r="K163" s="129">
        <v>-2154663</v>
      </c>
      <c r="L163" s="129">
        <v>1436442</v>
      </c>
      <c r="M163" s="129">
        <v>-17180242</v>
      </c>
      <c r="N163" s="755">
        <v>0.5</v>
      </c>
      <c r="O163" s="755">
        <v>0.4</v>
      </c>
      <c r="P163" s="755">
        <v>0.09</v>
      </c>
      <c r="Q163" s="755">
        <v>0.01</v>
      </c>
      <c r="R163" s="755">
        <v>1</v>
      </c>
      <c r="S163" s="129">
        <v>-196977</v>
      </c>
      <c r="T163" s="129">
        <v>-157582</v>
      </c>
      <c r="U163" s="129">
        <v>-35456</v>
      </c>
      <c r="V163" s="129">
        <v>-3940</v>
      </c>
      <c r="W163" s="129">
        <v>-393954</v>
      </c>
      <c r="X163" s="755">
        <v>0.5</v>
      </c>
      <c r="Y163" s="755">
        <v>0.4</v>
      </c>
      <c r="Z163" s="755">
        <v>0.09</v>
      </c>
      <c r="AA163" s="755">
        <v>0.01</v>
      </c>
      <c r="AB163" s="755">
        <v>1</v>
      </c>
      <c r="AC163" s="129">
        <v>-8034034</v>
      </c>
      <c r="AD163" s="129">
        <v>-6427227</v>
      </c>
      <c r="AE163" s="129">
        <v>-1446126</v>
      </c>
      <c r="AF163" s="129">
        <v>-160681</v>
      </c>
      <c r="AG163" s="129">
        <v>-16068067</v>
      </c>
      <c r="AH163" s="755">
        <v>0.5</v>
      </c>
      <c r="AI163" s="755">
        <v>0.4</v>
      </c>
      <c r="AJ163" s="755">
        <v>0.09</v>
      </c>
      <c r="AK163" s="755">
        <v>0.01</v>
      </c>
      <c r="AL163" s="755">
        <v>1</v>
      </c>
      <c r="AM163" s="129">
        <v>-359111</v>
      </c>
      <c r="AN163" s="129">
        <v>-287288</v>
      </c>
      <c r="AO163" s="129">
        <v>-64640</v>
      </c>
      <c r="AP163" s="129">
        <v>-7182</v>
      </c>
      <c r="AQ163" s="129">
        <v>-718221</v>
      </c>
      <c r="AR163" s="129">
        <v>-8590121</v>
      </c>
      <c r="AS163" s="129">
        <v>-6872097</v>
      </c>
      <c r="AT163" s="129">
        <v>-1546222</v>
      </c>
      <c r="AU163" s="129">
        <v>-171802</v>
      </c>
      <c r="AV163" s="129">
        <v>-17180242</v>
      </c>
      <c r="AW163" s="662" t="s">
        <v>192</v>
      </c>
      <c r="AX163" s="324" t="s">
        <v>559</v>
      </c>
      <c r="AY163" s="663" t="s">
        <v>558</v>
      </c>
      <c r="AZ163" s="529" t="s">
        <v>1370</v>
      </c>
    </row>
    <row r="164" spans="1:52" ht="14.25" x14ac:dyDescent="0.2">
      <c r="A164" s="664">
        <v>157</v>
      </c>
      <c r="B164" s="665" t="s">
        <v>195</v>
      </c>
      <c r="C164" s="666" t="s">
        <v>486</v>
      </c>
      <c r="D164" s="667" t="s">
        <v>1202</v>
      </c>
      <c r="E164" s="668" t="s">
        <v>1872</v>
      </c>
      <c r="F164" s="129">
        <v>-39413137</v>
      </c>
      <c r="G164" s="129">
        <v>-3329608</v>
      </c>
      <c r="H164" s="129">
        <v>34573914</v>
      </c>
      <c r="I164" s="129">
        <v>1669304</v>
      </c>
      <c r="J164" s="129">
        <v>32904610</v>
      </c>
      <c r="K164" s="129">
        <v>-3178919</v>
      </c>
      <c r="L164" s="129">
        <v>2119279</v>
      </c>
      <c r="M164" s="129">
        <v>-37293858</v>
      </c>
      <c r="N164" s="755">
        <v>0.5</v>
      </c>
      <c r="O164" s="755">
        <v>0.49</v>
      </c>
      <c r="P164" s="755">
        <v>0</v>
      </c>
      <c r="Q164" s="755">
        <v>0.01</v>
      </c>
      <c r="R164" s="755">
        <v>1</v>
      </c>
      <c r="S164" s="129">
        <v>-1664804</v>
      </c>
      <c r="T164" s="129">
        <v>-1631508</v>
      </c>
      <c r="U164" s="129">
        <v>0</v>
      </c>
      <c r="V164" s="129">
        <v>-33296</v>
      </c>
      <c r="W164" s="129">
        <v>-3329608</v>
      </c>
      <c r="X164" s="755">
        <v>0.5</v>
      </c>
      <c r="Y164" s="755">
        <v>0.49</v>
      </c>
      <c r="Z164" s="755">
        <v>0</v>
      </c>
      <c r="AA164" s="755">
        <v>0.01</v>
      </c>
      <c r="AB164" s="755">
        <v>1</v>
      </c>
      <c r="AC164" s="129">
        <v>-16452305</v>
      </c>
      <c r="AD164" s="129">
        <v>-16123259</v>
      </c>
      <c r="AE164" s="129">
        <v>0</v>
      </c>
      <c r="AF164" s="129">
        <v>-329046</v>
      </c>
      <c r="AG164" s="129">
        <v>-32904610</v>
      </c>
      <c r="AH164" s="755">
        <v>0.5</v>
      </c>
      <c r="AI164" s="755">
        <v>0.49</v>
      </c>
      <c r="AJ164" s="755">
        <v>0</v>
      </c>
      <c r="AK164" s="755">
        <v>0.01</v>
      </c>
      <c r="AL164" s="755">
        <v>1</v>
      </c>
      <c r="AM164" s="129">
        <v>-529820</v>
      </c>
      <c r="AN164" s="129">
        <v>-519223</v>
      </c>
      <c r="AO164" s="129">
        <v>0</v>
      </c>
      <c r="AP164" s="129">
        <v>-10596</v>
      </c>
      <c r="AQ164" s="129">
        <v>-1059640</v>
      </c>
      <c r="AR164" s="129">
        <v>-18646929</v>
      </c>
      <c r="AS164" s="129">
        <v>-18273990</v>
      </c>
      <c r="AT164" s="129">
        <v>0</v>
      </c>
      <c r="AU164" s="129">
        <v>-372939</v>
      </c>
      <c r="AV164" s="129">
        <v>-37293858</v>
      </c>
      <c r="AW164" s="662" t="s">
        <v>541</v>
      </c>
      <c r="AX164" s="324" t="s">
        <v>486</v>
      </c>
      <c r="AY164" s="663" t="s">
        <v>542</v>
      </c>
      <c r="AZ164" s="529" t="s">
        <v>1371</v>
      </c>
    </row>
    <row r="165" spans="1:52" ht="12.75" x14ac:dyDescent="0.2">
      <c r="A165" s="664">
        <v>158</v>
      </c>
      <c r="B165" s="665" t="s">
        <v>197</v>
      </c>
      <c r="C165" s="666" t="s">
        <v>1201</v>
      </c>
      <c r="D165" s="667" t="s">
        <v>1206</v>
      </c>
      <c r="E165" s="668" t="s">
        <v>196</v>
      </c>
      <c r="F165" s="129">
        <v>-7206328</v>
      </c>
      <c r="G165" s="129">
        <v>-352344</v>
      </c>
      <c r="H165" s="129">
        <v>6282300</v>
      </c>
      <c r="I165" s="129">
        <v>440000</v>
      </c>
      <c r="J165" s="129">
        <v>5842300</v>
      </c>
      <c r="K165" s="129">
        <v>-1011684</v>
      </c>
      <c r="L165" s="129">
        <v>674456</v>
      </c>
      <c r="M165" s="129">
        <v>-6531872</v>
      </c>
      <c r="N165" s="755">
        <v>0.25</v>
      </c>
      <c r="O165" s="755">
        <v>0.375</v>
      </c>
      <c r="P165" s="755">
        <v>0.36499999999999999</v>
      </c>
      <c r="Q165" s="755">
        <v>0.01</v>
      </c>
      <c r="R165" s="755">
        <v>1</v>
      </c>
      <c r="S165" s="129">
        <v>-88086</v>
      </c>
      <c r="T165" s="129">
        <v>-132129</v>
      </c>
      <c r="U165" s="129">
        <v>-128605</v>
      </c>
      <c r="V165" s="129">
        <v>-3523</v>
      </c>
      <c r="W165" s="129">
        <v>-352344</v>
      </c>
      <c r="X165" s="755">
        <v>0.5</v>
      </c>
      <c r="Y165" s="755">
        <v>0.4</v>
      </c>
      <c r="Z165" s="755">
        <v>0.09</v>
      </c>
      <c r="AA165" s="755">
        <v>0.01</v>
      </c>
      <c r="AB165" s="755">
        <v>1</v>
      </c>
      <c r="AC165" s="129">
        <v>-2921150</v>
      </c>
      <c r="AD165" s="129">
        <v>-2336920</v>
      </c>
      <c r="AE165" s="129">
        <v>-525807</v>
      </c>
      <c r="AF165" s="129">
        <v>-58423</v>
      </c>
      <c r="AG165" s="129">
        <v>-5842300</v>
      </c>
      <c r="AH165" s="755">
        <v>0.5</v>
      </c>
      <c r="AI165" s="755">
        <v>0.4</v>
      </c>
      <c r="AJ165" s="755">
        <v>0.09</v>
      </c>
      <c r="AK165" s="755">
        <v>0.01</v>
      </c>
      <c r="AL165" s="755">
        <v>1</v>
      </c>
      <c r="AM165" s="129">
        <v>-168614</v>
      </c>
      <c r="AN165" s="129">
        <v>-134891</v>
      </c>
      <c r="AO165" s="129">
        <v>-30351</v>
      </c>
      <c r="AP165" s="129">
        <v>-3372</v>
      </c>
      <c r="AQ165" s="129">
        <v>-337228</v>
      </c>
      <c r="AR165" s="129">
        <v>-3177850</v>
      </c>
      <c r="AS165" s="129">
        <v>-2603940</v>
      </c>
      <c r="AT165" s="129">
        <v>-684763</v>
      </c>
      <c r="AU165" s="129">
        <v>-65319</v>
      </c>
      <c r="AV165" s="129">
        <v>-6531872</v>
      </c>
      <c r="AW165" s="662" t="s">
        <v>196</v>
      </c>
      <c r="AX165" s="324" t="s">
        <v>551</v>
      </c>
      <c r="AY165" s="663" t="s">
        <v>549</v>
      </c>
      <c r="AZ165" s="529" t="s">
        <v>1372</v>
      </c>
    </row>
    <row r="166" spans="1:52" ht="12.75" x14ac:dyDescent="0.2">
      <c r="A166" s="664">
        <v>159</v>
      </c>
      <c r="B166" s="665" t="s">
        <v>199</v>
      </c>
      <c r="C166" s="666" t="s">
        <v>1201</v>
      </c>
      <c r="D166" s="667" t="s">
        <v>1224</v>
      </c>
      <c r="E166" s="668" t="s">
        <v>198</v>
      </c>
      <c r="F166" s="129">
        <v>-19607158</v>
      </c>
      <c r="G166" s="129">
        <v>-59527</v>
      </c>
      <c r="H166" s="129">
        <v>19760249</v>
      </c>
      <c r="I166" s="129">
        <v>1075987</v>
      </c>
      <c r="J166" s="129">
        <v>18684262</v>
      </c>
      <c r="K166" s="129">
        <v>-863369</v>
      </c>
      <c r="L166" s="129">
        <v>575579</v>
      </c>
      <c r="M166" s="129">
        <v>-19031579</v>
      </c>
      <c r="N166" s="755">
        <v>0.25</v>
      </c>
      <c r="O166" s="755">
        <v>0.44</v>
      </c>
      <c r="P166" s="755">
        <v>0.3</v>
      </c>
      <c r="Q166" s="755">
        <v>0.01</v>
      </c>
      <c r="R166" s="755">
        <v>1</v>
      </c>
      <c r="S166" s="129">
        <v>-14882</v>
      </c>
      <c r="T166" s="129">
        <v>-26192</v>
      </c>
      <c r="U166" s="129">
        <v>-17858</v>
      </c>
      <c r="V166" s="129">
        <v>-595</v>
      </c>
      <c r="W166" s="129">
        <v>-59527</v>
      </c>
      <c r="X166" s="755">
        <v>0.5</v>
      </c>
      <c r="Y166" s="755">
        <v>0.4</v>
      </c>
      <c r="Z166" s="755">
        <v>0.09</v>
      </c>
      <c r="AA166" s="755">
        <v>0.01</v>
      </c>
      <c r="AB166" s="755">
        <v>1</v>
      </c>
      <c r="AC166" s="129">
        <v>-9342131</v>
      </c>
      <c r="AD166" s="129">
        <v>-7473705</v>
      </c>
      <c r="AE166" s="129">
        <v>-1681584</v>
      </c>
      <c r="AF166" s="129">
        <v>-186843</v>
      </c>
      <c r="AG166" s="129">
        <v>-18684262</v>
      </c>
      <c r="AH166" s="755">
        <v>0.5</v>
      </c>
      <c r="AI166" s="755">
        <v>0.4</v>
      </c>
      <c r="AJ166" s="755">
        <v>0.09</v>
      </c>
      <c r="AK166" s="755">
        <v>0.01</v>
      </c>
      <c r="AL166" s="755">
        <v>1</v>
      </c>
      <c r="AM166" s="129">
        <v>-143895</v>
      </c>
      <c r="AN166" s="129">
        <v>-115116</v>
      </c>
      <c r="AO166" s="129">
        <v>-25901</v>
      </c>
      <c r="AP166" s="129">
        <v>-2878</v>
      </c>
      <c r="AQ166" s="129">
        <v>-287790</v>
      </c>
      <c r="AR166" s="129">
        <v>-9500908</v>
      </c>
      <c r="AS166" s="129">
        <v>-7615013</v>
      </c>
      <c r="AT166" s="129">
        <v>-1725343</v>
      </c>
      <c r="AU166" s="129">
        <v>-190316</v>
      </c>
      <c r="AV166" s="129">
        <v>-19031579</v>
      </c>
      <c r="AW166" s="662" t="s">
        <v>198</v>
      </c>
      <c r="AX166" s="324" t="s">
        <v>562</v>
      </c>
      <c r="AY166" s="663" t="s">
        <v>519</v>
      </c>
      <c r="AZ166" s="529" t="s">
        <v>1373</v>
      </c>
    </row>
    <row r="167" spans="1:52" ht="12.75" x14ac:dyDescent="0.2">
      <c r="A167" s="664">
        <v>160</v>
      </c>
      <c r="B167" s="665" t="s">
        <v>201</v>
      </c>
      <c r="C167" s="666" t="s">
        <v>1213</v>
      </c>
      <c r="D167" s="667" t="s">
        <v>1214</v>
      </c>
      <c r="E167" s="668" t="s">
        <v>200</v>
      </c>
      <c r="F167" s="129">
        <v>-48595404</v>
      </c>
      <c r="G167" s="129">
        <v>229545</v>
      </c>
      <c r="H167" s="129">
        <v>45590585</v>
      </c>
      <c r="I167" s="129">
        <v>2508000</v>
      </c>
      <c r="J167" s="129">
        <v>43082585</v>
      </c>
      <c r="K167" s="129">
        <v>-5742364</v>
      </c>
      <c r="L167" s="129">
        <v>3828243</v>
      </c>
      <c r="M167" s="129">
        <v>-44767161</v>
      </c>
      <c r="N167" s="755">
        <v>0.25</v>
      </c>
      <c r="O167" s="755">
        <v>0.48</v>
      </c>
      <c r="P167" s="755">
        <v>0.27</v>
      </c>
      <c r="Q167" s="755">
        <v>0</v>
      </c>
      <c r="R167" s="755">
        <v>1</v>
      </c>
      <c r="S167" s="129">
        <v>57386</v>
      </c>
      <c r="T167" s="129">
        <v>110182</v>
      </c>
      <c r="U167" s="129">
        <v>61977</v>
      </c>
      <c r="V167" s="129">
        <v>0</v>
      </c>
      <c r="W167" s="129">
        <v>229545</v>
      </c>
      <c r="X167" s="755">
        <v>0.33</v>
      </c>
      <c r="Y167" s="755">
        <v>0.3</v>
      </c>
      <c r="Z167" s="755">
        <v>0.37</v>
      </c>
      <c r="AA167" s="755">
        <v>0</v>
      </c>
      <c r="AB167" s="755">
        <v>1</v>
      </c>
      <c r="AC167" s="129">
        <v>-14217253</v>
      </c>
      <c r="AD167" s="129">
        <v>-12924776</v>
      </c>
      <c r="AE167" s="129">
        <v>-15940556</v>
      </c>
      <c r="AF167" s="129">
        <v>0</v>
      </c>
      <c r="AG167" s="129">
        <v>-43082585</v>
      </c>
      <c r="AH167" s="755">
        <v>0.33</v>
      </c>
      <c r="AI167" s="755">
        <v>0.3</v>
      </c>
      <c r="AJ167" s="755">
        <v>0.37</v>
      </c>
      <c r="AK167" s="755">
        <v>0</v>
      </c>
      <c r="AL167" s="755">
        <v>1</v>
      </c>
      <c r="AM167" s="129">
        <v>-631660</v>
      </c>
      <c r="AN167" s="129">
        <v>-574236</v>
      </c>
      <c r="AO167" s="129">
        <v>-708225</v>
      </c>
      <c r="AP167" s="129">
        <v>0</v>
      </c>
      <c r="AQ167" s="129">
        <v>-1914121</v>
      </c>
      <c r="AR167" s="129">
        <v>-14791527</v>
      </c>
      <c r="AS167" s="129">
        <v>-13388830</v>
      </c>
      <c r="AT167" s="129">
        <v>-16586804</v>
      </c>
      <c r="AU167" s="129">
        <v>0</v>
      </c>
      <c r="AV167" s="129">
        <v>-44767161</v>
      </c>
      <c r="AW167" s="662" t="s">
        <v>200</v>
      </c>
      <c r="AX167" s="324" t="s">
        <v>576</v>
      </c>
      <c r="AY167" s="669" t="s">
        <v>485</v>
      </c>
      <c r="AZ167" s="529" t="s">
        <v>1374</v>
      </c>
    </row>
    <row r="168" spans="1:52" ht="12.75" x14ac:dyDescent="0.2">
      <c r="A168" s="664">
        <v>161</v>
      </c>
      <c r="B168" s="665" t="s">
        <v>203</v>
      </c>
      <c r="C168" s="666" t="s">
        <v>1201</v>
      </c>
      <c r="D168" s="667" t="s">
        <v>1224</v>
      </c>
      <c r="E168" s="668" t="s">
        <v>202</v>
      </c>
      <c r="F168" s="129">
        <v>-8688451</v>
      </c>
      <c r="G168" s="129">
        <v>-269552</v>
      </c>
      <c r="H168" s="129">
        <v>7619368</v>
      </c>
      <c r="I168" s="129">
        <v>340620</v>
      </c>
      <c r="J168" s="129">
        <v>7278748</v>
      </c>
      <c r="K168" s="129">
        <v>-1140151</v>
      </c>
      <c r="L168" s="129">
        <v>760101</v>
      </c>
      <c r="M168" s="129">
        <v>-7928350</v>
      </c>
      <c r="N168" s="755">
        <v>0.5</v>
      </c>
      <c r="O168" s="755">
        <v>0.4</v>
      </c>
      <c r="P168" s="755">
        <v>0.09</v>
      </c>
      <c r="Q168" s="755">
        <v>0.01</v>
      </c>
      <c r="R168" s="755">
        <v>1</v>
      </c>
      <c r="S168" s="129">
        <v>-134776</v>
      </c>
      <c r="T168" s="129">
        <v>-107821</v>
      </c>
      <c r="U168" s="129">
        <v>-24260</v>
      </c>
      <c r="V168" s="129">
        <v>-2696</v>
      </c>
      <c r="W168" s="129">
        <v>-269552</v>
      </c>
      <c r="X168" s="755">
        <v>0.5</v>
      </c>
      <c r="Y168" s="755">
        <v>0.4</v>
      </c>
      <c r="Z168" s="755">
        <v>0.09</v>
      </c>
      <c r="AA168" s="755">
        <v>0.01</v>
      </c>
      <c r="AB168" s="755">
        <v>1</v>
      </c>
      <c r="AC168" s="129">
        <v>-3639374</v>
      </c>
      <c r="AD168" s="129">
        <v>-2911499</v>
      </c>
      <c r="AE168" s="129">
        <v>-655087</v>
      </c>
      <c r="AF168" s="129">
        <v>-72787</v>
      </c>
      <c r="AG168" s="129">
        <v>-7278748</v>
      </c>
      <c r="AH168" s="755">
        <v>0.5</v>
      </c>
      <c r="AI168" s="755">
        <v>0.4</v>
      </c>
      <c r="AJ168" s="755">
        <v>0.09</v>
      </c>
      <c r="AK168" s="755">
        <v>0.01</v>
      </c>
      <c r="AL168" s="755">
        <v>1</v>
      </c>
      <c r="AM168" s="129">
        <v>-190025</v>
      </c>
      <c r="AN168" s="129">
        <v>-152020</v>
      </c>
      <c r="AO168" s="129">
        <v>-34205</v>
      </c>
      <c r="AP168" s="129">
        <v>-3801</v>
      </c>
      <c r="AQ168" s="129">
        <v>-380050</v>
      </c>
      <c r="AR168" s="129">
        <v>-3964175</v>
      </c>
      <c r="AS168" s="129">
        <v>-3171340</v>
      </c>
      <c r="AT168" s="129">
        <v>-713552</v>
      </c>
      <c r="AU168" s="129">
        <v>-79284</v>
      </c>
      <c r="AV168" s="129">
        <v>-7928350</v>
      </c>
      <c r="AW168" s="662" t="s">
        <v>202</v>
      </c>
      <c r="AX168" s="324" t="s">
        <v>521</v>
      </c>
      <c r="AY168" s="663" t="s">
        <v>519</v>
      </c>
      <c r="AZ168" s="529" t="s">
        <v>1375</v>
      </c>
    </row>
    <row r="169" spans="1:52" ht="12.75" x14ac:dyDescent="0.2">
      <c r="A169" s="664">
        <v>162</v>
      </c>
      <c r="B169" s="665" t="s">
        <v>205</v>
      </c>
      <c r="C169" s="666" t="s">
        <v>1201</v>
      </c>
      <c r="D169" s="667" t="s">
        <v>1211</v>
      </c>
      <c r="E169" s="668" t="s">
        <v>204</v>
      </c>
      <c r="F169" s="129">
        <v>-3994864</v>
      </c>
      <c r="G169" s="129">
        <v>-388078</v>
      </c>
      <c r="H169" s="129">
        <v>5511699</v>
      </c>
      <c r="I169" s="129">
        <v>340574</v>
      </c>
      <c r="J169" s="129">
        <v>5171125</v>
      </c>
      <c r="K169" s="129">
        <v>1564339</v>
      </c>
      <c r="L169" s="129">
        <v>0</v>
      </c>
      <c r="M169" s="129">
        <v>-3994864</v>
      </c>
      <c r="N169" s="755">
        <v>0.5</v>
      </c>
      <c r="O169" s="755">
        <v>0.4</v>
      </c>
      <c r="P169" s="755">
        <v>0.1</v>
      </c>
      <c r="Q169" s="755">
        <v>0</v>
      </c>
      <c r="R169" s="755">
        <v>1</v>
      </c>
      <c r="S169" s="129">
        <v>-194039</v>
      </c>
      <c r="T169" s="129">
        <v>-155231</v>
      </c>
      <c r="U169" s="129">
        <v>-38808</v>
      </c>
      <c r="V169" s="129">
        <v>0</v>
      </c>
      <c r="W169" s="129">
        <v>-388078</v>
      </c>
      <c r="X169" s="755">
        <v>0.5</v>
      </c>
      <c r="Y169" s="755">
        <v>0.4</v>
      </c>
      <c r="Z169" s="755">
        <v>0.1</v>
      </c>
      <c r="AA169" s="755">
        <v>0</v>
      </c>
      <c r="AB169" s="755">
        <v>1</v>
      </c>
      <c r="AC169" s="129">
        <v>-1803393</v>
      </c>
      <c r="AD169" s="129">
        <v>-1442714</v>
      </c>
      <c r="AE169" s="129">
        <v>-360679</v>
      </c>
      <c r="AF169" s="129">
        <v>0</v>
      </c>
      <c r="AG169" s="129">
        <v>-3606786</v>
      </c>
      <c r="AH169" s="755">
        <v>0.5</v>
      </c>
      <c r="AI169" s="755">
        <v>0.4</v>
      </c>
      <c r="AJ169" s="755">
        <v>0.1</v>
      </c>
      <c r="AK169" s="755">
        <v>0</v>
      </c>
      <c r="AL169" s="755">
        <v>1</v>
      </c>
      <c r="AM169" s="129">
        <v>0</v>
      </c>
      <c r="AN169" s="129">
        <v>0</v>
      </c>
      <c r="AO169" s="129">
        <v>0</v>
      </c>
      <c r="AP169" s="129">
        <v>0</v>
      </c>
      <c r="AQ169" s="129">
        <v>0</v>
      </c>
      <c r="AR169" s="129">
        <v>-1997432</v>
      </c>
      <c r="AS169" s="129">
        <v>-1597946</v>
      </c>
      <c r="AT169" s="129">
        <v>-399486</v>
      </c>
      <c r="AU169" s="129">
        <v>0</v>
      </c>
      <c r="AV169" s="129">
        <v>-3994864</v>
      </c>
      <c r="AW169" s="662" t="s">
        <v>204</v>
      </c>
      <c r="AX169" s="324" t="s">
        <v>565</v>
      </c>
      <c r="AY169" s="663" t="s">
        <v>512</v>
      </c>
      <c r="AZ169" s="529" t="s">
        <v>1376</v>
      </c>
    </row>
    <row r="170" spans="1:52" ht="12.75" x14ac:dyDescent="0.2">
      <c r="A170" s="664">
        <v>163</v>
      </c>
      <c r="B170" s="665" t="s">
        <v>207</v>
      </c>
      <c r="C170" s="666" t="s">
        <v>1201</v>
      </c>
      <c r="D170" s="667" t="s">
        <v>1202</v>
      </c>
      <c r="E170" s="668" t="s">
        <v>206</v>
      </c>
      <c r="F170" s="129">
        <v>-22905830</v>
      </c>
      <c r="G170" s="129">
        <v>2156415</v>
      </c>
      <c r="H170" s="129">
        <v>23446463</v>
      </c>
      <c r="I170" s="129">
        <v>1988191</v>
      </c>
      <c r="J170" s="129">
        <v>21458272</v>
      </c>
      <c r="K170" s="129">
        <v>-3603973</v>
      </c>
      <c r="L170" s="129">
        <v>2402649</v>
      </c>
      <c r="M170" s="129">
        <v>-20503182</v>
      </c>
      <c r="N170" s="755">
        <v>0.25</v>
      </c>
      <c r="O170" s="755">
        <v>0.2</v>
      </c>
      <c r="P170" s="755">
        <v>0.55000000000000004</v>
      </c>
      <c r="Q170" s="755">
        <v>0</v>
      </c>
      <c r="R170" s="755">
        <v>1</v>
      </c>
      <c r="S170" s="129">
        <v>539104</v>
      </c>
      <c r="T170" s="129">
        <v>431283</v>
      </c>
      <c r="U170" s="129">
        <v>1186028</v>
      </c>
      <c r="V170" s="129">
        <v>0</v>
      </c>
      <c r="W170" s="129">
        <v>2156415</v>
      </c>
      <c r="X170" s="755">
        <v>0.5</v>
      </c>
      <c r="Y170" s="755">
        <v>0.4</v>
      </c>
      <c r="Z170" s="755">
        <v>0.1</v>
      </c>
      <c r="AA170" s="755">
        <v>0</v>
      </c>
      <c r="AB170" s="755">
        <v>1</v>
      </c>
      <c r="AC170" s="129">
        <v>-10729136</v>
      </c>
      <c r="AD170" s="129">
        <v>-8583309</v>
      </c>
      <c r="AE170" s="129">
        <v>-2145827</v>
      </c>
      <c r="AF170" s="129">
        <v>0</v>
      </c>
      <c r="AG170" s="129">
        <v>-21458272</v>
      </c>
      <c r="AH170" s="755">
        <v>0.5</v>
      </c>
      <c r="AI170" s="755">
        <v>0.4</v>
      </c>
      <c r="AJ170" s="755">
        <v>0.1</v>
      </c>
      <c r="AK170" s="755">
        <v>0</v>
      </c>
      <c r="AL170" s="755">
        <v>1</v>
      </c>
      <c r="AM170" s="129">
        <v>-600662</v>
      </c>
      <c r="AN170" s="129">
        <v>-480530</v>
      </c>
      <c r="AO170" s="129">
        <v>-120132</v>
      </c>
      <c r="AP170" s="129">
        <v>0</v>
      </c>
      <c r="AQ170" s="129">
        <v>-1201324</v>
      </c>
      <c r="AR170" s="129">
        <v>-10790695</v>
      </c>
      <c r="AS170" s="129">
        <v>-8632556</v>
      </c>
      <c r="AT170" s="129">
        <v>-1079932</v>
      </c>
      <c r="AU170" s="129">
        <v>0</v>
      </c>
      <c r="AV170" s="129">
        <v>-20503182</v>
      </c>
      <c r="AW170" s="662" t="s">
        <v>206</v>
      </c>
      <c r="AX170" s="324" t="s">
        <v>568</v>
      </c>
      <c r="AY170" s="663" t="s">
        <v>512</v>
      </c>
      <c r="AZ170" s="529" t="s">
        <v>1377</v>
      </c>
    </row>
    <row r="171" spans="1:52" ht="12.75" x14ac:dyDescent="0.2">
      <c r="A171" s="664">
        <v>164</v>
      </c>
      <c r="B171" s="665" t="s">
        <v>209</v>
      </c>
      <c r="C171" s="666" t="s">
        <v>486</v>
      </c>
      <c r="D171" s="667" t="s">
        <v>1283</v>
      </c>
      <c r="E171" s="668" t="s">
        <v>510</v>
      </c>
      <c r="F171" s="129">
        <v>-22744699</v>
      </c>
      <c r="G171" s="129">
        <v>206801</v>
      </c>
      <c r="H171" s="129">
        <v>20551575</v>
      </c>
      <c r="I171" s="129">
        <v>1300000</v>
      </c>
      <c r="J171" s="129">
        <v>19251575</v>
      </c>
      <c r="K171" s="129">
        <v>-3699925</v>
      </c>
      <c r="L171" s="129">
        <v>2466617</v>
      </c>
      <c r="M171" s="129">
        <v>-20278082</v>
      </c>
      <c r="N171" s="755">
        <v>0.5</v>
      </c>
      <c r="O171" s="755">
        <v>0.49</v>
      </c>
      <c r="P171" s="755">
        <v>0</v>
      </c>
      <c r="Q171" s="755">
        <v>0.01</v>
      </c>
      <c r="R171" s="755">
        <v>1</v>
      </c>
      <c r="S171" s="129">
        <v>103401</v>
      </c>
      <c r="T171" s="129">
        <v>101332</v>
      </c>
      <c r="U171" s="129">
        <v>0</v>
      </c>
      <c r="V171" s="129">
        <v>2068</v>
      </c>
      <c r="W171" s="129">
        <v>206801</v>
      </c>
      <c r="X171" s="755">
        <v>0.5</v>
      </c>
      <c r="Y171" s="755">
        <v>0.49</v>
      </c>
      <c r="Z171" s="755">
        <v>0</v>
      </c>
      <c r="AA171" s="755">
        <v>0.01</v>
      </c>
      <c r="AB171" s="755">
        <v>1</v>
      </c>
      <c r="AC171" s="129">
        <v>-9625788</v>
      </c>
      <c r="AD171" s="129">
        <v>-9433272</v>
      </c>
      <c r="AE171" s="129">
        <v>0</v>
      </c>
      <c r="AF171" s="129">
        <v>-192516</v>
      </c>
      <c r="AG171" s="129">
        <v>-19251575</v>
      </c>
      <c r="AH171" s="755">
        <v>0.5</v>
      </c>
      <c r="AI171" s="755">
        <v>0.49</v>
      </c>
      <c r="AJ171" s="755">
        <v>0</v>
      </c>
      <c r="AK171" s="755">
        <v>0.01</v>
      </c>
      <c r="AL171" s="755">
        <v>1</v>
      </c>
      <c r="AM171" s="129">
        <v>-616654</v>
      </c>
      <c r="AN171" s="129">
        <v>-604321</v>
      </c>
      <c r="AO171" s="129">
        <v>0</v>
      </c>
      <c r="AP171" s="129">
        <v>-12333</v>
      </c>
      <c r="AQ171" s="129">
        <v>-1233308</v>
      </c>
      <c r="AR171" s="129">
        <v>-10139041</v>
      </c>
      <c r="AS171" s="129">
        <v>-9936260</v>
      </c>
      <c r="AT171" s="129">
        <v>0</v>
      </c>
      <c r="AU171" s="129">
        <v>-202781</v>
      </c>
      <c r="AV171" s="129">
        <v>-20278082</v>
      </c>
      <c r="AW171" s="662" t="s">
        <v>510</v>
      </c>
      <c r="AX171" s="324" t="s">
        <v>486</v>
      </c>
      <c r="AY171" s="663" t="s">
        <v>509</v>
      </c>
      <c r="AZ171" s="529" t="s">
        <v>1378</v>
      </c>
    </row>
    <row r="172" spans="1:52" ht="12.75" x14ac:dyDescent="0.2">
      <c r="A172" s="664">
        <v>165</v>
      </c>
      <c r="B172" s="665" t="s">
        <v>210</v>
      </c>
      <c r="C172" s="666" t="s">
        <v>486</v>
      </c>
      <c r="D172" s="667" t="s">
        <v>1202</v>
      </c>
      <c r="E172" s="668" t="s">
        <v>499</v>
      </c>
      <c r="F172" s="129">
        <v>-90620649</v>
      </c>
      <c r="G172" s="129">
        <v>-15047</v>
      </c>
      <c r="H172" s="129">
        <v>75829993</v>
      </c>
      <c r="I172" s="129">
        <v>2000000</v>
      </c>
      <c r="J172" s="129">
        <v>73829993</v>
      </c>
      <c r="K172" s="129">
        <v>-16775609</v>
      </c>
      <c r="L172" s="129">
        <v>11183739</v>
      </c>
      <c r="M172" s="129">
        <v>-79436910</v>
      </c>
      <c r="N172" s="755">
        <v>0.5</v>
      </c>
      <c r="O172" s="755">
        <v>0.49</v>
      </c>
      <c r="P172" s="755">
        <v>0</v>
      </c>
      <c r="Q172" s="755">
        <v>0.01</v>
      </c>
      <c r="R172" s="755">
        <v>1</v>
      </c>
      <c r="S172" s="129">
        <v>-7524</v>
      </c>
      <c r="T172" s="129">
        <v>-7373</v>
      </c>
      <c r="U172" s="129">
        <v>0</v>
      </c>
      <c r="V172" s="129">
        <v>-150</v>
      </c>
      <c r="W172" s="129">
        <v>-15047</v>
      </c>
      <c r="X172" s="755">
        <v>0.5</v>
      </c>
      <c r="Y172" s="755">
        <v>0.49</v>
      </c>
      <c r="Z172" s="755">
        <v>0</v>
      </c>
      <c r="AA172" s="755">
        <v>0.01</v>
      </c>
      <c r="AB172" s="755">
        <v>1</v>
      </c>
      <c r="AC172" s="129">
        <v>-36914997</v>
      </c>
      <c r="AD172" s="129">
        <v>-36176697</v>
      </c>
      <c r="AE172" s="129">
        <v>0</v>
      </c>
      <c r="AF172" s="129">
        <v>-738300</v>
      </c>
      <c r="AG172" s="129">
        <v>-73829993</v>
      </c>
      <c r="AH172" s="755">
        <v>0.5</v>
      </c>
      <c r="AI172" s="755">
        <v>0.49</v>
      </c>
      <c r="AJ172" s="755">
        <v>0</v>
      </c>
      <c r="AK172" s="755">
        <v>0.01</v>
      </c>
      <c r="AL172" s="755">
        <v>1</v>
      </c>
      <c r="AM172" s="129">
        <v>-2795935</v>
      </c>
      <c r="AN172" s="129">
        <v>-2740016</v>
      </c>
      <c r="AO172" s="129">
        <v>0</v>
      </c>
      <c r="AP172" s="129">
        <v>-55919</v>
      </c>
      <c r="AQ172" s="129">
        <v>-5591870</v>
      </c>
      <c r="AR172" s="129">
        <v>-39718455</v>
      </c>
      <c r="AS172" s="129">
        <v>-38924086</v>
      </c>
      <c r="AT172" s="129">
        <v>0</v>
      </c>
      <c r="AU172" s="129">
        <v>-794369</v>
      </c>
      <c r="AV172" s="129">
        <v>-79436910</v>
      </c>
      <c r="AW172" s="662" t="s">
        <v>499</v>
      </c>
      <c r="AX172" s="324" t="s">
        <v>486</v>
      </c>
      <c r="AY172" s="663" t="s">
        <v>500</v>
      </c>
      <c r="AZ172" s="529" t="s">
        <v>1379</v>
      </c>
    </row>
    <row r="173" spans="1:52" ht="14.25" x14ac:dyDescent="0.2">
      <c r="A173" s="664">
        <v>166</v>
      </c>
      <c r="B173" s="665" t="s">
        <v>212</v>
      </c>
      <c r="C173" s="666" t="s">
        <v>1201</v>
      </c>
      <c r="D173" s="667" t="s">
        <v>1202</v>
      </c>
      <c r="E173" s="668" t="s">
        <v>1865</v>
      </c>
      <c r="F173" s="129">
        <v>-15439676</v>
      </c>
      <c r="G173" s="129">
        <v>56996</v>
      </c>
      <c r="H173" s="129">
        <v>14352355</v>
      </c>
      <c r="I173" s="129">
        <v>940690</v>
      </c>
      <c r="J173" s="129">
        <v>13411665</v>
      </c>
      <c r="K173" s="129">
        <v>-2085007</v>
      </c>
      <c r="L173" s="129">
        <v>1390005</v>
      </c>
      <c r="M173" s="129">
        <v>-14049671</v>
      </c>
      <c r="N173" s="755">
        <v>0.5</v>
      </c>
      <c r="O173" s="755">
        <v>0.4</v>
      </c>
      <c r="P173" s="755">
        <v>0.1</v>
      </c>
      <c r="Q173" s="755">
        <v>0</v>
      </c>
      <c r="R173" s="755">
        <v>1</v>
      </c>
      <c r="S173" s="129">
        <v>28498</v>
      </c>
      <c r="T173" s="129">
        <v>22799</v>
      </c>
      <c r="U173" s="129">
        <v>5700</v>
      </c>
      <c r="V173" s="129">
        <v>0</v>
      </c>
      <c r="W173" s="129">
        <v>56996</v>
      </c>
      <c r="X173" s="755">
        <v>0.5</v>
      </c>
      <c r="Y173" s="755">
        <v>0.4</v>
      </c>
      <c r="Z173" s="755">
        <v>0.1</v>
      </c>
      <c r="AA173" s="755">
        <v>0</v>
      </c>
      <c r="AB173" s="755">
        <v>1</v>
      </c>
      <c r="AC173" s="129">
        <v>-6705833</v>
      </c>
      <c r="AD173" s="129">
        <v>-5364666</v>
      </c>
      <c r="AE173" s="129">
        <v>-1341167</v>
      </c>
      <c r="AF173" s="129">
        <v>0</v>
      </c>
      <c r="AG173" s="129">
        <v>-13411665</v>
      </c>
      <c r="AH173" s="755">
        <v>0.5</v>
      </c>
      <c r="AI173" s="755">
        <v>0.4</v>
      </c>
      <c r="AJ173" s="755">
        <v>0.1</v>
      </c>
      <c r="AK173" s="755">
        <v>0</v>
      </c>
      <c r="AL173" s="755">
        <v>1</v>
      </c>
      <c r="AM173" s="129">
        <v>-347501</v>
      </c>
      <c r="AN173" s="129">
        <v>-278001</v>
      </c>
      <c r="AO173" s="129">
        <v>-69500</v>
      </c>
      <c r="AP173" s="129">
        <v>0</v>
      </c>
      <c r="AQ173" s="129">
        <v>-695002</v>
      </c>
      <c r="AR173" s="129">
        <v>-7024835</v>
      </c>
      <c r="AS173" s="129">
        <v>-5619868</v>
      </c>
      <c r="AT173" s="129">
        <v>-1404967</v>
      </c>
      <c r="AU173" s="129">
        <v>0</v>
      </c>
      <c r="AV173" s="129">
        <v>-14049671</v>
      </c>
      <c r="AW173" s="662" t="s">
        <v>211</v>
      </c>
      <c r="AX173" s="324" t="s">
        <v>566</v>
      </c>
      <c r="AY173" s="663" t="s">
        <v>512</v>
      </c>
      <c r="AZ173" s="529" t="s">
        <v>1380</v>
      </c>
    </row>
    <row r="174" spans="1:52" ht="12.75" x14ac:dyDescent="0.2">
      <c r="A174" s="664">
        <v>167</v>
      </c>
      <c r="B174" s="665" t="s">
        <v>214</v>
      </c>
      <c r="C174" s="666" t="s">
        <v>1201</v>
      </c>
      <c r="D174" s="667" t="s">
        <v>1202</v>
      </c>
      <c r="E174" s="668" t="s">
        <v>213</v>
      </c>
      <c r="F174" s="129">
        <v>-28381112</v>
      </c>
      <c r="G174" s="129">
        <v>-988244</v>
      </c>
      <c r="H174" s="129">
        <v>28650000</v>
      </c>
      <c r="I174" s="129">
        <v>1473570</v>
      </c>
      <c r="J174" s="129">
        <v>27176430</v>
      </c>
      <c r="K174" s="129">
        <v>-216438</v>
      </c>
      <c r="L174" s="129">
        <v>144292</v>
      </c>
      <c r="M174" s="129">
        <v>-28236820</v>
      </c>
      <c r="N174" s="755">
        <v>0.5</v>
      </c>
      <c r="O174" s="755">
        <v>0.4</v>
      </c>
      <c r="P174" s="755">
        <v>0.09</v>
      </c>
      <c r="Q174" s="755">
        <v>0.01</v>
      </c>
      <c r="R174" s="755">
        <v>1</v>
      </c>
      <c r="S174" s="129">
        <v>-494122</v>
      </c>
      <c r="T174" s="129">
        <v>-395298</v>
      </c>
      <c r="U174" s="129">
        <v>-88942</v>
      </c>
      <c r="V174" s="129">
        <v>-9882</v>
      </c>
      <c r="W174" s="129">
        <v>-988244</v>
      </c>
      <c r="X174" s="755">
        <v>0.5</v>
      </c>
      <c r="Y174" s="755">
        <v>0.4</v>
      </c>
      <c r="Z174" s="755">
        <v>0.09</v>
      </c>
      <c r="AA174" s="755">
        <v>0.01</v>
      </c>
      <c r="AB174" s="755">
        <v>1</v>
      </c>
      <c r="AC174" s="129">
        <v>-13588215</v>
      </c>
      <c r="AD174" s="129">
        <v>-10870572</v>
      </c>
      <c r="AE174" s="129">
        <v>-2445879</v>
      </c>
      <c r="AF174" s="129">
        <v>-271764</v>
      </c>
      <c r="AG174" s="129">
        <v>-27176430</v>
      </c>
      <c r="AH174" s="755">
        <v>0.5</v>
      </c>
      <c r="AI174" s="755">
        <v>0.4</v>
      </c>
      <c r="AJ174" s="755">
        <v>0.09</v>
      </c>
      <c r="AK174" s="755">
        <v>0.01</v>
      </c>
      <c r="AL174" s="755">
        <v>1</v>
      </c>
      <c r="AM174" s="129">
        <v>-36073</v>
      </c>
      <c r="AN174" s="129">
        <v>-28858</v>
      </c>
      <c r="AO174" s="129">
        <v>-6493</v>
      </c>
      <c r="AP174" s="129">
        <v>-721</v>
      </c>
      <c r="AQ174" s="129">
        <v>-72146</v>
      </c>
      <c r="AR174" s="129">
        <v>-14118410</v>
      </c>
      <c r="AS174" s="129">
        <v>-11294728</v>
      </c>
      <c r="AT174" s="129">
        <v>-2541314</v>
      </c>
      <c r="AU174" s="129">
        <v>-282368</v>
      </c>
      <c r="AV174" s="129">
        <v>-28236820</v>
      </c>
      <c r="AW174" s="662" t="s">
        <v>213</v>
      </c>
      <c r="AX174" s="324" t="s">
        <v>532</v>
      </c>
      <c r="AY174" s="663" t="s">
        <v>1914</v>
      </c>
      <c r="AZ174" s="529" t="s">
        <v>1381</v>
      </c>
    </row>
    <row r="175" spans="1:52" ht="12.75" x14ac:dyDescent="0.2">
      <c r="A175" s="664">
        <v>168</v>
      </c>
      <c r="B175" s="665" t="s">
        <v>216</v>
      </c>
      <c r="C175" s="666" t="s">
        <v>1201</v>
      </c>
      <c r="D175" s="667" t="s">
        <v>1206</v>
      </c>
      <c r="E175" s="668" t="s">
        <v>215</v>
      </c>
      <c r="F175" s="129">
        <v>-17571747</v>
      </c>
      <c r="G175" s="129">
        <v>2834720</v>
      </c>
      <c r="H175" s="129">
        <v>18671731</v>
      </c>
      <c r="I175" s="129">
        <v>820856</v>
      </c>
      <c r="J175" s="129">
        <v>17850875</v>
      </c>
      <c r="K175" s="129">
        <v>-2555592</v>
      </c>
      <c r="L175" s="129">
        <v>1703728</v>
      </c>
      <c r="M175" s="129">
        <v>-15868019</v>
      </c>
      <c r="N175" s="755">
        <v>0.5</v>
      </c>
      <c r="O175" s="755">
        <v>0.4</v>
      </c>
      <c r="P175" s="755">
        <v>0.09</v>
      </c>
      <c r="Q175" s="755">
        <v>0.01</v>
      </c>
      <c r="R175" s="755">
        <v>1</v>
      </c>
      <c r="S175" s="129">
        <v>1417360</v>
      </c>
      <c r="T175" s="129">
        <v>1133888</v>
      </c>
      <c r="U175" s="129">
        <v>255125</v>
      </c>
      <c r="V175" s="129">
        <v>28347</v>
      </c>
      <c r="W175" s="129">
        <v>2834720</v>
      </c>
      <c r="X175" s="755">
        <v>0.5</v>
      </c>
      <c r="Y175" s="755">
        <v>0.4</v>
      </c>
      <c r="Z175" s="755">
        <v>0.09</v>
      </c>
      <c r="AA175" s="755">
        <v>0.01</v>
      </c>
      <c r="AB175" s="755">
        <v>1</v>
      </c>
      <c r="AC175" s="129">
        <v>-8925438</v>
      </c>
      <c r="AD175" s="129">
        <v>-7140350</v>
      </c>
      <c r="AE175" s="129">
        <v>-1606579</v>
      </c>
      <c r="AF175" s="129">
        <v>-178509</v>
      </c>
      <c r="AG175" s="129">
        <v>-17850875</v>
      </c>
      <c r="AH175" s="755">
        <v>0.5</v>
      </c>
      <c r="AI175" s="755">
        <v>0.4</v>
      </c>
      <c r="AJ175" s="755">
        <v>0.09</v>
      </c>
      <c r="AK175" s="755">
        <v>0.01</v>
      </c>
      <c r="AL175" s="755">
        <v>1</v>
      </c>
      <c r="AM175" s="129">
        <v>-425932</v>
      </c>
      <c r="AN175" s="129">
        <v>-340746</v>
      </c>
      <c r="AO175" s="129">
        <v>-76668</v>
      </c>
      <c r="AP175" s="129">
        <v>-8519</v>
      </c>
      <c r="AQ175" s="129">
        <v>-851864</v>
      </c>
      <c r="AR175" s="129">
        <v>-7934010</v>
      </c>
      <c r="AS175" s="129">
        <v>-6347208</v>
      </c>
      <c r="AT175" s="129">
        <v>-1428122</v>
      </c>
      <c r="AU175" s="129">
        <v>-158680</v>
      </c>
      <c r="AV175" s="129">
        <v>-15868019</v>
      </c>
      <c r="AW175" s="662" t="s">
        <v>215</v>
      </c>
      <c r="AX175" s="324" t="s">
        <v>559</v>
      </c>
      <c r="AY175" s="663" t="s">
        <v>558</v>
      </c>
      <c r="AZ175" s="529" t="s">
        <v>1382</v>
      </c>
    </row>
    <row r="176" spans="1:52" ht="12.75" x14ac:dyDescent="0.2">
      <c r="A176" s="664">
        <v>169</v>
      </c>
      <c r="B176" s="665" t="s">
        <v>217</v>
      </c>
      <c r="C176" s="666" t="s">
        <v>1217</v>
      </c>
      <c r="D176" s="667" t="s">
        <v>1283</v>
      </c>
      <c r="E176" s="668" t="s">
        <v>795</v>
      </c>
      <c r="F176" s="129">
        <v>-83252532</v>
      </c>
      <c r="G176" s="129">
        <v>-297839</v>
      </c>
      <c r="H176" s="129">
        <v>82844340</v>
      </c>
      <c r="I176" s="129">
        <v>2085788</v>
      </c>
      <c r="J176" s="129">
        <v>80758552</v>
      </c>
      <c r="K176" s="129">
        <v>-2196141</v>
      </c>
      <c r="L176" s="129">
        <v>1464094</v>
      </c>
      <c r="M176" s="129">
        <v>-81788438</v>
      </c>
      <c r="N176" s="755">
        <v>0.25</v>
      </c>
      <c r="O176" s="755">
        <v>0.74</v>
      </c>
      <c r="P176" s="755">
        <v>0</v>
      </c>
      <c r="Q176" s="755">
        <v>0.01</v>
      </c>
      <c r="R176" s="755">
        <v>1</v>
      </c>
      <c r="S176" s="129">
        <v>-74460</v>
      </c>
      <c r="T176" s="129">
        <v>-220401</v>
      </c>
      <c r="U176" s="129">
        <v>0</v>
      </c>
      <c r="V176" s="129">
        <v>-2978</v>
      </c>
      <c r="W176" s="129">
        <v>-297839</v>
      </c>
      <c r="X176" s="755">
        <v>0.5</v>
      </c>
      <c r="Y176" s="755">
        <v>0.49</v>
      </c>
      <c r="Z176" s="755">
        <v>0</v>
      </c>
      <c r="AA176" s="755">
        <v>0.01</v>
      </c>
      <c r="AB176" s="755">
        <v>1</v>
      </c>
      <c r="AC176" s="129">
        <v>-40379276</v>
      </c>
      <c r="AD176" s="129">
        <v>-39571690</v>
      </c>
      <c r="AE176" s="129">
        <v>0</v>
      </c>
      <c r="AF176" s="129">
        <v>-807586</v>
      </c>
      <c r="AG176" s="129">
        <v>-80758552</v>
      </c>
      <c r="AH176" s="755">
        <v>0.5</v>
      </c>
      <c r="AI176" s="755">
        <v>0.49</v>
      </c>
      <c r="AJ176" s="755">
        <v>0</v>
      </c>
      <c r="AK176" s="755">
        <v>0.01</v>
      </c>
      <c r="AL176" s="755">
        <v>1</v>
      </c>
      <c r="AM176" s="129">
        <v>-366024</v>
      </c>
      <c r="AN176" s="129">
        <v>-358703</v>
      </c>
      <c r="AO176" s="129">
        <v>0</v>
      </c>
      <c r="AP176" s="129">
        <v>-7320</v>
      </c>
      <c r="AQ176" s="129">
        <v>-732047</v>
      </c>
      <c r="AR176" s="129">
        <v>-40819759</v>
      </c>
      <c r="AS176" s="129">
        <v>-40150794</v>
      </c>
      <c r="AT176" s="129">
        <v>0</v>
      </c>
      <c r="AU176" s="129">
        <v>-817884</v>
      </c>
      <c r="AV176" s="129">
        <v>-81788438</v>
      </c>
      <c r="AW176" s="662" t="s">
        <v>795</v>
      </c>
      <c r="AX176" s="324" t="s">
        <v>570</v>
      </c>
      <c r="AY176" s="663" t="s">
        <v>573</v>
      </c>
      <c r="AZ176" s="529" t="s">
        <v>1383</v>
      </c>
    </row>
    <row r="177" spans="1:52" ht="12.75" x14ac:dyDescent="0.2">
      <c r="A177" s="664">
        <v>170</v>
      </c>
      <c r="B177" s="665" t="s">
        <v>219</v>
      </c>
      <c r="C177" s="666" t="s">
        <v>1201</v>
      </c>
      <c r="D177" s="667" t="s">
        <v>1228</v>
      </c>
      <c r="E177" s="668" t="s">
        <v>218</v>
      </c>
      <c r="F177" s="129">
        <v>-14467218</v>
      </c>
      <c r="G177" s="129">
        <v>608039</v>
      </c>
      <c r="H177" s="129">
        <v>14569144</v>
      </c>
      <c r="I177" s="129">
        <v>1039303</v>
      </c>
      <c r="J177" s="129">
        <v>13529841</v>
      </c>
      <c r="K177" s="129">
        <v>-1545416</v>
      </c>
      <c r="L177" s="129">
        <v>1030277</v>
      </c>
      <c r="M177" s="129">
        <v>-13436940</v>
      </c>
      <c r="N177" s="755">
        <v>0.25</v>
      </c>
      <c r="O177" s="755">
        <v>0.4</v>
      </c>
      <c r="P177" s="755">
        <v>0.34</v>
      </c>
      <c r="Q177" s="755">
        <v>0.01</v>
      </c>
      <c r="R177" s="755">
        <v>1</v>
      </c>
      <c r="S177" s="129">
        <v>152010</v>
      </c>
      <c r="T177" s="129">
        <v>243216</v>
      </c>
      <c r="U177" s="129">
        <v>206733</v>
      </c>
      <c r="V177" s="129">
        <v>6080</v>
      </c>
      <c r="W177" s="129">
        <v>608039</v>
      </c>
      <c r="X177" s="755">
        <v>0.5</v>
      </c>
      <c r="Y177" s="755">
        <v>0.4</v>
      </c>
      <c r="Z177" s="755">
        <v>0.09</v>
      </c>
      <c r="AA177" s="755">
        <v>0.01</v>
      </c>
      <c r="AB177" s="755">
        <v>1</v>
      </c>
      <c r="AC177" s="129">
        <v>-6764921</v>
      </c>
      <c r="AD177" s="129">
        <v>-5411936</v>
      </c>
      <c r="AE177" s="129">
        <v>-1217686</v>
      </c>
      <c r="AF177" s="129">
        <v>-135298</v>
      </c>
      <c r="AG177" s="129">
        <v>-13529841</v>
      </c>
      <c r="AH177" s="755">
        <v>0.5</v>
      </c>
      <c r="AI177" s="755">
        <v>0.4</v>
      </c>
      <c r="AJ177" s="755">
        <v>0.09</v>
      </c>
      <c r="AK177" s="755">
        <v>0.01</v>
      </c>
      <c r="AL177" s="755">
        <v>1</v>
      </c>
      <c r="AM177" s="129">
        <v>-257569</v>
      </c>
      <c r="AN177" s="129">
        <v>-206055</v>
      </c>
      <c r="AO177" s="129">
        <v>-46362</v>
      </c>
      <c r="AP177" s="129">
        <v>-5151</v>
      </c>
      <c r="AQ177" s="129">
        <v>-515139</v>
      </c>
      <c r="AR177" s="129">
        <v>-6870480</v>
      </c>
      <c r="AS177" s="129">
        <v>-5374776</v>
      </c>
      <c r="AT177" s="129">
        <v>-1057315</v>
      </c>
      <c r="AU177" s="129">
        <v>-134369</v>
      </c>
      <c r="AV177" s="129">
        <v>-13436940</v>
      </c>
      <c r="AW177" s="662" t="s">
        <v>218</v>
      </c>
      <c r="AX177" s="324" t="s">
        <v>564</v>
      </c>
      <c r="AY177" s="663" t="s">
        <v>1917</v>
      </c>
      <c r="AZ177" s="529" t="s">
        <v>1384</v>
      </c>
    </row>
    <row r="178" spans="1:52" ht="12.75" x14ac:dyDescent="0.2">
      <c r="A178" s="664">
        <v>171</v>
      </c>
      <c r="B178" s="665" t="s">
        <v>221</v>
      </c>
      <c r="C178" s="666" t="s">
        <v>1213</v>
      </c>
      <c r="D178" s="667" t="s">
        <v>1214</v>
      </c>
      <c r="E178" s="668" t="s">
        <v>220</v>
      </c>
      <c r="F178" s="129">
        <v>-76114956</v>
      </c>
      <c r="G178" s="129">
        <v>166760</v>
      </c>
      <c r="H178" s="129">
        <v>100372505</v>
      </c>
      <c r="I178" s="129">
        <v>4802410</v>
      </c>
      <c r="J178" s="129">
        <v>95570095</v>
      </c>
      <c r="K178" s="129">
        <v>19288379</v>
      </c>
      <c r="L178" s="129">
        <v>0</v>
      </c>
      <c r="M178" s="129">
        <v>-76114956</v>
      </c>
      <c r="N178" s="755">
        <v>0.25</v>
      </c>
      <c r="O178" s="755">
        <v>0.48</v>
      </c>
      <c r="P178" s="755">
        <v>0.27</v>
      </c>
      <c r="Q178" s="755">
        <v>0</v>
      </c>
      <c r="R178" s="755">
        <v>1</v>
      </c>
      <c r="S178" s="129">
        <v>41690</v>
      </c>
      <c r="T178" s="129">
        <v>80045</v>
      </c>
      <c r="U178" s="129">
        <v>45025</v>
      </c>
      <c r="V178" s="129">
        <v>0</v>
      </c>
      <c r="W178" s="129">
        <v>166760</v>
      </c>
      <c r="X178" s="755">
        <v>0.33</v>
      </c>
      <c r="Y178" s="755">
        <v>0.3</v>
      </c>
      <c r="Z178" s="755">
        <v>0.37</v>
      </c>
      <c r="AA178" s="755">
        <v>0</v>
      </c>
      <c r="AB178" s="755">
        <v>1</v>
      </c>
      <c r="AC178" s="129">
        <v>-25172966</v>
      </c>
      <c r="AD178" s="129">
        <v>-22884515</v>
      </c>
      <c r="AE178" s="129">
        <v>-28224235</v>
      </c>
      <c r="AF178" s="129">
        <v>0</v>
      </c>
      <c r="AG178" s="129">
        <v>-76281716</v>
      </c>
      <c r="AH178" s="755">
        <v>0.33</v>
      </c>
      <c r="AI178" s="755">
        <v>0.3</v>
      </c>
      <c r="AJ178" s="755">
        <v>0.37</v>
      </c>
      <c r="AK178" s="755">
        <v>0</v>
      </c>
      <c r="AL178" s="755">
        <v>1</v>
      </c>
      <c r="AM178" s="129">
        <v>0</v>
      </c>
      <c r="AN178" s="129">
        <v>0</v>
      </c>
      <c r="AO178" s="129">
        <v>0</v>
      </c>
      <c r="AP178" s="129">
        <v>0</v>
      </c>
      <c r="AQ178" s="129">
        <v>0</v>
      </c>
      <c r="AR178" s="129">
        <v>-25131276</v>
      </c>
      <c r="AS178" s="129">
        <v>-22804470</v>
      </c>
      <c r="AT178" s="129">
        <v>-28179210</v>
      </c>
      <c r="AU178" s="129">
        <v>0</v>
      </c>
      <c r="AV178" s="129">
        <v>-76114956</v>
      </c>
      <c r="AW178" s="662" t="s">
        <v>220</v>
      </c>
      <c r="AX178" s="324" t="s">
        <v>576</v>
      </c>
      <c r="AY178" s="669" t="s">
        <v>485</v>
      </c>
      <c r="AZ178" s="529" t="s">
        <v>1385</v>
      </c>
    </row>
    <row r="179" spans="1:52" ht="12.75" x14ac:dyDescent="0.2">
      <c r="A179" s="664">
        <v>172</v>
      </c>
      <c r="B179" s="665" t="s">
        <v>223</v>
      </c>
      <c r="C179" s="666" t="s">
        <v>1201</v>
      </c>
      <c r="D179" s="667" t="s">
        <v>1224</v>
      </c>
      <c r="E179" s="668" t="s">
        <v>222</v>
      </c>
      <c r="F179" s="129">
        <v>-21156954</v>
      </c>
      <c r="G179" s="129">
        <v>-256808</v>
      </c>
      <c r="H179" s="129">
        <v>20594958</v>
      </c>
      <c r="I179" s="129">
        <v>850064</v>
      </c>
      <c r="J179" s="129">
        <v>19744894</v>
      </c>
      <c r="K179" s="129">
        <v>-1155252</v>
      </c>
      <c r="L179" s="129">
        <v>770168</v>
      </c>
      <c r="M179" s="129">
        <v>-20386786</v>
      </c>
      <c r="N179" s="755">
        <v>0.5</v>
      </c>
      <c r="O179" s="755">
        <v>0.4</v>
      </c>
      <c r="P179" s="755">
        <v>0.09</v>
      </c>
      <c r="Q179" s="755">
        <v>0.01</v>
      </c>
      <c r="R179" s="755">
        <v>1</v>
      </c>
      <c r="S179" s="129">
        <v>-128404</v>
      </c>
      <c r="T179" s="129">
        <v>-102723</v>
      </c>
      <c r="U179" s="129">
        <v>-23113</v>
      </c>
      <c r="V179" s="129">
        <v>-2568</v>
      </c>
      <c r="W179" s="129">
        <v>-256808</v>
      </c>
      <c r="X179" s="755">
        <v>0.5</v>
      </c>
      <c r="Y179" s="755">
        <v>0.4</v>
      </c>
      <c r="Z179" s="755">
        <v>0.09</v>
      </c>
      <c r="AA179" s="755">
        <v>0.01</v>
      </c>
      <c r="AB179" s="755">
        <v>1</v>
      </c>
      <c r="AC179" s="129">
        <v>-9872447</v>
      </c>
      <c r="AD179" s="129">
        <v>-7897958</v>
      </c>
      <c r="AE179" s="129">
        <v>-1777040</v>
      </c>
      <c r="AF179" s="129">
        <v>-197449</v>
      </c>
      <c r="AG179" s="129">
        <v>-19744894</v>
      </c>
      <c r="AH179" s="755">
        <v>0.5</v>
      </c>
      <c r="AI179" s="755">
        <v>0.4</v>
      </c>
      <c r="AJ179" s="755">
        <v>0.09</v>
      </c>
      <c r="AK179" s="755">
        <v>0.01</v>
      </c>
      <c r="AL179" s="755">
        <v>1</v>
      </c>
      <c r="AM179" s="129">
        <v>-192542</v>
      </c>
      <c r="AN179" s="129">
        <v>-154034</v>
      </c>
      <c r="AO179" s="129">
        <v>-34658</v>
      </c>
      <c r="AP179" s="129">
        <v>-3851</v>
      </c>
      <c r="AQ179" s="129">
        <v>-385084</v>
      </c>
      <c r="AR179" s="129">
        <v>-10193393</v>
      </c>
      <c r="AS179" s="129">
        <v>-8154714</v>
      </c>
      <c r="AT179" s="129">
        <v>-1834811</v>
      </c>
      <c r="AU179" s="129">
        <v>-203868</v>
      </c>
      <c r="AV179" s="129">
        <v>-20386786</v>
      </c>
      <c r="AW179" s="662" t="s">
        <v>222</v>
      </c>
      <c r="AX179" s="324" t="s">
        <v>521</v>
      </c>
      <c r="AY179" s="663" t="s">
        <v>519</v>
      </c>
      <c r="AZ179" s="529" t="s">
        <v>1386</v>
      </c>
    </row>
    <row r="180" spans="1:52" ht="12.75" x14ac:dyDescent="0.2">
      <c r="A180" s="664">
        <v>173</v>
      </c>
      <c r="B180" s="665" t="s">
        <v>225</v>
      </c>
      <c r="C180" s="666" t="s">
        <v>1201</v>
      </c>
      <c r="D180" s="667" t="s">
        <v>1206</v>
      </c>
      <c r="E180" s="668" t="s">
        <v>224</v>
      </c>
      <c r="F180" s="129">
        <v>-5658695</v>
      </c>
      <c r="G180" s="129">
        <v>140475</v>
      </c>
      <c r="H180" s="129">
        <v>5900878</v>
      </c>
      <c r="I180" s="129">
        <v>663553</v>
      </c>
      <c r="J180" s="129">
        <v>5237325</v>
      </c>
      <c r="K180" s="129">
        <v>-561845</v>
      </c>
      <c r="L180" s="129">
        <v>374563</v>
      </c>
      <c r="M180" s="129">
        <v>-5284132</v>
      </c>
      <c r="N180" s="755">
        <v>0.5</v>
      </c>
      <c r="O180" s="755">
        <v>0.4</v>
      </c>
      <c r="P180" s="755">
        <v>0.09</v>
      </c>
      <c r="Q180" s="755">
        <v>0.01</v>
      </c>
      <c r="R180" s="755">
        <v>1</v>
      </c>
      <c r="S180" s="129">
        <v>70238</v>
      </c>
      <c r="T180" s="129">
        <v>56190</v>
      </c>
      <c r="U180" s="129">
        <v>12643</v>
      </c>
      <c r="V180" s="129">
        <v>1405</v>
      </c>
      <c r="W180" s="129">
        <v>140475</v>
      </c>
      <c r="X180" s="755">
        <v>0.5</v>
      </c>
      <c r="Y180" s="755">
        <v>0.4</v>
      </c>
      <c r="Z180" s="755">
        <v>0.09</v>
      </c>
      <c r="AA180" s="755">
        <v>0.01</v>
      </c>
      <c r="AB180" s="755">
        <v>1</v>
      </c>
      <c r="AC180" s="129">
        <v>-2618663</v>
      </c>
      <c r="AD180" s="129">
        <v>-2094930</v>
      </c>
      <c r="AE180" s="129">
        <v>-471359</v>
      </c>
      <c r="AF180" s="129">
        <v>-52373</v>
      </c>
      <c r="AG180" s="129">
        <v>-5237325</v>
      </c>
      <c r="AH180" s="755">
        <v>0.5</v>
      </c>
      <c r="AI180" s="755">
        <v>0.4</v>
      </c>
      <c r="AJ180" s="755">
        <v>0.09</v>
      </c>
      <c r="AK180" s="755">
        <v>0.01</v>
      </c>
      <c r="AL180" s="755">
        <v>1</v>
      </c>
      <c r="AM180" s="129">
        <v>-93641</v>
      </c>
      <c r="AN180" s="129">
        <v>-74913</v>
      </c>
      <c r="AO180" s="129">
        <v>-16855</v>
      </c>
      <c r="AP180" s="129">
        <v>-1873</v>
      </c>
      <c r="AQ180" s="129">
        <v>-187282</v>
      </c>
      <c r="AR180" s="129">
        <v>-2642066</v>
      </c>
      <c r="AS180" s="129">
        <v>-2113653</v>
      </c>
      <c r="AT180" s="129">
        <v>-475572</v>
      </c>
      <c r="AU180" s="129">
        <v>-52841</v>
      </c>
      <c r="AV180" s="129">
        <v>-5284132</v>
      </c>
      <c r="AW180" s="662" t="s">
        <v>224</v>
      </c>
      <c r="AX180" s="324" t="s">
        <v>516</v>
      </c>
      <c r="AY180" s="663" t="s">
        <v>515</v>
      </c>
      <c r="AZ180" s="529" t="s">
        <v>1387</v>
      </c>
    </row>
    <row r="181" spans="1:52" ht="12.75" x14ac:dyDescent="0.2">
      <c r="A181" s="664">
        <v>174</v>
      </c>
      <c r="B181" s="665" t="s">
        <v>227</v>
      </c>
      <c r="C181" s="666" t="s">
        <v>486</v>
      </c>
      <c r="D181" s="667" t="s">
        <v>1218</v>
      </c>
      <c r="E181" s="668" t="s">
        <v>539</v>
      </c>
      <c r="F181" s="129">
        <v>-24372670</v>
      </c>
      <c r="G181" s="129">
        <v>213754</v>
      </c>
      <c r="H181" s="129">
        <v>23095799</v>
      </c>
      <c r="I181" s="129">
        <v>732037</v>
      </c>
      <c r="J181" s="129">
        <v>22363762</v>
      </c>
      <c r="K181" s="129">
        <v>-2222662</v>
      </c>
      <c r="L181" s="129">
        <v>1481775</v>
      </c>
      <c r="M181" s="129">
        <v>-22890895</v>
      </c>
      <c r="N181" s="755">
        <v>0.5</v>
      </c>
      <c r="O181" s="755">
        <v>0.49</v>
      </c>
      <c r="P181" s="755">
        <v>0</v>
      </c>
      <c r="Q181" s="755">
        <v>0.01</v>
      </c>
      <c r="R181" s="755">
        <v>1</v>
      </c>
      <c r="S181" s="129">
        <v>106877</v>
      </c>
      <c r="T181" s="129">
        <v>104739</v>
      </c>
      <c r="U181" s="129">
        <v>0</v>
      </c>
      <c r="V181" s="129">
        <v>2138</v>
      </c>
      <c r="W181" s="129">
        <v>213754</v>
      </c>
      <c r="X181" s="755">
        <v>0.5</v>
      </c>
      <c r="Y181" s="755">
        <v>0.49</v>
      </c>
      <c r="Z181" s="755">
        <v>0</v>
      </c>
      <c r="AA181" s="755">
        <v>0.01</v>
      </c>
      <c r="AB181" s="755">
        <v>1</v>
      </c>
      <c r="AC181" s="129">
        <v>-11181881</v>
      </c>
      <c r="AD181" s="129">
        <v>-10958243</v>
      </c>
      <c r="AE181" s="129">
        <v>0</v>
      </c>
      <c r="AF181" s="129">
        <v>-223638</v>
      </c>
      <c r="AG181" s="129">
        <v>-22363762</v>
      </c>
      <c r="AH181" s="755">
        <v>0.5</v>
      </c>
      <c r="AI181" s="755">
        <v>0.49</v>
      </c>
      <c r="AJ181" s="755">
        <v>0</v>
      </c>
      <c r="AK181" s="755">
        <v>0.01</v>
      </c>
      <c r="AL181" s="755">
        <v>1</v>
      </c>
      <c r="AM181" s="129">
        <v>-370444</v>
      </c>
      <c r="AN181" s="129">
        <v>-363035</v>
      </c>
      <c r="AO181" s="129">
        <v>0</v>
      </c>
      <c r="AP181" s="129">
        <v>-7409</v>
      </c>
      <c r="AQ181" s="129">
        <v>-740887</v>
      </c>
      <c r="AR181" s="129">
        <v>-11445448</v>
      </c>
      <c r="AS181" s="129">
        <v>-11216539</v>
      </c>
      <c r="AT181" s="129">
        <v>0</v>
      </c>
      <c r="AU181" s="129">
        <v>-228909</v>
      </c>
      <c r="AV181" s="129">
        <v>-22890895</v>
      </c>
      <c r="AW181" s="662" t="s">
        <v>539</v>
      </c>
      <c r="AX181" s="324" t="s">
        <v>486</v>
      </c>
      <c r="AY181" s="663" t="s">
        <v>538</v>
      </c>
      <c r="AZ181" s="529" t="s">
        <v>1388</v>
      </c>
    </row>
    <row r="182" spans="1:52" ht="12.75" x14ac:dyDescent="0.2">
      <c r="A182" s="664">
        <v>175</v>
      </c>
      <c r="B182" s="665" t="s">
        <v>229</v>
      </c>
      <c r="C182" s="666" t="s">
        <v>1201</v>
      </c>
      <c r="D182" s="667" t="s">
        <v>1211</v>
      </c>
      <c r="E182" s="668" t="s">
        <v>228</v>
      </c>
      <c r="F182" s="129">
        <v>-21621987</v>
      </c>
      <c r="G182" s="129">
        <v>1882587</v>
      </c>
      <c r="H182" s="129">
        <v>21646694</v>
      </c>
      <c r="I182" s="129">
        <v>1260000</v>
      </c>
      <c r="J182" s="129">
        <v>20386694</v>
      </c>
      <c r="K182" s="129">
        <v>-3117880</v>
      </c>
      <c r="L182" s="129">
        <v>2078587</v>
      </c>
      <c r="M182" s="129">
        <v>-19543400</v>
      </c>
      <c r="N182" s="755">
        <v>0.25</v>
      </c>
      <c r="O182" s="755">
        <v>0.35</v>
      </c>
      <c r="P182" s="755">
        <v>0.4</v>
      </c>
      <c r="Q182" s="755">
        <v>0</v>
      </c>
      <c r="R182" s="755">
        <v>1</v>
      </c>
      <c r="S182" s="129">
        <v>470647</v>
      </c>
      <c r="T182" s="129">
        <v>658905</v>
      </c>
      <c r="U182" s="129">
        <v>753035</v>
      </c>
      <c r="V182" s="129">
        <v>0</v>
      </c>
      <c r="W182" s="129">
        <v>1882587</v>
      </c>
      <c r="X182" s="755">
        <v>0.5</v>
      </c>
      <c r="Y182" s="755">
        <v>0.4</v>
      </c>
      <c r="Z182" s="755">
        <v>0.1</v>
      </c>
      <c r="AA182" s="755">
        <v>0</v>
      </c>
      <c r="AB182" s="755">
        <v>1</v>
      </c>
      <c r="AC182" s="129">
        <v>-10193347</v>
      </c>
      <c r="AD182" s="129">
        <v>-8154678</v>
      </c>
      <c r="AE182" s="129">
        <v>-2038669</v>
      </c>
      <c r="AF182" s="129">
        <v>0</v>
      </c>
      <c r="AG182" s="129">
        <v>-20386694</v>
      </c>
      <c r="AH182" s="755">
        <v>0.5</v>
      </c>
      <c r="AI182" s="755">
        <v>0.4</v>
      </c>
      <c r="AJ182" s="755">
        <v>0.1</v>
      </c>
      <c r="AK182" s="755">
        <v>0</v>
      </c>
      <c r="AL182" s="755">
        <v>1</v>
      </c>
      <c r="AM182" s="129">
        <v>-519647</v>
      </c>
      <c r="AN182" s="129">
        <v>-415717</v>
      </c>
      <c r="AO182" s="129">
        <v>-103929</v>
      </c>
      <c r="AP182" s="129">
        <v>0</v>
      </c>
      <c r="AQ182" s="129">
        <v>-1039293</v>
      </c>
      <c r="AR182" s="129">
        <v>-10242347</v>
      </c>
      <c r="AS182" s="129">
        <v>-7911489</v>
      </c>
      <c r="AT182" s="129">
        <v>-1389564</v>
      </c>
      <c r="AU182" s="129">
        <v>0</v>
      </c>
      <c r="AV182" s="129">
        <v>-19543400</v>
      </c>
      <c r="AW182" s="662" t="s">
        <v>228</v>
      </c>
      <c r="AX182" s="324" t="s">
        <v>536</v>
      </c>
      <c r="AY182" s="663" t="s">
        <v>512</v>
      </c>
      <c r="AZ182" s="529" t="s">
        <v>1389</v>
      </c>
    </row>
    <row r="183" spans="1:52" ht="12.75" x14ac:dyDescent="0.2">
      <c r="A183" s="664">
        <v>176</v>
      </c>
      <c r="B183" s="665" t="s">
        <v>231</v>
      </c>
      <c r="C183" s="666" t="s">
        <v>1201</v>
      </c>
      <c r="D183" s="667" t="s">
        <v>1206</v>
      </c>
      <c r="E183" s="668" t="s">
        <v>230</v>
      </c>
      <c r="F183" s="129">
        <v>-10279108</v>
      </c>
      <c r="G183" s="129">
        <v>-133335</v>
      </c>
      <c r="H183" s="129">
        <v>9494842</v>
      </c>
      <c r="I183" s="129">
        <v>333769</v>
      </c>
      <c r="J183" s="129">
        <v>9161073</v>
      </c>
      <c r="K183" s="129">
        <v>-984700</v>
      </c>
      <c r="L183" s="129">
        <v>656467</v>
      </c>
      <c r="M183" s="129">
        <v>-9622641</v>
      </c>
      <c r="N183" s="755">
        <v>0.5</v>
      </c>
      <c r="O183" s="755">
        <v>0.4</v>
      </c>
      <c r="P183" s="755">
        <v>0.1</v>
      </c>
      <c r="Q183" s="755">
        <v>0</v>
      </c>
      <c r="R183" s="755">
        <v>1</v>
      </c>
      <c r="S183" s="129">
        <v>-66668</v>
      </c>
      <c r="T183" s="129">
        <v>-53334</v>
      </c>
      <c r="U183" s="129">
        <v>-13334</v>
      </c>
      <c r="V183" s="129">
        <v>0</v>
      </c>
      <c r="W183" s="129">
        <v>-133335</v>
      </c>
      <c r="X183" s="755">
        <v>0.5</v>
      </c>
      <c r="Y183" s="755">
        <v>0.4</v>
      </c>
      <c r="Z183" s="755">
        <v>0.1</v>
      </c>
      <c r="AA183" s="755">
        <v>0</v>
      </c>
      <c r="AB183" s="755">
        <v>1</v>
      </c>
      <c r="AC183" s="129">
        <v>-4580537</v>
      </c>
      <c r="AD183" s="129">
        <v>-3664429</v>
      </c>
      <c r="AE183" s="129">
        <v>-916107</v>
      </c>
      <c r="AF183" s="129">
        <v>0</v>
      </c>
      <c r="AG183" s="129">
        <v>-9161073</v>
      </c>
      <c r="AH183" s="755">
        <v>0.5</v>
      </c>
      <c r="AI183" s="755">
        <v>0.4</v>
      </c>
      <c r="AJ183" s="755">
        <v>0.1</v>
      </c>
      <c r="AK183" s="755">
        <v>0</v>
      </c>
      <c r="AL183" s="755">
        <v>1</v>
      </c>
      <c r="AM183" s="129">
        <v>-164117</v>
      </c>
      <c r="AN183" s="129">
        <v>-131293</v>
      </c>
      <c r="AO183" s="129">
        <v>-32823</v>
      </c>
      <c r="AP183" s="129">
        <v>0</v>
      </c>
      <c r="AQ183" s="129">
        <v>-328233</v>
      </c>
      <c r="AR183" s="129">
        <v>-4811321</v>
      </c>
      <c r="AS183" s="129">
        <v>-3849057</v>
      </c>
      <c r="AT183" s="129">
        <v>-962264</v>
      </c>
      <c r="AU183" s="129">
        <v>0</v>
      </c>
      <c r="AV183" s="129">
        <v>-9622641</v>
      </c>
      <c r="AW183" s="662" t="s">
        <v>230</v>
      </c>
      <c r="AX183" s="324" t="s">
        <v>552</v>
      </c>
      <c r="AY183" s="663" t="s">
        <v>512</v>
      </c>
      <c r="AZ183" s="529" t="s">
        <v>1390</v>
      </c>
    </row>
    <row r="184" spans="1:52" ht="12.75" x14ac:dyDescent="0.2">
      <c r="A184" s="664">
        <v>177</v>
      </c>
      <c r="B184" s="665" t="s">
        <v>233</v>
      </c>
      <c r="C184" s="666" t="s">
        <v>486</v>
      </c>
      <c r="D184" s="667" t="s">
        <v>1218</v>
      </c>
      <c r="E184" s="668" t="s">
        <v>540</v>
      </c>
      <c r="F184" s="129">
        <v>-23654936</v>
      </c>
      <c r="G184" s="129">
        <v>559735</v>
      </c>
      <c r="H184" s="129">
        <v>19286358</v>
      </c>
      <c r="I184" s="129">
        <v>713344</v>
      </c>
      <c r="J184" s="129">
        <v>18573014</v>
      </c>
      <c r="K184" s="129">
        <v>-5641657</v>
      </c>
      <c r="L184" s="129">
        <v>3761105</v>
      </c>
      <c r="M184" s="129">
        <v>-19893831</v>
      </c>
      <c r="N184" s="755">
        <v>0.5</v>
      </c>
      <c r="O184" s="755">
        <v>0.49</v>
      </c>
      <c r="P184" s="755">
        <v>0</v>
      </c>
      <c r="Q184" s="755">
        <v>0.01</v>
      </c>
      <c r="R184" s="755">
        <v>1</v>
      </c>
      <c r="S184" s="129">
        <v>279867</v>
      </c>
      <c r="T184" s="129">
        <v>274270</v>
      </c>
      <c r="U184" s="129">
        <v>0</v>
      </c>
      <c r="V184" s="129">
        <v>5597</v>
      </c>
      <c r="W184" s="129">
        <v>559735</v>
      </c>
      <c r="X184" s="755">
        <v>0.5</v>
      </c>
      <c r="Y184" s="755">
        <v>0.49</v>
      </c>
      <c r="Z184" s="755">
        <v>0</v>
      </c>
      <c r="AA184" s="755">
        <v>0.01</v>
      </c>
      <c r="AB184" s="755">
        <v>1</v>
      </c>
      <c r="AC184" s="129">
        <v>-9286507</v>
      </c>
      <c r="AD184" s="129">
        <v>-9100777</v>
      </c>
      <c r="AE184" s="129">
        <v>0</v>
      </c>
      <c r="AF184" s="129">
        <v>-185730</v>
      </c>
      <c r="AG184" s="129">
        <v>-18573014</v>
      </c>
      <c r="AH184" s="755">
        <v>0.5</v>
      </c>
      <c r="AI184" s="755">
        <v>0.49</v>
      </c>
      <c r="AJ184" s="755">
        <v>0</v>
      </c>
      <c r="AK184" s="755">
        <v>0.01</v>
      </c>
      <c r="AL184" s="755">
        <v>1</v>
      </c>
      <c r="AM184" s="129">
        <v>-940276</v>
      </c>
      <c r="AN184" s="129">
        <v>-921471</v>
      </c>
      <c r="AO184" s="129">
        <v>0</v>
      </c>
      <c r="AP184" s="129">
        <v>-18806</v>
      </c>
      <c r="AQ184" s="129">
        <v>-1880552</v>
      </c>
      <c r="AR184" s="129">
        <v>-9946916</v>
      </c>
      <c r="AS184" s="129">
        <v>-9747977</v>
      </c>
      <c r="AT184" s="129">
        <v>0</v>
      </c>
      <c r="AU184" s="129">
        <v>-198938</v>
      </c>
      <c r="AV184" s="129">
        <v>-19893831</v>
      </c>
      <c r="AW184" s="662" t="s">
        <v>540</v>
      </c>
      <c r="AX184" s="324" t="s">
        <v>486</v>
      </c>
      <c r="AY184" s="663" t="s">
        <v>538</v>
      </c>
      <c r="AZ184" s="529" t="s">
        <v>1391</v>
      </c>
    </row>
    <row r="185" spans="1:52" ht="12.75" x14ac:dyDescent="0.2">
      <c r="A185" s="664">
        <v>178</v>
      </c>
      <c r="B185" s="665" t="s">
        <v>235</v>
      </c>
      <c r="C185" s="666" t="s">
        <v>1201</v>
      </c>
      <c r="D185" s="667" t="s">
        <v>1211</v>
      </c>
      <c r="E185" s="668" t="s">
        <v>234</v>
      </c>
      <c r="F185" s="129">
        <v>-12471386</v>
      </c>
      <c r="G185" s="129">
        <v>2137653</v>
      </c>
      <c r="H185" s="129">
        <v>16708347</v>
      </c>
      <c r="I185" s="129">
        <v>1247175</v>
      </c>
      <c r="J185" s="129">
        <v>15461172</v>
      </c>
      <c r="K185" s="129">
        <v>852133</v>
      </c>
      <c r="L185" s="129">
        <v>0</v>
      </c>
      <c r="M185" s="129">
        <v>-12471386</v>
      </c>
      <c r="N185" s="755">
        <v>0.25</v>
      </c>
      <c r="O185" s="755">
        <v>0.42499999999999999</v>
      </c>
      <c r="P185" s="755">
        <v>0.32500000000000001</v>
      </c>
      <c r="Q185" s="755">
        <v>0</v>
      </c>
      <c r="R185" s="755">
        <v>1</v>
      </c>
      <c r="S185" s="129">
        <v>534413</v>
      </c>
      <c r="T185" s="129">
        <v>908503</v>
      </c>
      <c r="U185" s="129">
        <v>694737</v>
      </c>
      <c r="V185" s="129">
        <v>0</v>
      </c>
      <c r="W185" s="129">
        <v>2137653</v>
      </c>
      <c r="X185" s="755">
        <v>0.5</v>
      </c>
      <c r="Y185" s="755">
        <v>0.4</v>
      </c>
      <c r="Z185" s="755">
        <v>0.1</v>
      </c>
      <c r="AA185" s="755">
        <v>0</v>
      </c>
      <c r="AB185" s="755">
        <v>1</v>
      </c>
      <c r="AC185" s="129">
        <v>-7304520</v>
      </c>
      <c r="AD185" s="129">
        <v>-5843616</v>
      </c>
      <c r="AE185" s="129">
        <v>-1460904</v>
      </c>
      <c r="AF185" s="129">
        <v>0</v>
      </c>
      <c r="AG185" s="129">
        <v>-14609039</v>
      </c>
      <c r="AH185" s="755">
        <v>0.5</v>
      </c>
      <c r="AI185" s="755">
        <v>0.4</v>
      </c>
      <c r="AJ185" s="755">
        <v>0.1</v>
      </c>
      <c r="AK185" s="755">
        <v>0</v>
      </c>
      <c r="AL185" s="755">
        <v>1</v>
      </c>
      <c r="AM185" s="129">
        <v>0</v>
      </c>
      <c r="AN185" s="129">
        <v>0</v>
      </c>
      <c r="AO185" s="129">
        <v>0</v>
      </c>
      <c r="AP185" s="129">
        <v>0</v>
      </c>
      <c r="AQ185" s="129">
        <v>0</v>
      </c>
      <c r="AR185" s="129">
        <v>-6770106</v>
      </c>
      <c r="AS185" s="129">
        <v>-4935113</v>
      </c>
      <c r="AT185" s="129">
        <v>-766167</v>
      </c>
      <c r="AU185" s="129">
        <v>0</v>
      </c>
      <c r="AV185" s="129">
        <v>-12471386</v>
      </c>
      <c r="AW185" s="662" t="s">
        <v>234</v>
      </c>
      <c r="AX185" s="324" t="s">
        <v>553</v>
      </c>
      <c r="AY185" s="663" t="s">
        <v>512</v>
      </c>
      <c r="AZ185" s="529" t="s">
        <v>1392</v>
      </c>
    </row>
    <row r="186" spans="1:52" ht="12.75" x14ac:dyDescent="0.2">
      <c r="A186" s="664">
        <v>179</v>
      </c>
      <c r="B186" s="665" t="s">
        <v>1125</v>
      </c>
      <c r="C186" s="666" t="s">
        <v>486</v>
      </c>
      <c r="D186" s="667" t="s">
        <v>1206</v>
      </c>
      <c r="E186" s="668" t="s">
        <v>1092</v>
      </c>
      <c r="F186" s="129">
        <v>-48918023</v>
      </c>
      <c r="G186" s="129">
        <v>-1630511</v>
      </c>
      <c r="H186" s="129">
        <v>45361000</v>
      </c>
      <c r="I186" s="129">
        <v>1595180</v>
      </c>
      <c r="J186" s="129">
        <v>43765820</v>
      </c>
      <c r="K186" s="129">
        <v>-3521692</v>
      </c>
      <c r="L186" s="129">
        <v>2347795</v>
      </c>
      <c r="M186" s="129">
        <v>-46570228</v>
      </c>
      <c r="N186" s="755">
        <v>0.25</v>
      </c>
      <c r="O186" s="755">
        <v>0.74</v>
      </c>
      <c r="P186" s="755">
        <v>0</v>
      </c>
      <c r="Q186" s="755">
        <v>0.01</v>
      </c>
      <c r="R186" s="755">
        <v>1</v>
      </c>
      <c r="S186" s="129">
        <v>-407628</v>
      </c>
      <c r="T186" s="129">
        <v>-1206578</v>
      </c>
      <c r="U186" s="129">
        <v>0</v>
      </c>
      <c r="V186" s="129">
        <v>-16305</v>
      </c>
      <c r="W186" s="129">
        <v>-1630511</v>
      </c>
      <c r="X186" s="755">
        <v>0.5</v>
      </c>
      <c r="Y186" s="755">
        <v>0.49</v>
      </c>
      <c r="Z186" s="755">
        <v>0</v>
      </c>
      <c r="AA186" s="755">
        <v>0.01</v>
      </c>
      <c r="AB186" s="755">
        <v>1</v>
      </c>
      <c r="AC186" s="129">
        <v>-21882910</v>
      </c>
      <c r="AD186" s="129">
        <v>-21445252</v>
      </c>
      <c r="AE186" s="129">
        <v>0</v>
      </c>
      <c r="AF186" s="129">
        <v>-437658</v>
      </c>
      <c r="AG186" s="129">
        <v>-43765820</v>
      </c>
      <c r="AH186" s="755">
        <v>0.5</v>
      </c>
      <c r="AI186" s="755">
        <v>0.49</v>
      </c>
      <c r="AJ186" s="755">
        <v>0</v>
      </c>
      <c r="AK186" s="755">
        <v>0.01</v>
      </c>
      <c r="AL186" s="755">
        <v>1</v>
      </c>
      <c r="AM186" s="129">
        <v>-586949</v>
      </c>
      <c r="AN186" s="129">
        <v>-575210</v>
      </c>
      <c r="AO186" s="129">
        <v>0</v>
      </c>
      <c r="AP186" s="129">
        <v>-11739</v>
      </c>
      <c r="AQ186" s="129">
        <v>-1173897</v>
      </c>
      <c r="AR186" s="129">
        <v>-22877486</v>
      </c>
      <c r="AS186" s="129">
        <v>-23227040</v>
      </c>
      <c r="AT186" s="129">
        <v>0</v>
      </c>
      <c r="AU186" s="129">
        <v>-465702</v>
      </c>
      <c r="AV186" s="129">
        <v>-46570228</v>
      </c>
      <c r="AW186" s="662" t="s">
        <v>1092</v>
      </c>
      <c r="AX186" s="324" t="s">
        <v>486</v>
      </c>
      <c r="AY186" s="663" t="s">
        <v>1026</v>
      </c>
      <c r="AZ186" s="529" t="s">
        <v>1540</v>
      </c>
    </row>
    <row r="187" spans="1:52" ht="12.75" x14ac:dyDescent="0.2">
      <c r="A187" s="664">
        <v>180</v>
      </c>
      <c r="B187" s="665" t="s">
        <v>237</v>
      </c>
      <c r="C187" s="666" t="s">
        <v>486</v>
      </c>
      <c r="D187" s="667" t="s">
        <v>1224</v>
      </c>
      <c r="E187" s="668" t="s">
        <v>490</v>
      </c>
      <c r="F187" s="129">
        <v>-28515421</v>
      </c>
      <c r="G187" s="129">
        <v>422364</v>
      </c>
      <c r="H187" s="129">
        <v>30018373</v>
      </c>
      <c r="I187" s="129">
        <v>1948922</v>
      </c>
      <c r="J187" s="129">
        <v>28069451</v>
      </c>
      <c r="K187" s="129">
        <v>-868334</v>
      </c>
      <c r="L187" s="129">
        <v>578889</v>
      </c>
      <c r="M187" s="129">
        <v>-27936532</v>
      </c>
      <c r="N187" s="755">
        <v>0.5</v>
      </c>
      <c r="O187" s="755">
        <v>0.49</v>
      </c>
      <c r="P187" s="755">
        <v>0</v>
      </c>
      <c r="Q187" s="755">
        <v>0.01</v>
      </c>
      <c r="R187" s="755">
        <v>1</v>
      </c>
      <c r="S187" s="129">
        <v>211182</v>
      </c>
      <c r="T187" s="129">
        <v>206958</v>
      </c>
      <c r="U187" s="129">
        <v>0</v>
      </c>
      <c r="V187" s="129">
        <v>4224</v>
      </c>
      <c r="W187" s="129">
        <v>422364</v>
      </c>
      <c r="X187" s="755">
        <v>0.5</v>
      </c>
      <c r="Y187" s="755">
        <v>0.49</v>
      </c>
      <c r="Z187" s="755">
        <v>0</v>
      </c>
      <c r="AA187" s="755">
        <v>0.01</v>
      </c>
      <c r="AB187" s="755">
        <v>1</v>
      </c>
      <c r="AC187" s="129">
        <v>-14034726</v>
      </c>
      <c r="AD187" s="129">
        <v>-13754031</v>
      </c>
      <c r="AE187" s="129">
        <v>0</v>
      </c>
      <c r="AF187" s="129">
        <v>-280695</v>
      </c>
      <c r="AG187" s="129">
        <v>-28069451</v>
      </c>
      <c r="AH187" s="755">
        <v>0.5</v>
      </c>
      <c r="AI187" s="755">
        <v>0.49</v>
      </c>
      <c r="AJ187" s="755">
        <v>0</v>
      </c>
      <c r="AK187" s="755">
        <v>0.01</v>
      </c>
      <c r="AL187" s="755">
        <v>1</v>
      </c>
      <c r="AM187" s="129">
        <v>-144722</v>
      </c>
      <c r="AN187" s="129">
        <v>-141828</v>
      </c>
      <c r="AO187" s="129">
        <v>0</v>
      </c>
      <c r="AP187" s="129">
        <v>-2894</v>
      </c>
      <c r="AQ187" s="129">
        <v>-289445</v>
      </c>
      <c r="AR187" s="129">
        <v>-13968266</v>
      </c>
      <c r="AS187" s="129">
        <v>-13688901</v>
      </c>
      <c r="AT187" s="129">
        <v>0</v>
      </c>
      <c r="AU187" s="129">
        <v>-279365</v>
      </c>
      <c r="AV187" s="129">
        <v>-27936532</v>
      </c>
      <c r="AW187" s="662" t="s">
        <v>490</v>
      </c>
      <c r="AX187" s="324" t="s">
        <v>486</v>
      </c>
      <c r="AY187" s="663" t="s">
        <v>487</v>
      </c>
      <c r="AZ187" s="529" t="s">
        <v>1393</v>
      </c>
    </row>
    <row r="188" spans="1:52" ht="12.75" x14ac:dyDescent="0.2">
      <c r="A188" s="664">
        <v>181</v>
      </c>
      <c r="B188" s="665" t="s">
        <v>239</v>
      </c>
      <c r="C188" s="666" t="s">
        <v>1217</v>
      </c>
      <c r="D188" s="667" t="s">
        <v>1283</v>
      </c>
      <c r="E188" s="668" t="s">
        <v>238</v>
      </c>
      <c r="F188" s="129">
        <v>-32243785</v>
      </c>
      <c r="G188" s="129">
        <v>-671441</v>
      </c>
      <c r="H188" s="129">
        <v>28185952</v>
      </c>
      <c r="I188" s="129">
        <v>918911</v>
      </c>
      <c r="J188" s="129">
        <v>27267041</v>
      </c>
      <c r="K188" s="129">
        <v>-4305303</v>
      </c>
      <c r="L188" s="129">
        <v>2870202</v>
      </c>
      <c r="M188" s="129">
        <v>-29373583</v>
      </c>
      <c r="N188" s="755">
        <v>0.25</v>
      </c>
      <c r="O188" s="755">
        <v>0.74</v>
      </c>
      <c r="P188" s="755">
        <v>0</v>
      </c>
      <c r="Q188" s="755">
        <v>0.01</v>
      </c>
      <c r="R188" s="755">
        <v>1</v>
      </c>
      <c r="S188" s="129">
        <v>-167860</v>
      </c>
      <c r="T188" s="129">
        <v>-496866</v>
      </c>
      <c r="U188" s="129">
        <v>0</v>
      </c>
      <c r="V188" s="129">
        <v>-6714</v>
      </c>
      <c r="W188" s="129">
        <v>-671441</v>
      </c>
      <c r="X188" s="755">
        <v>0.5</v>
      </c>
      <c r="Y188" s="755">
        <v>0.49</v>
      </c>
      <c r="Z188" s="755">
        <v>0</v>
      </c>
      <c r="AA188" s="755">
        <v>0.01</v>
      </c>
      <c r="AB188" s="755">
        <v>1</v>
      </c>
      <c r="AC188" s="129">
        <v>-13633521</v>
      </c>
      <c r="AD188" s="129">
        <v>-13360850</v>
      </c>
      <c r="AE188" s="129">
        <v>0</v>
      </c>
      <c r="AF188" s="129">
        <v>-272670</v>
      </c>
      <c r="AG188" s="129">
        <v>-27267041</v>
      </c>
      <c r="AH188" s="755">
        <v>0.5</v>
      </c>
      <c r="AI188" s="755">
        <v>0.49</v>
      </c>
      <c r="AJ188" s="755">
        <v>0</v>
      </c>
      <c r="AK188" s="755">
        <v>0.01</v>
      </c>
      <c r="AL188" s="755">
        <v>1</v>
      </c>
      <c r="AM188" s="129">
        <v>-717551</v>
      </c>
      <c r="AN188" s="129">
        <v>-703199</v>
      </c>
      <c r="AO188" s="129">
        <v>0</v>
      </c>
      <c r="AP188" s="129">
        <v>-14351</v>
      </c>
      <c r="AQ188" s="129">
        <v>-1435101</v>
      </c>
      <c r="AR188" s="129">
        <v>-14518931</v>
      </c>
      <c r="AS188" s="129">
        <v>-14560916</v>
      </c>
      <c r="AT188" s="129">
        <v>0</v>
      </c>
      <c r="AU188" s="129">
        <v>-293736</v>
      </c>
      <c r="AV188" s="129">
        <v>-29373583</v>
      </c>
      <c r="AW188" s="662" t="s">
        <v>238</v>
      </c>
      <c r="AX188" s="324" t="s">
        <v>570</v>
      </c>
      <c r="AY188" s="663" t="s">
        <v>573</v>
      </c>
      <c r="AZ188" s="529" t="s">
        <v>1394</v>
      </c>
    </row>
    <row r="189" spans="1:52" ht="12.75" x14ac:dyDescent="0.2">
      <c r="A189" s="664">
        <v>182</v>
      </c>
      <c r="B189" s="665" t="s">
        <v>241</v>
      </c>
      <c r="C189" s="666" t="s">
        <v>1201</v>
      </c>
      <c r="D189" s="667" t="s">
        <v>1228</v>
      </c>
      <c r="E189" s="668" t="s">
        <v>240</v>
      </c>
      <c r="F189" s="129">
        <v>-3604364</v>
      </c>
      <c r="G189" s="129">
        <v>6239441</v>
      </c>
      <c r="H189" s="129">
        <v>8538739</v>
      </c>
      <c r="I189" s="129">
        <v>361972</v>
      </c>
      <c r="J189" s="129">
        <v>8176767</v>
      </c>
      <c r="K189" s="129">
        <v>-1667038</v>
      </c>
      <c r="L189" s="129">
        <v>1111359</v>
      </c>
      <c r="M189" s="129">
        <v>-2493005</v>
      </c>
      <c r="N189" s="755">
        <v>0.5</v>
      </c>
      <c r="O189" s="755">
        <v>0.4</v>
      </c>
      <c r="P189" s="755">
        <v>0.1</v>
      </c>
      <c r="Q189" s="755">
        <v>0</v>
      </c>
      <c r="R189" s="755">
        <v>1</v>
      </c>
      <c r="S189" s="129">
        <v>3119721</v>
      </c>
      <c r="T189" s="129">
        <v>2495776</v>
      </c>
      <c r="U189" s="129">
        <v>623944</v>
      </c>
      <c r="V189" s="129">
        <v>0</v>
      </c>
      <c r="W189" s="129">
        <v>6239441</v>
      </c>
      <c r="X189" s="755">
        <v>0.5</v>
      </c>
      <c r="Y189" s="755">
        <v>0.4</v>
      </c>
      <c r="Z189" s="755">
        <v>0.1</v>
      </c>
      <c r="AA189" s="755">
        <v>0</v>
      </c>
      <c r="AB189" s="755">
        <v>1</v>
      </c>
      <c r="AC189" s="129">
        <v>-4088384</v>
      </c>
      <c r="AD189" s="129">
        <v>-3270707</v>
      </c>
      <c r="AE189" s="129">
        <v>-817677</v>
      </c>
      <c r="AF189" s="129">
        <v>0</v>
      </c>
      <c r="AG189" s="129">
        <v>-8176767</v>
      </c>
      <c r="AH189" s="755">
        <v>0.5</v>
      </c>
      <c r="AI189" s="755">
        <v>0.4</v>
      </c>
      <c r="AJ189" s="755">
        <v>0.1</v>
      </c>
      <c r="AK189" s="755">
        <v>0</v>
      </c>
      <c r="AL189" s="755">
        <v>1</v>
      </c>
      <c r="AM189" s="129">
        <v>-277840</v>
      </c>
      <c r="AN189" s="129">
        <v>-222272</v>
      </c>
      <c r="AO189" s="129">
        <v>-55568</v>
      </c>
      <c r="AP189" s="129">
        <v>0</v>
      </c>
      <c r="AQ189" s="129">
        <v>-555679</v>
      </c>
      <c r="AR189" s="129">
        <v>-1246503</v>
      </c>
      <c r="AS189" s="129">
        <v>-997202</v>
      </c>
      <c r="AT189" s="129">
        <v>-249301</v>
      </c>
      <c r="AU189" s="129">
        <v>0</v>
      </c>
      <c r="AV189" s="129">
        <v>-2493005</v>
      </c>
      <c r="AW189" s="662" t="s">
        <v>240</v>
      </c>
      <c r="AX189" s="324" t="s">
        <v>567</v>
      </c>
      <c r="AY189" s="663" t="s">
        <v>512</v>
      </c>
      <c r="AZ189" s="529" t="s">
        <v>1395</v>
      </c>
    </row>
    <row r="190" spans="1:52" ht="12.75" x14ac:dyDescent="0.2">
      <c r="A190" s="664">
        <v>183</v>
      </c>
      <c r="B190" s="665" t="s">
        <v>247</v>
      </c>
      <c r="C190" s="666" t="s">
        <v>1201</v>
      </c>
      <c r="D190" s="667" t="s">
        <v>1206</v>
      </c>
      <c r="E190" s="668" t="s">
        <v>246</v>
      </c>
      <c r="F190" s="129">
        <v>-13852710</v>
      </c>
      <c r="G190" s="129">
        <v>-424198</v>
      </c>
      <c r="H190" s="129">
        <v>12158764</v>
      </c>
      <c r="I190" s="129">
        <v>346617</v>
      </c>
      <c r="J190" s="129">
        <v>11812147</v>
      </c>
      <c r="K190" s="129">
        <v>-1616365</v>
      </c>
      <c r="L190" s="129">
        <v>1077577</v>
      </c>
      <c r="M190" s="129">
        <v>-12775133</v>
      </c>
      <c r="N190" s="755">
        <v>0.25</v>
      </c>
      <c r="O190" s="755">
        <v>0.375</v>
      </c>
      <c r="P190" s="755">
        <v>0.36499999999999999</v>
      </c>
      <c r="Q190" s="755">
        <v>0.01</v>
      </c>
      <c r="R190" s="755">
        <v>1</v>
      </c>
      <c r="S190" s="129">
        <v>-106050</v>
      </c>
      <c r="T190" s="129">
        <v>-159074</v>
      </c>
      <c r="U190" s="129">
        <v>-154832</v>
      </c>
      <c r="V190" s="129">
        <v>-4242</v>
      </c>
      <c r="W190" s="129">
        <v>-424198</v>
      </c>
      <c r="X190" s="755">
        <v>0.5</v>
      </c>
      <c r="Y190" s="755">
        <v>0.4</v>
      </c>
      <c r="Z190" s="755">
        <v>0.09</v>
      </c>
      <c r="AA190" s="755">
        <v>0.01</v>
      </c>
      <c r="AB190" s="755">
        <v>1</v>
      </c>
      <c r="AC190" s="129">
        <v>-5906074</v>
      </c>
      <c r="AD190" s="129">
        <v>-4724859</v>
      </c>
      <c r="AE190" s="129">
        <v>-1063093</v>
      </c>
      <c r="AF190" s="129">
        <v>-118121</v>
      </c>
      <c r="AG190" s="129">
        <v>-11812147</v>
      </c>
      <c r="AH190" s="755">
        <v>0.5</v>
      </c>
      <c r="AI190" s="755">
        <v>0.4</v>
      </c>
      <c r="AJ190" s="755">
        <v>0.09</v>
      </c>
      <c r="AK190" s="755">
        <v>0.01</v>
      </c>
      <c r="AL190" s="755">
        <v>1</v>
      </c>
      <c r="AM190" s="129">
        <v>-269394</v>
      </c>
      <c r="AN190" s="129">
        <v>-215515</v>
      </c>
      <c r="AO190" s="129">
        <v>-48491</v>
      </c>
      <c r="AP190" s="129">
        <v>-5388</v>
      </c>
      <c r="AQ190" s="129">
        <v>-538788</v>
      </c>
      <c r="AR190" s="129">
        <v>-6281517</v>
      </c>
      <c r="AS190" s="129">
        <v>-5099448</v>
      </c>
      <c r="AT190" s="129">
        <v>-1266416</v>
      </c>
      <c r="AU190" s="129">
        <v>-127751</v>
      </c>
      <c r="AV190" s="129">
        <v>-12775133</v>
      </c>
      <c r="AW190" s="662" t="s">
        <v>246</v>
      </c>
      <c r="AX190" s="324" t="s">
        <v>551</v>
      </c>
      <c r="AY190" s="663" t="s">
        <v>549</v>
      </c>
      <c r="AZ190" s="529" t="s">
        <v>1396</v>
      </c>
    </row>
    <row r="191" spans="1:52" ht="12.75" x14ac:dyDescent="0.2">
      <c r="A191" s="664">
        <v>184</v>
      </c>
      <c r="B191" s="665" t="s">
        <v>249</v>
      </c>
      <c r="C191" s="666" t="s">
        <v>486</v>
      </c>
      <c r="D191" s="667" t="s">
        <v>1283</v>
      </c>
      <c r="E191" s="668" t="s">
        <v>248</v>
      </c>
      <c r="F191" s="129">
        <v>-42505599</v>
      </c>
      <c r="G191" s="129">
        <v>-697645</v>
      </c>
      <c r="H191" s="129">
        <v>41781543</v>
      </c>
      <c r="I191" s="129">
        <v>2025465</v>
      </c>
      <c r="J191" s="129">
        <v>39756078</v>
      </c>
      <c r="K191" s="129">
        <v>-2051876</v>
      </c>
      <c r="L191" s="129">
        <v>1367917</v>
      </c>
      <c r="M191" s="129">
        <v>-41137682</v>
      </c>
      <c r="N191" s="755">
        <v>0.25</v>
      </c>
      <c r="O191" s="755">
        <v>0.75</v>
      </c>
      <c r="P191" s="755">
        <v>0</v>
      </c>
      <c r="Q191" s="755">
        <v>0</v>
      </c>
      <c r="R191" s="755">
        <v>1</v>
      </c>
      <c r="S191" s="129">
        <v>-174411</v>
      </c>
      <c r="T191" s="129">
        <v>-523234</v>
      </c>
      <c r="U191" s="129">
        <v>0</v>
      </c>
      <c r="V191" s="129">
        <v>0</v>
      </c>
      <c r="W191" s="129">
        <v>-697645</v>
      </c>
      <c r="X191" s="755">
        <v>0.5</v>
      </c>
      <c r="Y191" s="755">
        <v>0.5</v>
      </c>
      <c r="Z191" s="755">
        <v>0</v>
      </c>
      <c r="AA191" s="755">
        <v>0</v>
      </c>
      <c r="AB191" s="755">
        <v>1</v>
      </c>
      <c r="AC191" s="129">
        <v>-19878039</v>
      </c>
      <c r="AD191" s="129">
        <v>-19878039</v>
      </c>
      <c r="AE191" s="129">
        <v>0</v>
      </c>
      <c r="AF191" s="129">
        <v>0</v>
      </c>
      <c r="AG191" s="129">
        <v>-39756078</v>
      </c>
      <c r="AH191" s="755">
        <v>0.5</v>
      </c>
      <c r="AI191" s="755">
        <v>0.5</v>
      </c>
      <c r="AJ191" s="755">
        <v>0</v>
      </c>
      <c r="AK191" s="755">
        <v>0</v>
      </c>
      <c r="AL191" s="755">
        <v>1</v>
      </c>
      <c r="AM191" s="129">
        <v>-341979</v>
      </c>
      <c r="AN191" s="129">
        <v>-341979</v>
      </c>
      <c r="AO191" s="129">
        <v>0</v>
      </c>
      <c r="AP191" s="129">
        <v>0</v>
      </c>
      <c r="AQ191" s="129">
        <v>-683959</v>
      </c>
      <c r="AR191" s="129">
        <v>-20394430</v>
      </c>
      <c r="AS191" s="129">
        <v>-20743252</v>
      </c>
      <c r="AT191" s="129">
        <v>0</v>
      </c>
      <c r="AU191" s="129">
        <v>0</v>
      </c>
      <c r="AV191" s="129">
        <v>-41137682</v>
      </c>
      <c r="AW191" s="662" t="s">
        <v>248</v>
      </c>
      <c r="AX191" s="324" t="s">
        <v>486</v>
      </c>
      <c r="AY191" s="663" t="s">
        <v>512</v>
      </c>
      <c r="AZ191" s="529" t="s">
        <v>1397</v>
      </c>
    </row>
    <row r="192" spans="1:52" ht="12.75" x14ac:dyDescent="0.2">
      <c r="A192" s="664">
        <v>185</v>
      </c>
      <c r="B192" s="665" t="s">
        <v>251</v>
      </c>
      <c r="C192" s="666" t="s">
        <v>1201</v>
      </c>
      <c r="D192" s="667" t="s">
        <v>1211</v>
      </c>
      <c r="E192" s="668" t="s">
        <v>250</v>
      </c>
      <c r="F192" s="129">
        <v>-44695871</v>
      </c>
      <c r="G192" s="129">
        <v>381547</v>
      </c>
      <c r="H192" s="129">
        <v>44819460</v>
      </c>
      <c r="I192" s="129">
        <v>1900468</v>
      </c>
      <c r="J192" s="129">
        <v>42918992</v>
      </c>
      <c r="K192" s="129">
        <v>-2158426</v>
      </c>
      <c r="L192" s="129">
        <v>1438951</v>
      </c>
      <c r="M192" s="129">
        <v>-43256920</v>
      </c>
      <c r="N192" s="755">
        <v>0.25</v>
      </c>
      <c r="O192" s="755">
        <v>0.42499999999999999</v>
      </c>
      <c r="P192" s="755">
        <v>0.32500000000000001</v>
      </c>
      <c r="Q192" s="755">
        <v>0</v>
      </c>
      <c r="R192" s="755">
        <v>1</v>
      </c>
      <c r="S192" s="129">
        <v>95387</v>
      </c>
      <c r="T192" s="129">
        <v>162157</v>
      </c>
      <c r="U192" s="129">
        <v>124003</v>
      </c>
      <c r="V192" s="129">
        <v>0</v>
      </c>
      <c r="W192" s="129">
        <v>381547</v>
      </c>
      <c r="X192" s="755">
        <v>0.5</v>
      </c>
      <c r="Y192" s="755">
        <v>0.4</v>
      </c>
      <c r="Z192" s="755">
        <v>0.1</v>
      </c>
      <c r="AA192" s="755">
        <v>0</v>
      </c>
      <c r="AB192" s="755">
        <v>1</v>
      </c>
      <c r="AC192" s="129">
        <v>-21459496</v>
      </c>
      <c r="AD192" s="129">
        <v>-17167597</v>
      </c>
      <c r="AE192" s="129">
        <v>-4291899</v>
      </c>
      <c r="AF192" s="129">
        <v>0</v>
      </c>
      <c r="AG192" s="129">
        <v>-42918992</v>
      </c>
      <c r="AH192" s="755">
        <v>0.5</v>
      </c>
      <c r="AI192" s="755">
        <v>0.4</v>
      </c>
      <c r="AJ192" s="755">
        <v>0.1</v>
      </c>
      <c r="AK192" s="755">
        <v>0</v>
      </c>
      <c r="AL192" s="755">
        <v>1</v>
      </c>
      <c r="AM192" s="129">
        <v>-359738</v>
      </c>
      <c r="AN192" s="129">
        <v>-287790</v>
      </c>
      <c r="AO192" s="129">
        <v>-71948</v>
      </c>
      <c r="AP192" s="129">
        <v>0</v>
      </c>
      <c r="AQ192" s="129">
        <v>-719475</v>
      </c>
      <c r="AR192" s="129">
        <v>-21723847</v>
      </c>
      <c r="AS192" s="129">
        <v>-17293229</v>
      </c>
      <c r="AT192" s="129">
        <v>-4239844</v>
      </c>
      <c r="AU192" s="129">
        <v>0</v>
      </c>
      <c r="AV192" s="129">
        <v>-43256920</v>
      </c>
      <c r="AW192" s="662" t="s">
        <v>250</v>
      </c>
      <c r="AX192" s="324" t="s">
        <v>553</v>
      </c>
      <c r="AY192" s="663" t="s">
        <v>512</v>
      </c>
      <c r="AZ192" s="529" t="s">
        <v>1398</v>
      </c>
    </row>
    <row r="193" spans="1:52" ht="12.75" x14ac:dyDescent="0.2">
      <c r="A193" s="664">
        <v>186</v>
      </c>
      <c r="B193" s="665" t="s">
        <v>253</v>
      </c>
      <c r="C193" s="666" t="s">
        <v>486</v>
      </c>
      <c r="D193" s="667" t="s">
        <v>1206</v>
      </c>
      <c r="E193" s="668" t="s">
        <v>557</v>
      </c>
      <c r="F193" s="129">
        <v>-69746411</v>
      </c>
      <c r="G193" s="129">
        <v>-3696733</v>
      </c>
      <c r="H193" s="129">
        <v>65598708</v>
      </c>
      <c r="I193" s="129">
        <v>2506579</v>
      </c>
      <c r="J193" s="129">
        <v>63092129</v>
      </c>
      <c r="K193" s="129">
        <v>-2957549</v>
      </c>
      <c r="L193" s="129">
        <v>1971699</v>
      </c>
      <c r="M193" s="129">
        <v>-67774712</v>
      </c>
      <c r="N193" s="755">
        <v>0.5</v>
      </c>
      <c r="O193" s="755">
        <v>0.49</v>
      </c>
      <c r="P193" s="755">
        <v>0</v>
      </c>
      <c r="Q193" s="755">
        <v>0.01</v>
      </c>
      <c r="R193" s="755">
        <v>1</v>
      </c>
      <c r="S193" s="129">
        <v>-1848367</v>
      </c>
      <c r="T193" s="129">
        <v>-1811399</v>
      </c>
      <c r="U193" s="129">
        <v>0</v>
      </c>
      <c r="V193" s="129">
        <v>-36967</v>
      </c>
      <c r="W193" s="129">
        <v>-3696733</v>
      </c>
      <c r="X193" s="755">
        <v>0.5</v>
      </c>
      <c r="Y193" s="755">
        <v>0.49</v>
      </c>
      <c r="Z193" s="755">
        <v>0</v>
      </c>
      <c r="AA193" s="755">
        <v>0.01</v>
      </c>
      <c r="AB193" s="755">
        <v>1</v>
      </c>
      <c r="AC193" s="129">
        <v>-31546065</v>
      </c>
      <c r="AD193" s="129">
        <v>-30915143</v>
      </c>
      <c r="AE193" s="129">
        <v>0</v>
      </c>
      <c r="AF193" s="129">
        <v>-630921</v>
      </c>
      <c r="AG193" s="129">
        <v>-63092129</v>
      </c>
      <c r="AH193" s="755">
        <v>0.5</v>
      </c>
      <c r="AI193" s="755">
        <v>0.49</v>
      </c>
      <c r="AJ193" s="755">
        <v>0</v>
      </c>
      <c r="AK193" s="755">
        <v>0.01</v>
      </c>
      <c r="AL193" s="755">
        <v>1</v>
      </c>
      <c r="AM193" s="129">
        <v>-492925</v>
      </c>
      <c r="AN193" s="129">
        <v>-483066</v>
      </c>
      <c r="AO193" s="129">
        <v>0</v>
      </c>
      <c r="AP193" s="129">
        <v>-9858</v>
      </c>
      <c r="AQ193" s="129">
        <v>-985850</v>
      </c>
      <c r="AR193" s="129">
        <v>-33887356</v>
      </c>
      <c r="AS193" s="129">
        <v>-33209609</v>
      </c>
      <c r="AT193" s="129">
        <v>0</v>
      </c>
      <c r="AU193" s="129">
        <v>-677747</v>
      </c>
      <c r="AV193" s="129">
        <v>-67774712</v>
      </c>
      <c r="AW193" s="662" t="s">
        <v>557</v>
      </c>
      <c r="AX193" s="324" t="s">
        <v>486</v>
      </c>
      <c r="AY193" s="663" t="s">
        <v>558</v>
      </c>
      <c r="AZ193" s="529" t="s">
        <v>1399</v>
      </c>
    </row>
    <row r="194" spans="1:52" ht="12.75" x14ac:dyDescent="0.2">
      <c r="A194" s="664">
        <v>187</v>
      </c>
      <c r="B194" s="665" t="s">
        <v>255</v>
      </c>
      <c r="C194" s="666" t="s">
        <v>1201</v>
      </c>
      <c r="D194" s="667" t="s">
        <v>1228</v>
      </c>
      <c r="E194" s="668" t="s">
        <v>254</v>
      </c>
      <c r="F194" s="129">
        <v>-14299898</v>
      </c>
      <c r="G194" s="129">
        <v>253093</v>
      </c>
      <c r="H194" s="129">
        <v>12886202</v>
      </c>
      <c r="I194" s="129">
        <v>1181496</v>
      </c>
      <c r="J194" s="129">
        <v>11704706</v>
      </c>
      <c r="K194" s="129">
        <v>-2848285</v>
      </c>
      <c r="L194" s="129">
        <v>1898857</v>
      </c>
      <c r="M194" s="129">
        <v>-12401042</v>
      </c>
      <c r="N194" s="755">
        <v>0.5</v>
      </c>
      <c r="O194" s="755">
        <v>0.4</v>
      </c>
      <c r="P194" s="755">
        <v>0.1</v>
      </c>
      <c r="Q194" s="755">
        <v>0</v>
      </c>
      <c r="R194" s="755">
        <v>1</v>
      </c>
      <c r="S194" s="129">
        <v>126546</v>
      </c>
      <c r="T194" s="129">
        <v>101237</v>
      </c>
      <c r="U194" s="129">
        <v>25309</v>
      </c>
      <c r="V194" s="129">
        <v>0</v>
      </c>
      <c r="W194" s="129">
        <v>253093</v>
      </c>
      <c r="X194" s="755">
        <v>0.5</v>
      </c>
      <c r="Y194" s="755">
        <v>0.4</v>
      </c>
      <c r="Z194" s="755">
        <v>0.1</v>
      </c>
      <c r="AA194" s="755">
        <v>0</v>
      </c>
      <c r="AB194" s="755">
        <v>1</v>
      </c>
      <c r="AC194" s="129">
        <v>-5852353</v>
      </c>
      <c r="AD194" s="129">
        <v>-4681882</v>
      </c>
      <c r="AE194" s="129">
        <v>-1170471</v>
      </c>
      <c r="AF194" s="129">
        <v>0</v>
      </c>
      <c r="AG194" s="129">
        <v>-11704706</v>
      </c>
      <c r="AH194" s="755">
        <v>0.5</v>
      </c>
      <c r="AI194" s="755">
        <v>0.4</v>
      </c>
      <c r="AJ194" s="755">
        <v>0.1</v>
      </c>
      <c r="AK194" s="755">
        <v>0</v>
      </c>
      <c r="AL194" s="755">
        <v>1</v>
      </c>
      <c r="AM194" s="129">
        <v>-474714</v>
      </c>
      <c r="AN194" s="129">
        <v>-379771</v>
      </c>
      <c r="AO194" s="129">
        <v>-94943</v>
      </c>
      <c r="AP194" s="129">
        <v>0</v>
      </c>
      <c r="AQ194" s="129">
        <v>-949428</v>
      </c>
      <c r="AR194" s="129">
        <v>-6200521</v>
      </c>
      <c r="AS194" s="129">
        <v>-4960417</v>
      </c>
      <c r="AT194" s="129">
        <v>-1240104</v>
      </c>
      <c r="AU194" s="129">
        <v>0</v>
      </c>
      <c r="AV194" s="129">
        <v>-12401042</v>
      </c>
      <c r="AW194" s="662" t="s">
        <v>254</v>
      </c>
      <c r="AX194" s="324" t="s">
        <v>567</v>
      </c>
      <c r="AY194" s="663" t="s">
        <v>512</v>
      </c>
      <c r="AZ194" s="529" t="s">
        <v>1400</v>
      </c>
    </row>
    <row r="195" spans="1:52" ht="12.75" x14ac:dyDescent="0.2">
      <c r="A195" s="664">
        <v>188</v>
      </c>
      <c r="B195" s="665" t="s">
        <v>257</v>
      </c>
      <c r="C195" s="666" t="s">
        <v>1201</v>
      </c>
      <c r="D195" s="667" t="s">
        <v>1206</v>
      </c>
      <c r="E195" s="668" t="s">
        <v>256</v>
      </c>
      <c r="F195" s="129">
        <v>-5657688</v>
      </c>
      <c r="G195" s="129">
        <v>265134</v>
      </c>
      <c r="H195" s="129">
        <v>5954086</v>
      </c>
      <c r="I195" s="129">
        <v>372479</v>
      </c>
      <c r="J195" s="129">
        <v>5581607</v>
      </c>
      <c r="K195" s="129">
        <v>-341215</v>
      </c>
      <c r="L195" s="129">
        <v>227477</v>
      </c>
      <c r="M195" s="129">
        <v>-5430211</v>
      </c>
      <c r="N195" s="755">
        <v>0.25</v>
      </c>
      <c r="O195" s="755">
        <v>0.375</v>
      </c>
      <c r="P195" s="755">
        <v>0.36499999999999999</v>
      </c>
      <c r="Q195" s="755">
        <v>0.01</v>
      </c>
      <c r="R195" s="755">
        <v>1</v>
      </c>
      <c r="S195" s="129">
        <v>66284</v>
      </c>
      <c r="T195" s="129">
        <v>99425</v>
      </c>
      <c r="U195" s="129">
        <v>96774</v>
      </c>
      <c r="V195" s="129">
        <v>2651</v>
      </c>
      <c r="W195" s="129">
        <v>265134</v>
      </c>
      <c r="X195" s="755">
        <v>0.5</v>
      </c>
      <c r="Y195" s="755">
        <v>0.4</v>
      </c>
      <c r="Z195" s="755">
        <v>0.09</v>
      </c>
      <c r="AA195" s="755">
        <v>0.01</v>
      </c>
      <c r="AB195" s="755">
        <v>1</v>
      </c>
      <c r="AC195" s="129">
        <v>-2790804</v>
      </c>
      <c r="AD195" s="129">
        <v>-2232643</v>
      </c>
      <c r="AE195" s="129">
        <v>-502345</v>
      </c>
      <c r="AF195" s="129">
        <v>-55816</v>
      </c>
      <c r="AG195" s="129">
        <v>-5581607</v>
      </c>
      <c r="AH195" s="755">
        <v>0.5</v>
      </c>
      <c r="AI195" s="755">
        <v>0.4</v>
      </c>
      <c r="AJ195" s="755">
        <v>0.09</v>
      </c>
      <c r="AK195" s="755">
        <v>0.01</v>
      </c>
      <c r="AL195" s="755">
        <v>1</v>
      </c>
      <c r="AM195" s="129">
        <v>-56869</v>
      </c>
      <c r="AN195" s="129">
        <v>-45495</v>
      </c>
      <c r="AO195" s="129">
        <v>-10236</v>
      </c>
      <c r="AP195" s="129">
        <v>-1137</v>
      </c>
      <c r="AQ195" s="129">
        <v>-113738</v>
      </c>
      <c r="AR195" s="129">
        <v>-2781389</v>
      </c>
      <c r="AS195" s="129">
        <v>-2178713</v>
      </c>
      <c r="AT195" s="129">
        <v>-415807</v>
      </c>
      <c r="AU195" s="129">
        <v>-54302</v>
      </c>
      <c r="AV195" s="129">
        <v>-5430211</v>
      </c>
      <c r="AW195" s="662" t="s">
        <v>256</v>
      </c>
      <c r="AX195" s="324" t="s">
        <v>551</v>
      </c>
      <c r="AY195" s="663" t="s">
        <v>549</v>
      </c>
      <c r="AZ195" s="529" t="s">
        <v>1401</v>
      </c>
    </row>
    <row r="196" spans="1:52" ht="12.75" x14ac:dyDescent="0.2">
      <c r="A196" s="664">
        <v>189</v>
      </c>
      <c r="B196" s="665" t="s">
        <v>259</v>
      </c>
      <c r="C196" s="666" t="s">
        <v>1217</v>
      </c>
      <c r="D196" s="667" t="s">
        <v>1204</v>
      </c>
      <c r="E196" s="668" t="s">
        <v>258</v>
      </c>
      <c r="F196" s="129">
        <v>-25992207</v>
      </c>
      <c r="G196" s="129">
        <v>2051204</v>
      </c>
      <c r="H196" s="129">
        <v>25456465</v>
      </c>
      <c r="I196" s="129">
        <v>1245374</v>
      </c>
      <c r="J196" s="129">
        <v>24211091</v>
      </c>
      <c r="K196" s="129">
        <v>-3832320</v>
      </c>
      <c r="L196" s="129">
        <v>2554880</v>
      </c>
      <c r="M196" s="129">
        <v>-23437327</v>
      </c>
      <c r="N196" s="755">
        <v>0</v>
      </c>
      <c r="O196" s="755">
        <v>0.99</v>
      </c>
      <c r="P196" s="755">
        <v>0</v>
      </c>
      <c r="Q196" s="755">
        <v>0.01</v>
      </c>
      <c r="R196" s="755">
        <v>1</v>
      </c>
      <c r="S196" s="129">
        <v>0</v>
      </c>
      <c r="T196" s="129">
        <v>2030692</v>
      </c>
      <c r="U196" s="129">
        <v>0</v>
      </c>
      <c r="V196" s="129">
        <v>20512</v>
      </c>
      <c r="W196" s="129">
        <v>2051204</v>
      </c>
      <c r="X196" s="755">
        <v>0</v>
      </c>
      <c r="Y196" s="755">
        <v>0.99</v>
      </c>
      <c r="Z196" s="755">
        <v>0</v>
      </c>
      <c r="AA196" s="755">
        <v>0.01</v>
      </c>
      <c r="AB196" s="755">
        <v>1</v>
      </c>
      <c r="AC196" s="129">
        <v>0</v>
      </c>
      <c r="AD196" s="129">
        <v>-23968980</v>
      </c>
      <c r="AE196" s="129">
        <v>0</v>
      </c>
      <c r="AF196" s="129">
        <v>-242111</v>
      </c>
      <c r="AG196" s="129">
        <v>-24211091</v>
      </c>
      <c r="AH196" s="755">
        <v>0</v>
      </c>
      <c r="AI196" s="755">
        <v>0.99</v>
      </c>
      <c r="AJ196" s="755">
        <v>0</v>
      </c>
      <c r="AK196" s="755">
        <v>0.01</v>
      </c>
      <c r="AL196" s="755">
        <v>1</v>
      </c>
      <c r="AM196" s="129">
        <v>0</v>
      </c>
      <c r="AN196" s="129">
        <v>-1264666</v>
      </c>
      <c r="AO196" s="129">
        <v>0</v>
      </c>
      <c r="AP196" s="129">
        <v>-12774</v>
      </c>
      <c r="AQ196" s="129">
        <v>-1277440</v>
      </c>
      <c r="AR196" s="129">
        <v>0</v>
      </c>
      <c r="AS196" s="129">
        <v>-23202954</v>
      </c>
      <c r="AT196" s="129">
        <v>0</v>
      </c>
      <c r="AU196" s="129">
        <v>-234373</v>
      </c>
      <c r="AV196" s="129">
        <v>-23437327</v>
      </c>
      <c r="AW196" s="662" t="s">
        <v>258</v>
      </c>
      <c r="AX196" s="324" t="s">
        <v>570</v>
      </c>
      <c r="AY196" s="663" t="s">
        <v>1915</v>
      </c>
      <c r="AZ196" s="529" t="s">
        <v>1402</v>
      </c>
    </row>
    <row r="197" spans="1:52" ht="12.75" x14ac:dyDescent="0.2">
      <c r="A197" s="664">
        <v>190</v>
      </c>
      <c r="B197" s="665" t="s">
        <v>261</v>
      </c>
      <c r="C197" s="666" t="s">
        <v>1201</v>
      </c>
      <c r="D197" s="667" t="s">
        <v>1202</v>
      </c>
      <c r="E197" s="668" t="s">
        <v>260</v>
      </c>
      <c r="F197" s="129">
        <v>-61885687</v>
      </c>
      <c r="G197" s="129">
        <v>-633366</v>
      </c>
      <c r="H197" s="129">
        <v>58014791</v>
      </c>
      <c r="I197" s="129">
        <v>2602447</v>
      </c>
      <c r="J197" s="129">
        <v>55412344</v>
      </c>
      <c r="K197" s="129">
        <v>-5839977</v>
      </c>
      <c r="L197" s="129">
        <v>3893318</v>
      </c>
      <c r="M197" s="129">
        <v>-57992369</v>
      </c>
      <c r="N197" s="755">
        <v>0.5</v>
      </c>
      <c r="O197" s="755">
        <v>0.4</v>
      </c>
      <c r="P197" s="755">
        <v>0.1</v>
      </c>
      <c r="Q197" s="755">
        <v>0</v>
      </c>
      <c r="R197" s="755">
        <v>1</v>
      </c>
      <c r="S197" s="129">
        <v>-316683</v>
      </c>
      <c r="T197" s="129">
        <v>-253346</v>
      </c>
      <c r="U197" s="129">
        <v>-63337</v>
      </c>
      <c r="V197" s="129">
        <v>0</v>
      </c>
      <c r="W197" s="129">
        <v>-633366</v>
      </c>
      <c r="X197" s="755">
        <v>0.5</v>
      </c>
      <c r="Y197" s="755">
        <v>0.4</v>
      </c>
      <c r="Z197" s="755">
        <v>0.1</v>
      </c>
      <c r="AA197" s="755">
        <v>0</v>
      </c>
      <c r="AB197" s="755">
        <v>1</v>
      </c>
      <c r="AC197" s="129">
        <v>-27706172</v>
      </c>
      <c r="AD197" s="129">
        <v>-22164938</v>
      </c>
      <c r="AE197" s="129">
        <v>-5541234</v>
      </c>
      <c r="AF197" s="129">
        <v>0</v>
      </c>
      <c r="AG197" s="129">
        <v>-55412344</v>
      </c>
      <c r="AH197" s="755">
        <v>0.5</v>
      </c>
      <c r="AI197" s="755">
        <v>0.4</v>
      </c>
      <c r="AJ197" s="755">
        <v>0.1</v>
      </c>
      <c r="AK197" s="755">
        <v>0</v>
      </c>
      <c r="AL197" s="755">
        <v>1</v>
      </c>
      <c r="AM197" s="129">
        <v>-973330</v>
      </c>
      <c r="AN197" s="129">
        <v>-778664</v>
      </c>
      <c r="AO197" s="129">
        <v>-194666</v>
      </c>
      <c r="AP197" s="129">
        <v>0</v>
      </c>
      <c r="AQ197" s="129">
        <v>-1946659</v>
      </c>
      <c r="AR197" s="129">
        <v>-28996185</v>
      </c>
      <c r="AS197" s="129">
        <v>-23196948</v>
      </c>
      <c r="AT197" s="129">
        <v>-5799237</v>
      </c>
      <c r="AU197" s="129">
        <v>0</v>
      </c>
      <c r="AV197" s="129">
        <v>-57992369</v>
      </c>
      <c r="AW197" s="662" t="s">
        <v>260</v>
      </c>
      <c r="AX197" s="324" t="s">
        <v>560</v>
      </c>
      <c r="AY197" s="663" t="s">
        <v>512</v>
      </c>
      <c r="AZ197" s="529" t="s">
        <v>1403</v>
      </c>
    </row>
    <row r="198" spans="1:52" ht="12.75" x14ac:dyDescent="0.2">
      <c r="A198" s="664">
        <v>191</v>
      </c>
      <c r="B198" s="665" t="s">
        <v>263</v>
      </c>
      <c r="C198" s="666" t="s">
        <v>1201</v>
      </c>
      <c r="D198" s="667" t="s">
        <v>1204</v>
      </c>
      <c r="E198" s="668" t="s">
        <v>262</v>
      </c>
      <c r="F198" s="129">
        <v>-10872716</v>
      </c>
      <c r="G198" s="129">
        <v>681268</v>
      </c>
      <c r="H198" s="129">
        <v>8854623</v>
      </c>
      <c r="I198" s="129">
        <v>249269</v>
      </c>
      <c r="J198" s="129">
        <v>8605354</v>
      </c>
      <c r="K198" s="129">
        <v>-2948630</v>
      </c>
      <c r="L198" s="129">
        <v>1965753</v>
      </c>
      <c r="M198" s="129">
        <v>-8906963</v>
      </c>
      <c r="N198" s="755">
        <v>0.25</v>
      </c>
      <c r="O198" s="755">
        <v>0.56000000000000005</v>
      </c>
      <c r="P198" s="755">
        <v>0.17499999999999999</v>
      </c>
      <c r="Q198" s="755">
        <v>1.4999999999999999E-2</v>
      </c>
      <c r="R198" s="755">
        <v>1</v>
      </c>
      <c r="S198" s="129">
        <v>170317</v>
      </c>
      <c r="T198" s="129">
        <v>381510</v>
      </c>
      <c r="U198" s="129">
        <v>119222</v>
      </c>
      <c r="V198" s="129">
        <v>10219</v>
      </c>
      <c r="W198" s="129">
        <v>681268</v>
      </c>
      <c r="X198" s="755">
        <v>0.5</v>
      </c>
      <c r="Y198" s="755">
        <v>0.4</v>
      </c>
      <c r="Z198" s="755">
        <v>0.09</v>
      </c>
      <c r="AA198" s="755">
        <v>0.01</v>
      </c>
      <c r="AB198" s="755">
        <v>1</v>
      </c>
      <c r="AC198" s="129">
        <v>-4302677</v>
      </c>
      <c r="AD198" s="129">
        <v>-3442142</v>
      </c>
      <c r="AE198" s="129">
        <v>-774482</v>
      </c>
      <c r="AF198" s="129">
        <v>-86054</v>
      </c>
      <c r="AG198" s="129">
        <v>-8605354</v>
      </c>
      <c r="AH198" s="755">
        <v>0.5</v>
      </c>
      <c r="AI198" s="755">
        <v>0.4</v>
      </c>
      <c r="AJ198" s="755">
        <v>0.09</v>
      </c>
      <c r="AK198" s="755">
        <v>0.01</v>
      </c>
      <c r="AL198" s="755">
        <v>1</v>
      </c>
      <c r="AM198" s="129">
        <v>-491438</v>
      </c>
      <c r="AN198" s="129">
        <v>-393151</v>
      </c>
      <c r="AO198" s="129">
        <v>-88459</v>
      </c>
      <c r="AP198" s="129">
        <v>-9829</v>
      </c>
      <c r="AQ198" s="129">
        <v>-982877</v>
      </c>
      <c r="AR198" s="129">
        <v>-4623798</v>
      </c>
      <c r="AS198" s="129">
        <v>-3453782</v>
      </c>
      <c r="AT198" s="129">
        <v>-743719</v>
      </c>
      <c r="AU198" s="129">
        <v>-85663</v>
      </c>
      <c r="AV198" s="129">
        <v>-8906963</v>
      </c>
      <c r="AW198" s="662" t="s">
        <v>262</v>
      </c>
      <c r="AX198" s="324" t="s">
        <v>547</v>
      </c>
      <c r="AY198" s="663" t="s">
        <v>545</v>
      </c>
      <c r="AZ198" s="529" t="s">
        <v>1404</v>
      </c>
    </row>
    <row r="199" spans="1:52" ht="12.75" x14ac:dyDescent="0.2">
      <c r="A199" s="664">
        <v>192</v>
      </c>
      <c r="B199" s="665" t="s">
        <v>264</v>
      </c>
      <c r="C199" s="666" t="s">
        <v>486</v>
      </c>
      <c r="D199" s="667" t="s">
        <v>1211</v>
      </c>
      <c r="E199" s="668" t="s">
        <v>501</v>
      </c>
      <c r="F199" s="129">
        <v>-45868136</v>
      </c>
      <c r="G199" s="129">
        <v>-418681</v>
      </c>
      <c r="H199" s="129">
        <v>42341809</v>
      </c>
      <c r="I199" s="129">
        <v>1107189</v>
      </c>
      <c r="J199" s="129">
        <v>41234620</v>
      </c>
      <c r="K199" s="129">
        <v>-4214835</v>
      </c>
      <c r="L199" s="129">
        <v>2809890</v>
      </c>
      <c r="M199" s="129">
        <v>-43058246</v>
      </c>
      <c r="N199" s="755">
        <v>0.5</v>
      </c>
      <c r="O199" s="755">
        <v>0.49</v>
      </c>
      <c r="P199" s="755">
        <v>0</v>
      </c>
      <c r="Q199" s="755">
        <v>0.01</v>
      </c>
      <c r="R199" s="755">
        <v>1</v>
      </c>
      <c r="S199" s="129">
        <v>-209341</v>
      </c>
      <c r="T199" s="129">
        <v>-205154</v>
      </c>
      <c r="U199" s="129">
        <v>0</v>
      </c>
      <c r="V199" s="129">
        <v>-4187</v>
      </c>
      <c r="W199" s="129">
        <v>-418681</v>
      </c>
      <c r="X199" s="755">
        <v>0.5</v>
      </c>
      <c r="Y199" s="755">
        <v>0.49</v>
      </c>
      <c r="Z199" s="755">
        <v>0</v>
      </c>
      <c r="AA199" s="755">
        <v>0.01</v>
      </c>
      <c r="AB199" s="755">
        <v>1</v>
      </c>
      <c r="AC199" s="129">
        <v>-20617310</v>
      </c>
      <c r="AD199" s="129">
        <v>-20204964</v>
      </c>
      <c r="AE199" s="129">
        <v>0</v>
      </c>
      <c r="AF199" s="129">
        <v>-412346</v>
      </c>
      <c r="AG199" s="129">
        <v>-41234620</v>
      </c>
      <c r="AH199" s="755">
        <v>0.5</v>
      </c>
      <c r="AI199" s="755">
        <v>0.49</v>
      </c>
      <c r="AJ199" s="755">
        <v>0</v>
      </c>
      <c r="AK199" s="755">
        <v>0.01</v>
      </c>
      <c r="AL199" s="755">
        <v>1</v>
      </c>
      <c r="AM199" s="129">
        <v>-702473</v>
      </c>
      <c r="AN199" s="129">
        <v>-688423</v>
      </c>
      <c r="AO199" s="129">
        <v>0</v>
      </c>
      <c r="AP199" s="129">
        <v>-14049</v>
      </c>
      <c r="AQ199" s="129">
        <v>-1404945</v>
      </c>
      <c r="AR199" s="129">
        <v>-21529123</v>
      </c>
      <c r="AS199" s="129">
        <v>-21098541</v>
      </c>
      <c r="AT199" s="129">
        <v>0</v>
      </c>
      <c r="AU199" s="129">
        <v>-430582</v>
      </c>
      <c r="AV199" s="129">
        <v>-43058246</v>
      </c>
      <c r="AW199" s="662" t="s">
        <v>501</v>
      </c>
      <c r="AX199" s="324" t="s">
        <v>486</v>
      </c>
      <c r="AY199" s="663" t="s">
        <v>502</v>
      </c>
      <c r="AZ199" s="529" t="s">
        <v>1405</v>
      </c>
    </row>
    <row r="200" spans="1:52" ht="12.75" x14ac:dyDescent="0.2">
      <c r="A200" s="664">
        <v>193</v>
      </c>
      <c r="B200" s="665" t="s">
        <v>266</v>
      </c>
      <c r="C200" s="666" t="s">
        <v>486</v>
      </c>
      <c r="D200" s="667" t="s">
        <v>1224</v>
      </c>
      <c r="E200" s="668" t="s">
        <v>518</v>
      </c>
      <c r="F200" s="129">
        <v>-52453138</v>
      </c>
      <c r="G200" s="129">
        <v>-494306</v>
      </c>
      <c r="H200" s="129">
        <v>48051603</v>
      </c>
      <c r="I200" s="129">
        <v>1900823</v>
      </c>
      <c r="J200" s="129">
        <v>46150780</v>
      </c>
      <c r="K200" s="129">
        <v>-5808052</v>
      </c>
      <c r="L200" s="129">
        <v>3872035</v>
      </c>
      <c r="M200" s="129">
        <v>-48581103</v>
      </c>
      <c r="N200" s="755">
        <v>0.5</v>
      </c>
      <c r="O200" s="755">
        <v>0.49</v>
      </c>
      <c r="P200" s="755">
        <v>0</v>
      </c>
      <c r="Q200" s="755">
        <v>0.01</v>
      </c>
      <c r="R200" s="755">
        <v>1</v>
      </c>
      <c r="S200" s="129">
        <v>-247153</v>
      </c>
      <c r="T200" s="129">
        <v>-242210</v>
      </c>
      <c r="U200" s="129">
        <v>0</v>
      </c>
      <c r="V200" s="129">
        <v>-4943</v>
      </c>
      <c r="W200" s="129">
        <v>-494306</v>
      </c>
      <c r="X200" s="755">
        <v>0.5</v>
      </c>
      <c r="Y200" s="755">
        <v>0.49</v>
      </c>
      <c r="Z200" s="755">
        <v>0</v>
      </c>
      <c r="AA200" s="755">
        <v>0.01</v>
      </c>
      <c r="AB200" s="755">
        <v>1</v>
      </c>
      <c r="AC200" s="129">
        <v>-23075390</v>
      </c>
      <c r="AD200" s="129">
        <v>-22613882</v>
      </c>
      <c r="AE200" s="129">
        <v>0</v>
      </c>
      <c r="AF200" s="129">
        <v>-461508</v>
      </c>
      <c r="AG200" s="129">
        <v>-46150780</v>
      </c>
      <c r="AH200" s="755">
        <v>0.5</v>
      </c>
      <c r="AI200" s="755">
        <v>0.49</v>
      </c>
      <c r="AJ200" s="755">
        <v>0</v>
      </c>
      <c r="AK200" s="755">
        <v>0.01</v>
      </c>
      <c r="AL200" s="755">
        <v>1</v>
      </c>
      <c r="AM200" s="129">
        <v>-968009</v>
      </c>
      <c r="AN200" s="129">
        <v>-948648</v>
      </c>
      <c r="AO200" s="129">
        <v>0</v>
      </c>
      <c r="AP200" s="129">
        <v>-19360</v>
      </c>
      <c r="AQ200" s="129">
        <v>-1936017</v>
      </c>
      <c r="AR200" s="129">
        <v>-24290552</v>
      </c>
      <c r="AS200" s="129">
        <v>-23804741</v>
      </c>
      <c r="AT200" s="129">
        <v>0</v>
      </c>
      <c r="AU200" s="129">
        <v>-485811</v>
      </c>
      <c r="AV200" s="129">
        <v>-48581103</v>
      </c>
      <c r="AW200" s="662" t="s">
        <v>518</v>
      </c>
      <c r="AX200" s="324" t="s">
        <v>486</v>
      </c>
      <c r="AY200" s="663" t="s">
        <v>519</v>
      </c>
      <c r="AZ200" s="529" t="s">
        <v>1406</v>
      </c>
    </row>
    <row r="201" spans="1:52" ht="12.75" x14ac:dyDescent="0.2">
      <c r="A201" s="664">
        <v>194</v>
      </c>
      <c r="B201" s="665" t="s">
        <v>267</v>
      </c>
      <c r="C201" s="666" t="s">
        <v>486</v>
      </c>
      <c r="D201" s="667" t="s">
        <v>1202</v>
      </c>
      <c r="E201" s="668" t="s">
        <v>530</v>
      </c>
      <c r="F201" s="129">
        <v>-51918733</v>
      </c>
      <c r="G201" s="129">
        <v>635980</v>
      </c>
      <c r="H201" s="129">
        <v>46032947</v>
      </c>
      <c r="I201" s="129">
        <v>1829300</v>
      </c>
      <c r="J201" s="129">
        <v>44203647</v>
      </c>
      <c r="K201" s="129">
        <v>-8351066</v>
      </c>
      <c r="L201" s="129">
        <v>5567377</v>
      </c>
      <c r="M201" s="129">
        <v>-46351356</v>
      </c>
      <c r="N201" s="755">
        <v>0.25</v>
      </c>
      <c r="O201" s="755">
        <v>0.74</v>
      </c>
      <c r="P201" s="755">
        <v>0</v>
      </c>
      <c r="Q201" s="755">
        <v>0.01</v>
      </c>
      <c r="R201" s="755">
        <v>1</v>
      </c>
      <c r="S201" s="129">
        <v>158995</v>
      </c>
      <c r="T201" s="129">
        <v>470625</v>
      </c>
      <c r="U201" s="129">
        <v>0</v>
      </c>
      <c r="V201" s="129">
        <v>6360</v>
      </c>
      <c r="W201" s="129">
        <v>635980</v>
      </c>
      <c r="X201" s="755">
        <v>0.5</v>
      </c>
      <c r="Y201" s="755">
        <v>0.49</v>
      </c>
      <c r="Z201" s="755">
        <v>0</v>
      </c>
      <c r="AA201" s="755">
        <v>0.01</v>
      </c>
      <c r="AB201" s="755">
        <v>1</v>
      </c>
      <c r="AC201" s="129">
        <v>-22101824</v>
      </c>
      <c r="AD201" s="129">
        <v>-21659787</v>
      </c>
      <c r="AE201" s="129">
        <v>0</v>
      </c>
      <c r="AF201" s="129">
        <v>-442036</v>
      </c>
      <c r="AG201" s="129">
        <v>-44203647</v>
      </c>
      <c r="AH201" s="755">
        <v>0.5</v>
      </c>
      <c r="AI201" s="755">
        <v>0.49</v>
      </c>
      <c r="AJ201" s="755">
        <v>0</v>
      </c>
      <c r="AK201" s="755">
        <v>0.01</v>
      </c>
      <c r="AL201" s="755">
        <v>1</v>
      </c>
      <c r="AM201" s="129">
        <v>-1391844</v>
      </c>
      <c r="AN201" s="129">
        <v>-1364007</v>
      </c>
      <c r="AO201" s="129">
        <v>0</v>
      </c>
      <c r="AP201" s="129">
        <v>-27837</v>
      </c>
      <c r="AQ201" s="129">
        <v>-2783689</v>
      </c>
      <c r="AR201" s="129">
        <v>-23334673</v>
      </c>
      <c r="AS201" s="129">
        <v>-22553169</v>
      </c>
      <c r="AT201" s="129">
        <v>0</v>
      </c>
      <c r="AU201" s="129">
        <v>-463514</v>
      </c>
      <c r="AV201" s="129">
        <v>-46351356</v>
      </c>
      <c r="AW201" s="662" t="s">
        <v>530</v>
      </c>
      <c r="AX201" s="324" t="s">
        <v>486</v>
      </c>
      <c r="AY201" s="663" t="s">
        <v>1914</v>
      </c>
      <c r="AZ201" s="529" t="s">
        <v>1407</v>
      </c>
    </row>
    <row r="202" spans="1:52" ht="12.75" x14ac:dyDescent="0.2">
      <c r="A202" s="664">
        <v>195</v>
      </c>
      <c r="B202" s="665" t="s">
        <v>269</v>
      </c>
      <c r="C202" s="666" t="s">
        <v>1201</v>
      </c>
      <c r="D202" s="667" t="s">
        <v>1204</v>
      </c>
      <c r="E202" s="668" t="s">
        <v>268</v>
      </c>
      <c r="F202" s="129">
        <v>-33931315</v>
      </c>
      <c r="G202" s="129">
        <v>1254596</v>
      </c>
      <c r="H202" s="129">
        <v>32568492</v>
      </c>
      <c r="I202" s="129">
        <v>2177615</v>
      </c>
      <c r="J202" s="129">
        <v>30390877</v>
      </c>
      <c r="K202" s="129">
        <v>-4795034</v>
      </c>
      <c r="L202" s="129">
        <v>3196689</v>
      </c>
      <c r="M202" s="129">
        <v>-30734625</v>
      </c>
      <c r="N202" s="755">
        <v>0.25</v>
      </c>
      <c r="O202" s="755">
        <v>0.56000000000000005</v>
      </c>
      <c r="P202" s="755">
        <v>0.17499999999999999</v>
      </c>
      <c r="Q202" s="755">
        <v>1.4999999999999999E-2</v>
      </c>
      <c r="R202" s="755">
        <v>1</v>
      </c>
      <c r="S202" s="129">
        <v>313649</v>
      </c>
      <c r="T202" s="129">
        <v>702574</v>
      </c>
      <c r="U202" s="129">
        <v>219554</v>
      </c>
      <c r="V202" s="129">
        <v>18819</v>
      </c>
      <c r="W202" s="129">
        <v>1254596</v>
      </c>
      <c r="X202" s="755">
        <v>0.5</v>
      </c>
      <c r="Y202" s="755">
        <v>0.4</v>
      </c>
      <c r="Z202" s="755">
        <v>0.09</v>
      </c>
      <c r="AA202" s="755">
        <v>0.01</v>
      </c>
      <c r="AB202" s="755">
        <v>1</v>
      </c>
      <c r="AC202" s="129">
        <v>-15195439</v>
      </c>
      <c r="AD202" s="129">
        <v>-12156351</v>
      </c>
      <c r="AE202" s="129">
        <v>-2735179</v>
      </c>
      <c r="AF202" s="129">
        <v>-303909</v>
      </c>
      <c r="AG202" s="129">
        <v>-30390877</v>
      </c>
      <c r="AH202" s="755">
        <v>0.5</v>
      </c>
      <c r="AI202" s="755">
        <v>0.4</v>
      </c>
      <c r="AJ202" s="755">
        <v>0.09</v>
      </c>
      <c r="AK202" s="755">
        <v>0.01</v>
      </c>
      <c r="AL202" s="755">
        <v>1</v>
      </c>
      <c r="AM202" s="129">
        <v>-799172</v>
      </c>
      <c r="AN202" s="129">
        <v>-639338</v>
      </c>
      <c r="AO202" s="129">
        <v>-143851</v>
      </c>
      <c r="AP202" s="129">
        <v>-15983</v>
      </c>
      <c r="AQ202" s="129">
        <v>-1598345</v>
      </c>
      <c r="AR202" s="129">
        <v>-15680962</v>
      </c>
      <c r="AS202" s="129">
        <v>-12093115</v>
      </c>
      <c r="AT202" s="129">
        <v>-2659476</v>
      </c>
      <c r="AU202" s="129">
        <v>-301073</v>
      </c>
      <c r="AV202" s="129">
        <v>-30734625</v>
      </c>
      <c r="AW202" s="662" t="s">
        <v>268</v>
      </c>
      <c r="AX202" s="324" t="s">
        <v>547</v>
      </c>
      <c r="AY202" s="663" t="s">
        <v>545</v>
      </c>
      <c r="AZ202" s="529" t="s">
        <v>1408</v>
      </c>
    </row>
    <row r="203" spans="1:52" ht="12.75" x14ac:dyDescent="0.2">
      <c r="A203" s="664">
        <v>196</v>
      </c>
      <c r="B203" s="665" t="s">
        <v>270</v>
      </c>
      <c r="C203" s="666" t="s">
        <v>486</v>
      </c>
      <c r="D203" s="667" t="s">
        <v>1202</v>
      </c>
      <c r="E203" s="668" t="s">
        <v>496</v>
      </c>
      <c r="F203" s="129">
        <v>-59960007</v>
      </c>
      <c r="G203" s="129">
        <v>3882991</v>
      </c>
      <c r="H203" s="129">
        <v>57681278</v>
      </c>
      <c r="I203" s="129">
        <v>1540051</v>
      </c>
      <c r="J203" s="129">
        <v>56141227</v>
      </c>
      <c r="K203" s="129">
        <v>-7701771</v>
      </c>
      <c r="L203" s="129">
        <v>5134514</v>
      </c>
      <c r="M203" s="129">
        <v>-54825493</v>
      </c>
      <c r="N203" s="755">
        <v>0.25</v>
      </c>
      <c r="O203" s="755">
        <v>0.74</v>
      </c>
      <c r="P203" s="755">
        <v>0</v>
      </c>
      <c r="Q203" s="755">
        <v>0.01</v>
      </c>
      <c r="R203" s="755">
        <v>1</v>
      </c>
      <c r="S203" s="129">
        <v>970748</v>
      </c>
      <c r="T203" s="129">
        <v>2873414</v>
      </c>
      <c r="U203" s="129">
        <v>0</v>
      </c>
      <c r="V203" s="129">
        <v>38830</v>
      </c>
      <c r="W203" s="129">
        <v>3882991</v>
      </c>
      <c r="X203" s="755">
        <v>0.5</v>
      </c>
      <c r="Y203" s="755">
        <v>0.49</v>
      </c>
      <c r="Z203" s="755">
        <v>0</v>
      </c>
      <c r="AA203" s="755">
        <v>0.01</v>
      </c>
      <c r="AB203" s="755">
        <v>1</v>
      </c>
      <c r="AC203" s="129">
        <v>-28070614</v>
      </c>
      <c r="AD203" s="129">
        <v>-27509201</v>
      </c>
      <c r="AE203" s="129">
        <v>0</v>
      </c>
      <c r="AF203" s="129">
        <v>-561412</v>
      </c>
      <c r="AG203" s="129">
        <v>-56141227</v>
      </c>
      <c r="AH203" s="755">
        <v>0.5</v>
      </c>
      <c r="AI203" s="755">
        <v>0.49</v>
      </c>
      <c r="AJ203" s="755">
        <v>0</v>
      </c>
      <c r="AK203" s="755">
        <v>0.01</v>
      </c>
      <c r="AL203" s="755">
        <v>1</v>
      </c>
      <c r="AM203" s="129">
        <v>-1283629</v>
      </c>
      <c r="AN203" s="129">
        <v>-1257956</v>
      </c>
      <c r="AO203" s="129">
        <v>0</v>
      </c>
      <c r="AP203" s="129">
        <v>-25673</v>
      </c>
      <c r="AQ203" s="129">
        <v>-2567257</v>
      </c>
      <c r="AR203" s="129">
        <v>-28383494</v>
      </c>
      <c r="AS203" s="129">
        <v>-25893743</v>
      </c>
      <c r="AT203" s="129">
        <v>0</v>
      </c>
      <c r="AU203" s="129">
        <v>-548255</v>
      </c>
      <c r="AV203" s="129">
        <v>-54825493</v>
      </c>
      <c r="AW203" s="662" t="s">
        <v>496</v>
      </c>
      <c r="AX203" s="324" t="s">
        <v>486</v>
      </c>
      <c r="AY203" s="663" t="s">
        <v>494</v>
      </c>
      <c r="AZ203" s="529" t="s">
        <v>1409</v>
      </c>
    </row>
    <row r="204" spans="1:52" ht="12.75" x14ac:dyDescent="0.2">
      <c r="A204" s="664">
        <v>197</v>
      </c>
      <c r="B204" s="665" t="s">
        <v>272</v>
      </c>
      <c r="C204" s="666" t="s">
        <v>1213</v>
      </c>
      <c r="D204" s="667" t="s">
        <v>1214</v>
      </c>
      <c r="E204" s="668" t="s">
        <v>271</v>
      </c>
      <c r="F204" s="129">
        <v>-31800643</v>
      </c>
      <c r="G204" s="129">
        <v>1524263</v>
      </c>
      <c r="H204" s="129">
        <v>35036654</v>
      </c>
      <c r="I204" s="129">
        <v>2886323</v>
      </c>
      <c r="J204" s="129">
        <v>32150331</v>
      </c>
      <c r="K204" s="129">
        <v>-1174575</v>
      </c>
      <c r="L204" s="129">
        <v>783050</v>
      </c>
      <c r="M204" s="129">
        <v>-31017593</v>
      </c>
      <c r="N204" s="755">
        <v>0.25</v>
      </c>
      <c r="O204" s="755">
        <v>0.48</v>
      </c>
      <c r="P204" s="755">
        <v>0.27</v>
      </c>
      <c r="Q204" s="755">
        <v>0</v>
      </c>
      <c r="R204" s="755">
        <v>1</v>
      </c>
      <c r="S204" s="129">
        <v>381066</v>
      </c>
      <c r="T204" s="129">
        <v>731646</v>
      </c>
      <c r="U204" s="129">
        <v>411551</v>
      </c>
      <c r="V204" s="129">
        <v>0</v>
      </c>
      <c r="W204" s="129">
        <v>1524263</v>
      </c>
      <c r="X204" s="755">
        <v>0.33</v>
      </c>
      <c r="Y204" s="755">
        <v>0.3</v>
      </c>
      <c r="Z204" s="755">
        <v>0.37</v>
      </c>
      <c r="AA204" s="755">
        <v>0</v>
      </c>
      <c r="AB204" s="755">
        <v>1</v>
      </c>
      <c r="AC204" s="129">
        <v>-10609609</v>
      </c>
      <c r="AD204" s="129">
        <v>-9645099</v>
      </c>
      <c r="AE204" s="129">
        <v>-11895622</v>
      </c>
      <c r="AF204" s="129">
        <v>0</v>
      </c>
      <c r="AG204" s="129">
        <v>-32150331</v>
      </c>
      <c r="AH204" s="755">
        <v>0.33</v>
      </c>
      <c r="AI204" s="755">
        <v>0.3</v>
      </c>
      <c r="AJ204" s="755">
        <v>0.37</v>
      </c>
      <c r="AK204" s="755">
        <v>0</v>
      </c>
      <c r="AL204" s="755">
        <v>1</v>
      </c>
      <c r="AM204" s="129">
        <v>-129203</v>
      </c>
      <c r="AN204" s="129">
        <v>-117458</v>
      </c>
      <c r="AO204" s="129">
        <v>-144864</v>
      </c>
      <c r="AP204" s="129">
        <v>0</v>
      </c>
      <c r="AQ204" s="129">
        <v>-391525</v>
      </c>
      <c r="AR204" s="129">
        <v>-10357747</v>
      </c>
      <c r="AS204" s="129">
        <v>-9030911</v>
      </c>
      <c r="AT204" s="129">
        <v>-11628936</v>
      </c>
      <c r="AU204" s="129">
        <v>0</v>
      </c>
      <c r="AV204" s="129">
        <v>-31017593</v>
      </c>
      <c r="AW204" s="662" t="s">
        <v>271</v>
      </c>
      <c r="AX204" s="324" t="s">
        <v>576</v>
      </c>
      <c r="AY204" s="669" t="s">
        <v>485</v>
      </c>
      <c r="AZ204" s="529" t="s">
        <v>1410</v>
      </c>
    </row>
    <row r="205" spans="1:52" ht="12.75" x14ac:dyDescent="0.2">
      <c r="A205" s="664">
        <v>198</v>
      </c>
      <c r="B205" s="665" t="s">
        <v>274</v>
      </c>
      <c r="C205" s="666" t="s">
        <v>486</v>
      </c>
      <c r="D205" s="667" t="s">
        <v>1283</v>
      </c>
      <c r="E205" s="668" t="s">
        <v>818</v>
      </c>
      <c r="F205" s="129">
        <v>-15867930</v>
      </c>
      <c r="G205" s="129">
        <v>-758505</v>
      </c>
      <c r="H205" s="129">
        <v>13353152</v>
      </c>
      <c r="I205" s="129">
        <v>506141</v>
      </c>
      <c r="J205" s="129">
        <v>12847011</v>
      </c>
      <c r="K205" s="129">
        <v>-2262414</v>
      </c>
      <c r="L205" s="129">
        <v>1508276</v>
      </c>
      <c r="M205" s="129">
        <v>-14359654</v>
      </c>
      <c r="N205" s="755">
        <v>0.5</v>
      </c>
      <c r="O205" s="755">
        <v>0.49</v>
      </c>
      <c r="P205" s="755">
        <v>0</v>
      </c>
      <c r="Q205" s="755">
        <v>0.01</v>
      </c>
      <c r="R205" s="755">
        <v>1</v>
      </c>
      <c r="S205" s="129">
        <v>-379253</v>
      </c>
      <c r="T205" s="129">
        <v>-371667</v>
      </c>
      <c r="U205" s="129">
        <v>0</v>
      </c>
      <c r="V205" s="129">
        <v>-7585</v>
      </c>
      <c r="W205" s="129">
        <v>-758505</v>
      </c>
      <c r="X205" s="755">
        <v>0.5</v>
      </c>
      <c r="Y205" s="755">
        <v>0.49</v>
      </c>
      <c r="Z205" s="755">
        <v>0</v>
      </c>
      <c r="AA205" s="755">
        <v>0.01</v>
      </c>
      <c r="AB205" s="755">
        <v>1</v>
      </c>
      <c r="AC205" s="129">
        <v>-6423506</v>
      </c>
      <c r="AD205" s="129">
        <v>-6295035</v>
      </c>
      <c r="AE205" s="129">
        <v>0</v>
      </c>
      <c r="AF205" s="129">
        <v>-128470</v>
      </c>
      <c r="AG205" s="129">
        <v>-12847011</v>
      </c>
      <c r="AH205" s="755">
        <v>0.5</v>
      </c>
      <c r="AI205" s="755">
        <v>0.49</v>
      </c>
      <c r="AJ205" s="755">
        <v>0</v>
      </c>
      <c r="AK205" s="755">
        <v>0.01</v>
      </c>
      <c r="AL205" s="755">
        <v>1</v>
      </c>
      <c r="AM205" s="129">
        <v>-377069</v>
      </c>
      <c r="AN205" s="129">
        <v>-369528</v>
      </c>
      <c r="AO205" s="129">
        <v>0</v>
      </c>
      <c r="AP205" s="129">
        <v>-7541</v>
      </c>
      <c r="AQ205" s="129">
        <v>-754138</v>
      </c>
      <c r="AR205" s="129">
        <v>-7179827</v>
      </c>
      <c r="AS205" s="129">
        <v>-7036230</v>
      </c>
      <c r="AT205" s="129">
        <v>0</v>
      </c>
      <c r="AU205" s="129">
        <v>-143597</v>
      </c>
      <c r="AV205" s="129">
        <v>-14359654</v>
      </c>
      <c r="AW205" s="662" t="s">
        <v>818</v>
      </c>
      <c r="AX205" s="324" t="s">
        <v>486</v>
      </c>
      <c r="AY205" s="663" t="s">
        <v>509</v>
      </c>
      <c r="AZ205" s="529" t="s">
        <v>1411</v>
      </c>
    </row>
    <row r="206" spans="1:52" ht="12.75" x14ac:dyDescent="0.2">
      <c r="A206" s="664">
        <v>199</v>
      </c>
      <c r="B206" s="665" t="s">
        <v>276</v>
      </c>
      <c r="C206" s="666" t="s">
        <v>1201</v>
      </c>
      <c r="D206" s="667" t="s">
        <v>1228</v>
      </c>
      <c r="E206" s="668" t="s">
        <v>275</v>
      </c>
      <c r="F206" s="129">
        <v>-15737696</v>
      </c>
      <c r="G206" s="129">
        <v>2512524</v>
      </c>
      <c r="H206" s="129">
        <v>14529942</v>
      </c>
      <c r="I206" s="129">
        <v>694343</v>
      </c>
      <c r="J206" s="129">
        <v>13835599</v>
      </c>
      <c r="K206" s="129">
        <v>-4414621</v>
      </c>
      <c r="L206" s="129">
        <v>2943081</v>
      </c>
      <c r="M206" s="129">
        <v>-12794616</v>
      </c>
      <c r="N206" s="755">
        <v>0.25</v>
      </c>
      <c r="O206" s="755">
        <v>0</v>
      </c>
      <c r="P206" s="755">
        <v>0.74</v>
      </c>
      <c r="Q206" s="755">
        <v>0.01</v>
      </c>
      <c r="R206" s="755">
        <v>1</v>
      </c>
      <c r="S206" s="129">
        <v>628131</v>
      </c>
      <c r="T206" s="129">
        <v>0</v>
      </c>
      <c r="U206" s="129">
        <v>1859267</v>
      </c>
      <c r="V206" s="129">
        <v>25125</v>
      </c>
      <c r="W206" s="129">
        <v>2512524</v>
      </c>
      <c r="X206" s="755">
        <v>0.5</v>
      </c>
      <c r="Y206" s="755">
        <v>0.4</v>
      </c>
      <c r="Z206" s="755">
        <v>0.09</v>
      </c>
      <c r="AA206" s="755">
        <v>0.01</v>
      </c>
      <c r="AB206" s="755">
        <v>1</v>
      </c>
      <c r="AC206" s="129">
        <v>-6917799</v>
      </c>
      <c r="AD206" s="129">
        <v>-5534240</v>
      </c>
      <c r="AE206" s="129">
        <v>-1245204</v>
      </c>
      <c r="AF206" s="129">
        <v>-138356</v>
      </c>
      <c r="AG206" s="129">
        <v>-13835599</v>
      </c>
      <c r="AH206" s="755">
        <v>0.5</v>
      </c>
      <c r="AI206" s="755">
        <v>0.4</v>
      </c>
      <c r="AJ206" s="755">
        <v>0.09</v>
      </c>
      <c r="AK206" s="755">
        <v>0.01</v>
      </c>
      <c r="AL206" s="755">
        <v>1</v>
      </c>
      <c r="AM206" s="129">
        <v>-735770</v>
      </c>
      <c r="AN206" s="129">
        <v>-588616</v>
      </c>
      <c r="AO206" s="129">
        <v>-132439</v>
      </c>
      <c r="AP206" s="129">
        <v>-14715</v>
      </c>
      <c r="AQ206" s="129">
        <v>-1471540</v>
      </c>
      <c r="AR206" s="129">
        <v>-7025439</v>
      </c>
      <c r="AS206" s="129">
        <v>-6122856</v>
      </c>
      <c r="AT206" s="129">
        <v>481625</v>
      </c>
      <c r="AU206" s="129">
        <v>-127946</v>
      </c>
      <c r="AV206" s="129">
        <v>-12794616</v>
      </c>
      <c r="AW206" s="662" t="s">
        <v>275</v>
      </c>
      <c r="AX206" s="324" t="s">
        <v>535</v>
      </c>
      <c r="AY206" s="663" t="s">
        <v>534</v>
      </c>
      <c r="AZ206" s="529" t="s">
        <v>1412</v>
      </c>
    </row>
    <row r="207" spans="1:52" ht="12.75" x14ac:dyDescent="0.2">
      <c r="A207" s="664">
        <v>200</v>
      </c>
      <c r="B207" s="665" t="s">
        <v>278</v>
      </c>
      <c r="C207" s="666" t="s">
        <v>1201</v>
      </c>
      <c r="D207" s="667" t="s">
        <v>1202</v>
      </c>
      <c r="E207" s="668" t="s">
        <v>277</v>
      </c>
      <c r="F207" s="129">
        <v>-24584654</v>
      </c>
      <c r="G207" s="129">
        <v>-1132766</v>
      </c>
      <c r="H207" s="129">
        <v>19986359</v>
      </c>
      <c r="I207" s="129">
        <v>878240</v>
      </c>
      <c r="J207" s="129">
        <v>19108119</v>
      </c>
      <c r="K207" s="129">
        <v>-4343769</v>
      </c>
      <c r="L207" s="129">
        <v>2895846</v>
      </c>
      <c r="M207" s="129">
        <v>-21688808</v>
      </c>
      <c r="N207" s="755">
        <v>0.5</v>
      </c>
      <c r="O207" s="755">
        <v>0.4</v>
      </c>
      <c r="P207" s="755">
        <v>0.1</v>
      </c>
      <c r="Q207" s="755">
        <v>0</v>
      </c>
      <c r="R207" s="755">
        <v>1</v>
      </c>
      <c r="S207" s="129">
        <v>-566383</v>
      </c>
      <c r="T207" s="129">
        <v>-453106</v>
      </c>
      <c r="U207" s="129">
        <v>-113277</v>
      </c>
      <c r="V207" s="129">
        <v>0</v>
      </c>
      <c r="W207" s="129">
        <v>-1132766</v>
      </c>
      <c r="X207" s="755">
        <v>0.5</v>
      </c>
      <c r="Y207" s="755">
        <v>0.4</v>
      </c>
      <c r="Z207" s="755">
        <v>0.1</v>
      </c>
      <c r="AA207" s="755">
        <v>0</v>
      </c>
      <c r="AB207" s="755">
        <v>1</v>
      </c>
      <c r="AC207" s="129">
        <v>-9554060</v>
      </c>
      <c r="AD207" s="129">
        <v>-7643248</v>
      </c>
      <c r="AE207" s="129">
        <v>-1910812</v>
      </c>
      <c r="AF207" s="129">
        <v>0</v>
      </c>
      <c r="AG207" s="129">
        <v>-19108119</v>
      </c>
      <c r="AH207" s="755">
        <v>0.5</v>
      </c>
      <c r="AI207" s="755">
        <v>0.4</v>
      </c>
      <c r="AJ207" s="755">
        <v>0.1</v>
      </c>
      <c r="AK207" s="755">
        <v>0</v>
      </c>
      <c r="AL207" s="755">
        <v>1</v>
      </c>
      <c r="AM207" s="129">
        <v>-723962</v>
      </c>
      <c r="AN207" s="129">
        <v>-579169</v>
      </c>
      <c r="AO207" s="129">
        <v>-144792</v>
      </c>
      <c r="AP207" s="129">
        <v>0</v>
      </c>
      <c r="AQ207" s="129">
        <v>-1447923</v>
      </c>
      <c r="AR207" s="129">
        <v>-10844404</v>
      </c>
      <c r="AS207" s="129">
        <v>-8675523</v>
      </c>
      <c r="AT207" s="129">
        <v>-2168881</v>
      </c>
      <c r="AU207" s="129">
        <v>0</v>
      </c>
      <c r="AV207" s="129">
        <v>-21688808</v>
      </c>
      <c r="AW207" s="662" t="s">
        <v>277</v>
      </c>
      <c r="AX207" s="324" t="s">
        <v>566</v>
      </c>
      <c r="AY207" s="663" t="s">
        <v>512</v>
      </c>
      <c r="AZ207" s="529" t="s">
        <v>1413</v>
      </c>
    </row>
    <row r="208" spans="1:52" ht="12.75" x14ac:dyDescent="0.2">
      <c r="A208" s="664">
        <v>201</v>
      </c>
      <c r="B208" s="665" t="s">
        <v>280</v>
      </c>
      <c r="C208" s="666" t="s">
        <v>1201</v>
      </c>
      <c r="D208" s="667" t="s">
        <v>1204</v>
      </c>
      <c r="E208" s="668" t="s">
        <v>279</v>
      </c>
      <c r="F208" s="129">
        <v>-7117517</v>
      </c>
      <c r="G208" s="129">
        <v>-135936</v>
      </c>
      <c r="H208" s="129">
        <v>6919082</v>
      </c>
      <c r="I208" s="129">
        <v>473700</v>
      </c>
      <c r="J208" s="129">
        <v>6445382</v>
      </c>
      <c r="K208" s="129">
        <v>-536199</v>
      </c>
      <c r="L208" s="129">
        <v>357466</v>
      </c>
      <c r="M208" s="129">
        <v>-6760051</v>
      </c>
      <c r="N208" s="755">
        <v>0.25</v>
      </c>
      <c r="O208" s="755">
        <v>0.56000000000000005</v>
      </c>
      <c r="P208" s="755">
        <v>0.17499999999999999</v>
      </c>
      <c r="Q208" s="755">
        <v>1.4999999999999999E-2</v>
      </c>
      <c r="R208" s="755">
        <v>1</v>
      </c>
      <c r="S208" s="129">
        <v>-33984</v>
      </c>
      <c r="T208" s="129">
        <v>-76124</v>
      </c>
      <c r="U208" s="129">
        <v>-23789</v>
      </c>
      <c r="V208" s="129">
        <v>-2039</v>
      </c>
      <c r="W208" s="129">
        <v>-135936</v>
      </c>
      <c r="X208" s="755">
        <v>0.5</v>
      </c>
      <c r="Y208" s="755">
        <v>0.4</v>
      </c>
      <c r="Z208" s="755">
        <v>0.09</v>
      </c>
      <c r="AA208" s="755">
        <v>0.01</v>
      </c>
      <c r="AB208" s="755">
        <v>1</v>
      </c>
      <c r="AC208" s="129">
        <v>-3222691</v>
      </c>
      <c r="AD208" s="129">
        <v>-2578153</v>
      </c>
      <c r="AE208" s="129">
        <v>-580084</v>
      </c>
      <c r="AF208" s="129">
        <v>-64454</v>
      </c>
      <c r="AG208" s="129">
        <v>-6445382</v>
      </c>
      <c r="AH208" s="755">
        <v>0.5</v>
      </c>
      <c r="AI208" s="755">
        <v>0.4</v>
      </c>
      <c r="AJ208" s="755">
        <v>0.09</v>
      </c>
      <c r="AK208" s="755">
        <v>0.01</v>
      </c>
      <c r="AL208" s="755">
        <v>1</v>
      </c>
      <c r="AM208" s="129">
        <v>-89367</v>
      </c>
      <c r="AN208" s="129">
        <v>-71493</v>
      </c>
      <c r="AO208" s="129">
        <v>-16086</v>
      </c>
      <c r="AP208" s="129">
        <v>-1787</v>
      </c>
      <c r="AQ208" s="129">
        <v>-178733</v>
      </c>
      <c r="AR208" s="129">
        <v>-3346042</v>
      </c>
      <c r="AS208" s="129">
        <v>-2725770</v>
      </c>
      <c r="AT208" s="129">
        <v>-619959</v>
      </c>
      <c r="AU208" s="129">
        <v>-68280</v>
      </c>
      <c r="AV208" s="129">
        <v>-6760051</v>
      </c>
      <c r="AW208" s="662" t="s">
        <v>279</v>
      </c>
      <c r="AX208" s="324" t="s">
        <v>547</v>
      </c>
      <c r="AY208" s="663" t="s">
        <v>545</v>
      </c>
      <c r="AZ208" s="529" t="s">
        <v>1414</v>
      </c>
    </row>
    <row r="209" spans="1:52" ht="12.75" x14ac:dyDescent="0.2">
      <c r="A209" s="664">
        <v>202</v>
      </c>
      <c r="B209" s="665" t="s">
        <v>282</v>
      </c>
      <c r="C209" s="666" t="s">
        <v>1213</v>
      </c>
      <c r="D209" s="667" t="s">
        <v>1214</v>
      </c>
      <c r="E209" s="668" t="s">
        <v>281</v>
      </c>
      <c r="F209" s="129">
        <v>-58901587</v>
      </c>
      <c r="G209" s="129">
        <v>-2374532</v>
      </c>
      <c r="H209" s="129">
        <v>50313211</v>
      </c>
      <c r="I209" s="129">
        <v>3247529</v>
      </c>
      <c r="J209" s="129">
        <v>47065682</v>
      </c>
      <c r="K209" s="129">
        <v>-9461373</v>
      </c>
      <c r="L209" s="129">
        <v>6307582</v>
      </c>
      <c r="M209" s="129">
        <v>-52594005</v>
      </c>
      <c r="N209" s="755">
        <v>0.25</v>
      </c>
      <c r="O209" s="755">
        <v>0.48</v>
      </c>
      <c r="P209" s="755">
        <v>0.27</v>
      </c>
      <c r="Q209" s="755">
        <v>0</v>
      </c>
      <c r="R209" s="755">
        <v>1</v>
      </c>
      <c r="S209" s="129">
        <v>-593633</v>
      </c>
      <c r="T209" s="129">
        <v>-1139775</v>
      </c>
      <c r="U209" s="129">
        <v>-641124</v>
      </c>
      <c r="V209" s="129">
        <v>0</v>
      </c>
      <c r="W209" s="129">
        <v>-2374532</v>
      </c>
      <c r="X209" s="755">
        <v>0.33</v>
      </c>
      <c r="Y209" s="755">
        <v>0.3</v>
      </c>
      <c r="Z209" s="755">
        <v>0.37</v>
      </c>
      <c r="AA209" s="755">
        <v>0</v>
      </c>
      <c r="AB209" s="755">
        <v>1</v>
      </c>
      <c r="AC209" s="129">
        <v>-15531675</v>
      </c>
      <c r="AD209" s="129">
        <v>-14119705</v>
      </c>
      <c r="AE209" s="129">
        <v>-17414302</v>
      </c>
      <c r="AF209" s="129">
        <v>0</v>
      </c>
      <c r="AG209" s="129">
        <v>-47065682</v>
      </c>
      <c r="AH209" s="755">
        <v>0.33</v>
      </c>
      <c r="AI209" s="755">
        <v>0.3</v>
      </c>
      <c r="AJ209" s="755">
        <v>0.37</v>
      </c>
      <c r="AK209" s="755">
        <v>0</v>
      </c>
      <c r="AL209" s="755">
        <v>1</v>
      </c>
      <c r="AM209" s="129">
        <v>-1040751</v>
      </c>
      <c r="AN209" s="129">
        <v>-946137</v>
      </c>
      <c r="AO209" s="129">
        <v>-1166903</v>
      </c>
      <c r="AP209" s="129">
        <v>0</v>
      </c>
      <c r="AQ209" s="129">
        <v>-3153791</v>
      </c>
      <c r="AR209" s="129">
        <v>-17166059</v>
      </c>
      <c r="AS209" s="129">
        <v>-16205617</v>
      </c>
      <c r="AT209" s="129">
        <v>-19222329</v>
      </c>
      <c r="AU209" s="129">
        <v>0</v>
      </c>
      <c r="AV209" s="129">
        <v>-52594005</v>
      </c>
      <c r="AW209" s="662" t="s">
        <v>281</v>
      </c>
      <c r="AX209" s="324" t="s">
        <v>576</v>
      </c>
      <c r="AY209" s="669" t="s">
        <v>485</v>
      </c>
      <c r="AZ209" s="529" t="s">
        <v>1415</v>
      </c>
    </row>
    <row r="210" spans="1:52" ht="12.75" x14ac:dyDescent="0.2">
      <c r="A210" s="664">
        <v>203</v>
      </c>
      <c r="B210" s="665" t="s">
        <v>284</v>
      </c>
      <c r="C210" s="666" t="s">
        <v>1201</v>
      </c>
      <c r="D210" s="667" t="s">
        <v>1218</v>
      </c>
      <c r="E210" s="668" t="s">
        <v>283</v>
      </c>
      <c r="F210" s="129">
        <v>-7495735</v>
      </c>
      <c r="G210" s="129">
        <v>431686</v>
      </c>
      <c r="H210" s="129">
        <v>7365191</v>
      </c>
      <c r="I210" s="129">
        <v>636478</v>
      </c>
      <c r="J210" s="129">
        <v>6728713</v>
      </c>
      <c r="K210" s="129">
        <v>-1198708</v>
      </c>
      <c r="L210" s="129">
        <v>799139</v>
      </c>
      <c r="M210" s="129">
        <v>-6696596</v>
      </c>
      <c r="N210" s="755">
        <v>0.25</v>
      </c>
      <c r="O210" s="755">
        <v>0.52500000000000002</v>
      </c>
      <c r="P210" s="755">
        <v>0.215</v>
      </c>
      <c r="Q210" s="755">
        <v>0.01</v>
      </c>
      <c r="R210" s="755">
        <v>1</v>
      </c>
      <c r="S210" s="129">
        <v>107922</v>
      </c>
      <c r="T210" s="129">
        <v>226635</v>
      </c>
      <c r="U210" s="129">
        <v>92812</v>
      </c>
      <c r="V210" s="129">
        <v>4317</v>
      </c>
      <c r="W210" s="129">
        <v>431686</v>
      </c>
      <c r="X210" s="755">
        <v>0.5</v>
      </c>
      <c r="Y210" s="755">
        <v>0.4</v>
      </c>
      <c r="Z210" s="755">
        <v>0.09</v>
      </c>
      <c r="AA210" s="755">
        <v>0.01</v>
      </c>
      <c r="AB210" s="755">
        <v>1</v>
      </c>
      <c r="AC210" s="129">
        <v>-3364357</v>
      </c>
      <c r="AD210" s="129">
        <v>-2691485</v>
      </c>
      <c r="AE210" s="129">
        <v>-605584</v>
      </c>
      <c r="AF210" s="129">
        <v>-67287</v>
      </c>
      <c r="AG210" s="129">
        <v>-6728713</v>
      </c>
      <c r="AH210" s="755">
        <v>0.5</v>
      </c>
      <c r="AI210" s="755">
        <v>0.4</v>
      </c>
      <c r="AJ210" s="755">
        <v>0.09</v>
      </c>
      <c r="AK210" s="755">
        <v>0.01</v>
      </c>
      <c r="AL210" s="755">
        <v>1</v>
      </c>
      <c r="AM210" s="129">
        <v>-199785</v>
      </c>
      <c r="AN210" s="129">
        <v>-159828</v>
      </c>
      <c r="AO210" s="129">
        <v>-35961</v>
      </c>
      <c r="AP210" s="129">
        <v>-3996</v>
      </c>
      <c r="AQ210" s="129">
        <v>-399569</v>
      </c>
      <c r="AR210" s="129">
        <v>-3456220</v>
      </c>
      <c r="AS210" s="129">
        <v>-2624678</v>
      </c>
      <c r="AT210" s="129">
        <v>-548733</v>
      </c>
      <c r="AU210" s="129">
        <v>-66966</v>
      </c>
      <c r="AV210" s="129">
        <v>-6696596</v>
      </c>
      <c r="AW210" s="662" t="s">
        <v>283</v>
      </c>
      <c r="AX210" s="324" t="s">
        <v>556</v>
      </c>
      <c r="AY210" s="663" t="s">
        <v>555</v>
      </c>
      <c r="AZ210" s="529" t="s">
        <v>1416</v>
      </c>
    </row>
    <row r="211" spans="1:52" ht="12.75" x14ac:dyDescent="0.2">
      <c r="A211" s="664">
        <v>204</v>
      </c>
      <c r="B211" s="665" t="s">
        <v>286</v>
      </c>
      <c r="C211" s="666" t="s">
        <v>1217</v>
      </c>
      <c r="D211" s="667" t="s">
        <v>1204</v>
      </c>
      <c r="E211" s="668" t="s">
        <v>285</v>
      </c>
      <c r="F211" s="129">
        <v>-24265429</v>
      </c>
      <c r="G211" s="129">
        <v>765813</v>
      </c>
      <c r="H211" s="129">
        <v>22174053</v>
      </c>
      <c r="I211" s="129">
        <v>850000</v>
      </c>
      <c r="J211" s="129">
        <v>21324053</v>
      </c>
      <c r="K211" s="129">
        <v>-3707189</v>
      </c>
      <c r="L211" s="129">
        <v>2471459</v>
      </c>
      <c r="M211" s="129">
        <v>-21793970</v>
      </c>
      <c r="N211" s="755">
        <v>0</v>
      </c>
      <c r="O211" s="755">
        <v>0.99</v>
      </c>
      <c r="P211" s="755">
        <v>0</v>
      </c>
      <c r="Q211" s="755">
        <v>0.01</v>
      </c>
      <c r="R211" s="755">
        <v>1</v>
      </c>
      <c r="S211" s="129">
        <v>0</v>
      </c>
      <c r="T211" s="129">
        <v>758155</v>
      </c>
      <c r="U211" s="129">
        <v>0</v>
      </c>
      <c r="V211" s="129">
        <v>7658</v>
      </c>
      <c r="W211" s="129">
        <v>765813</v>
      </c>
      <c r="X211" s="755">
        <v>0</v>
      </c>
      <c r="Y211" s="755">
        <v>0.99</v>
      </c>
      <c r="Z211" s="755">
        <v>0</v>
      </c>
      <c r="AA211" s="755">
        <v>0.01</v>
      </c>
      <c r="AB211" s="755">
        <v>1</v>
      </c>
      <c r="AC211" s="129">
        <v>0</v>
      </c>
      <c r="AD211" s="129">
        <v>-21110812</v>
      </c>
      <c r="AE211" s="129">
        <v>0</v>
      </c>
      <c r="AF211" s="129">
        <v>-213241</v>
      </c>
      <c r="AG211" s="129">
        <v>-21324053</v>
      </c>
      <c r="AH211" s="755">
        <v>0</v>
      </c>
      <c r="AI211" s="755">
        <v>0.99</v>
      </c>
      <c r="AJ211" s="755">
        <v>0</v>
      </c>
      <c r="AK211" s="755">
        <v>0.01</v>
      </c>
      <c r="AL211" s="755">
        <v>1</v>
      </c>
      <c r="AM211" s="129">
        <v>0</v>
      </c>
      <c r="AN211" s="129">
        <v>-1223372</v>
      </c>
      <c r="AO211" s="129">
        <v>0</v>
      </c>
      <c r="AP211" s="129">
        <v>-12357</v>
      </c>
      <c r="AQ211" s="129">
        <v>-1235730</v>
      </c>
      <c r="AR211" s="129">
        <v>0</v>
      </c>
      <c r="AS211" s="129">
        <v>-21576030</v>
      </c>
      <c r="AT211" s="129">
        <v>0</v>
      </c>
      <c r="AU211" s="129">
        <v>-217940</v>
      </c>
      <c r="AV211" s="129">
        <v>-21793970</v>
      </c>
      <c r="AW211" s="662" t="s">
        <v>285</v>
      </c>
      <c r="AX211" s="324" t="s">
        <v>570</v>
      </c>
      <c r="AY211" s="663" t="s">
        <v>1915</v>
      </c>
      <c r="AZ211" s="529" t="s">
        <v>1417</v>
      </c>
    </row>
    <row r="212" spans="1:52" ht="12.75" x14ac:dyDescent="0.2">
      <c r="A212" s="664">
        <v>205</v>
      </c>
      <c r="B212" s="665" t="s">
        <v>288</v>
      </c>
      <c r="C212" s="666" t="s">
        <v>1201</v>
      </c>
      <c r="D212" s="667" t="s">
        <v>1211</v>
      </c>
      <c r="E212" s="668" t="s">
        <v>287</v>
      </c>
      <c r="F212" s="129">
        <v>-9752247</v>
      </c>
      <c r="G212" s="129">
        <v>-551556</v>
      </c>
      <c r="H212" s="129">
        <v>7815507</v>
      </c>
      <c r="I212" s="129">
        <v>453040</v>
      </c>
      <c r="J212" s="129">
        <v>7362467</v>
      </c>
      <c r="K212" s="129">
        <v>-1838224</v>
      </c>
      <c r="L212" s="129">
        <v>1225483</v>
      </c>
      <c r="M212" s="129">
        <v>-8526765</v>
      </c>
      <c r="N212" s="755">
        <v>0.5</v>
      </c>
      <c r="O212" s="755">
        <v>0.4</v>
      </c>
      <c r="P212" s="755">
        <v>0.09</v>
      </c>
      <c r="Q212" s="755">
        <v>0.01</v>
      </c>
      <c r="R212" s="755">
        <v>1</v>
      </c>
      <c r="S212" s="129">
        <v>-275778</v>
      </c>
      <c r="T212" s="129">
        <v>-220623</v>
      </c>
      <c r="U212" s="129">
        <v>-49640</v>
      </c>
      <c r="V212" s="129">
        <v>-5516</v>
      </c>
      <c r="W212" s="129">
        <v>-551556</v>
      </c>
      <c r="X212" s="755">
        <v>0.5</v>
      </c>
      <c r="Y212" s="755">
        <v>0.4</v>
      </c>
      <c r="Z212" s="755">
        <v>0.09</v>
      </c>
      <c r="AA212" s="755">
        <v>0.01</v>
      </c>
      <c r="AB212" s="755">
        <v>1</v>
      </c>
      <c r="AC212" s="129">
        <v>-3681234</v>
      </c>
      <c r="AD212" s="129">
        <v>-2944987</v>
      </c>
      <c r="AE212" s="129">
        <v>-662622</v>
      </c>
      <c r="AF212" s="129">
        <v>-73625</v>
      </c>
      <c r="AG212" s="129">
        <v>-7362467</v>
      </c>
      <c r="AH212" s="755">
        <v>0.5</v>
      </c>
      <c r="AI212" s="755">
        <v>0.4</v>
      </c>
      <c r="AJ212" s="755">
        <v>0.09</v>
      </c>
      <c r="AK212" s="755">
        <v>0.01</v>
      </c>
      <c r="AL212" s="755">
        <v>1</v>
      </c>
      <c r="AM212" s="129">
        <v>-306371</v>
      </c>
      <c r="AN212" s="129">
        <v>-245097</v>
      </c>
      <c r="AO212" s="129">
        <v>-55147</v>
      </c>
      <c r="AP212" s="129">
        <v>-6127</v>
      </c>
      <c r="AQ212" s="129">
        <v>-612741</v>
      </c>
      <c r="AR212" s="129">
        <v>-4263382</v>
      </c>
      <c r="AS212" s="129">
        <v>-3410706</v>
      </c>
      <c r="AT212" s="129">
        <v>-767409</v>
      </c>
      <c r="AU212" s="129">
        <v>-85268</v>
      </c>
      <c r="AV212" s="129">
        <v>-8526765</v>
      </c>
      <c r="AW212" s="662" t="s">
        <v>287</v>
      </c>
      <c r="AX212" s="324" t="s">
        <v>528</v>
      </c>
      <c r="AY212" s="663" t="s">
        <v>1913</v>
      </c>
      <c r="AZ212" s="529" t="s">
        <v>1418</v>
      </c>
    </row>
    <row r="213" spans="1:52" ht="12.75" x14ac:dyDescent="0.2">
      <c r="A213" s="664">
        <v>206</v>
      </c>
      <c r="B213" s="665" t="s">
        <v>290</v>
      </c>
      <c r="C213" s="666" t="s">
        <v>1201</v>
      </c>
      <c r="D213" s="667" t="s">
        <v>1204</v>
      </c>
      <c r="E213" s="668" t="s">
        <v>289</v>
      </c>
      <c r="F213" s="129">
        <v>-6784181</v>
      </c>
      <c r="G213" s="129">
        <v>554297</v>
      </c>
      <c r="H213" s="129">
        <v>5637342</v>
      </c>
      <c r="I213" s="129">
        <v>463121</v>
      </c>
      <c r="J213" s="129">
        <v>5174221</v>
      </c>
      <c r="K213" s="129">
        <v>-2164257</v>
      </c>
      <c r="L213" s="129">
        <v>1442838</v>
      </c>
      <c r="M213" s="129">
        <v>-5341343</v>
      </c>
      <c r="N213" s="755">
        <v>0.25</v>
      </c>
      <c r="O213" s="755">
        <v>0.56000000000000005</v>
      </c>
      <c r="P213" s="755">
        <v>0.17499999999999999</v>
      </c>
      <c r="Q213" s="755">
        <v>1.4999999999999999E-2</v>
      </c>
      <c r="R213" s="755">
        <v>1</v>
      </c>
      <c r="S213" s="129">
        <v>138574</v>
      </c>
      <c r="T213" s="129">
        <v>310406</v>
      </c>
      <c r="U213" s="129">
        <v>97002</v>
      </c>
      <c r="V213" s="129">
        <v>8314</v>
      </c>
      <c r="W213" s="129">
        <v>554297</v>
      </c>
      <c r="X213" s="755">
        <v>0.5</v>
      </c>
      <c r="Y213" s="755">
        <v>0.4</v>
      </c>
      <c r="Z213" s="755">
        <v>0.09</v>
      </c>
      <c r="AA213" s="755">
        <v>0.01</v>
      </c>
      <c r="AB213" s="755">
        <v>1</v>
      </c>
      <c r="AC213" s="129">
        <v>-2587111</v>
      </c>
      <c r="AD213" s="129">
        <v>-2069688</v>
      </c>
      <c r="AE213" s="129">
        <v>-465680</v>
      </c>
      <c r="AF213" s="129">
        <v>-51742</v>
      </c>
      <c r="AG213" s="129">
        <v>-5174221</v>
      </c>
      <c r="AH213" s="755">
        <v>0.5</v>
      </c>
      <c r="AI213" s="755">
        <v>0.4</v>
      </c>
      <c r="AJ213" s="755">
        <v>0.09</v>
      </c>
      <c r="AK213" s="755">
        <v>0.01</v>
      </c>
      <c r="AL213" s="755">
        <v>1</v>
      </c>
      <c r="AM213" s="129">
        <v>-360710</v>
      </c>
      <c r="AN213" s="129">
        <v>-288568</v>
      </c>
      <c r="AO213" s="129">
        <v>-64928</v>
      </c>
      <c r="AP213" s="129">
        <v>-7214</v>
      </c>
      <c r="AQ213" s="129">
        <v>-721419</v>
      </c>
      <c r="AR213" s="129">
        <v>-2809246</v>
      </c>
      <c r="AS213" s="129">
        <v>-2047850</v>
      </c>
      <c r="AT213" s="129">
        <v>-433606</v>
      </c>
      <c r="AU213" s="129">
        <v>-50642</v>
      </c>
      <c r="AV213" s="129">
        <v>-5341343</v>
      </c>
      <c r="AW213" s="662" t="s">
        <v>289</v>
      </c>
      <c r="AX213" s="324" t="s">
        <v>547</v>
      </c>
      <c r="AY213" s="663" t="s">
        <v>545</v>
      </c>
      <c r="AZ213" s="529" t="s">
        <v>1419</v>
      </c>
    </row>
    <row r="214" spans="1:52" ht="12.75" x14ac:dyDescent="0.2">
      <c r="A214" s="664">
        <v>207</v>
      </c>
      <c r="B214" s="665" t="s">
        <v>292</v>
      </c>
      <c r="C214" s="666" t="s">
        <v>1201</v>
      </c>
      <c r="D214" s="667" t="s">
        <v>1202</v>
      </c>
      <c r="E214" s="668" t="s">
        <v>291</v>
      </c>
      <c r="F214" s="129">
        <v>-11527989</v>
      </c>
      <c r="G214" s="129">
        <v>-385367</v>
      </c>
      <c r="H214" s="129">
        <v>11355911</v>
      </c>
      <c r="I214" s="129">
        <v>629853</v>
      </c>
      <c r="J214" s="129">
        <v>10726058</v>
      </c>
      <c r="K214" s="129">
        <v>-416564</v>
      </c>
      <c r="L214" s="129">
        <v>277709</v>
      </c>
      <c r="M214" s="129">
        <v>-11250279</v>
      </c>
      <c r="N214" s="755">
        <v>0.25</v>
      </c>
      <c r="O214" s="755">
        <v>0.44</v>
      </c>
      <c r="P214" s="755">
        <v>0.26</v>
      </c>
      <c r="Q214" s="755">
        <v>0.05</v>
      </c>
      <c r="R214" s="755">
        <v>1</v>
      </c>
      <c r="S214" s="129">
        <v>-96342</v>
      </c>
      <c r="T214" s="129">
        <v>-169561</v>
      </c>
      <c r="U214" s="129">
        <v>-100195</v>
      </c>
      <c r="V214" s="129">
        <v>-19268</v>
      </c>
      <c r="W214" s="129">
        <v>-385367</v>
      </c>
      <c r="X214" s="755">
        <v>0.5</v>
      </c>
      <c r="Y214" s="755">
        <v>0.4</v>
      </c>
      <c r="Z214" s="755">
        <v>0.09</v>
      </c>
      <c r="AA214" s="755">
        <v>0.01</v>
      </c>
      <c r="AB214" s="755">
        <v>1</v>
      </c>
      <c r="AC214" s="129">
        <v>-5363029</v>
      </c>
      <c r="AD214" s="129">
        <v>-4290423</v>
      </c>
      <c r="AE214" s="129">
        <v>-965345</v>
      </c>
      <c r="AF214" s="129">
        <v>-107261</v>
      </c>
      <c r="AG214" s="129">
        <v>-10726058</v>
      </c>
      <c r="AH214" s="755">
        <v>0.5</v>
      </c>
      <c r="AI214" s="755">
        <v>0.4</v>
      </c>
      <c r="AJ214" s="755">
        <v>0.09</v>
      </c>
      <c r="AK214" s="755">
        <v>0.01</v>
      </c>
      <c r="AL214" s="755">
        <v>1</v>
      </c>
      <c r="AM214" s="129">
        <v>-69427</v>
      </c>
      <c r="AN214" s="129">
        <v>-55542</v>
      </c>
      <c r="AO214" s="129">
        <v>-12497</v>
      </c>
      <c r="AP214" s="129">
        <v>-1389</v>
      </c>
      <c r="AQ214" s="129">
        <v>-138855</v>
      </c>
      <c r="AR214" s="129">
        <v>-5528798</v>
      </c>
      <c r="AS214" s="129">
        <v>-4515526</v>
      </c>
      <c r="AT214" s="129">
        <v>-1078037</v>
      </c>
      <c r="AU214" s="129">
        <v>-127917</v>
      </c>
      <c r="AV214" s="129">
        <v>-11250279</v>
      </c>
      <c r="AW214" s="662" t="s">
        <v>291</v>
      </c>
      <c r="AX214" s="324" t="s">
        <v>525</v>
      </c>
      <c r="AY214" s="663" t="s">
        <v>524</v>
      </c>
      <c r="AZ214" s="529" t="s">
        <v>1420</v>
      </c>
    </row>
    <row r="215" spans="1:52" ht="12.75" x14ac:dyDescent="0.2">
      <c r="A215" s="664">
        <v>208</v>
      </c>
      <c r="B215" s="665" t="s">
        <v>294</v>
      </c>
      <c r="C215" s="666" t="s">
        <v>1217</v>
      </c>
      <c r="D215" s="667" t="s">
        <v>1218</v>
      </c>
      <c r="E215" s="668" t="s">
        <v>293</v>
      </c>
      <c r="F215" s="129">
        <v>-33572084</v>
      </c>
      <c r="G215" s="129">
        <v>-474218</v>
      </c>
      <c r="H215" s="129">
        <v>35104023</v>
      </c>
      <c r="I215" s="129">
        <v>810818</v>
      </c>
      <c r="J215" s="129">
        <v>34293205</v>
      </c>
      <c r="K215" s="129">
        <v>1195339</v>
      </c>
      <c r="L215" s="129">
        <v>0</v>
      </c>
      <c r="M215" s="129">
        <v>-33572084</v>
      </c>
      <c r="N215" s="755">
        <v>0.5</v>
      </c>
      <c r="O215" s="755">
        <v>0.49</v>
      </c>
      <c r="P215" s="755">
        <v>0</v>
      </c>
      <c r="Q215" s="755">
        <v>0.01</v>
      </c>
      <c r="R215" s="755">
        <v>1</v>
      </c>
      <c r="S215" s="129">
        <v>-237109</v>
      </c>
      <c r="T215" s="129">
        <v>-232367</v>
      </c>
      <c r="U215" s="129">
        <v>0</v>
      </c>
      <c r="V215" s="129">
        <v>-4742</v>
      </c>
      <c r="W215" s="129">
        <v>-474218</v>
      </c>
      <c r="X215" s="755">
        <v>0.5</v>
      </c>
      <c r="Y215" s="755">
        <v>0.49</v>
      </c>
      <c r="Z215" s="755">
        <v>0</v>
      </c>
      <c r="AA215" s="755">
        <v>0.01</v>
      </c>
      <c r="AB215" s="755">
        <v>1</v>
      </c>
      <c r="AC215" s="129">
        <v>-16548933</v>
      </c>
      <c r="AD215" s="129">
        <v>-16217954</v>
      </c>
      <c r="AE215" s="129">
        <v>0</v>
      </c>
      <c r="AF215" s="129">
        <v>-330979</v>
      </c>
      <c r="AG215" s="129">
        <v>-33097866</v>
      </c>
      <c r="AH215" s="755">
        <v>0.5</v>
      </c>
      <c r="AI215" s="755">
        <v>0.49</v>
      </c>
      <c r="AJ215" s="755">
        <v>0</v>
      </c>
      <c r="AK215" s="755">
        <v>0.01</v>
      </c>
      <c r="AL215" s="755">
        <v>1</v>
      </c>
      <c r="AM215" s="129">
        <v>0</v>
      </c>
      <c r="AN215" s="129">
        <v>0</v>
      </c>
      <c r="AO215" s="129">
        <v>0</v>
      </c>
      <c r="AP215" s="129">
        <v>0</v>
      </c>
      <c r="AQ215" s="129">
        <v>0</v>
      </c>
      <c r="AR215" s="129">
        <v>-16786042</v>
      </c>
      <c r="AS215" s="129">
        <v>-16450321</v>
      </c>
      <c r="AT215" s="129">
        <v>0</v>
      </c>
      <c r="AU215" s="129">
        <v>-335721</v>
      </c>
      <c r="AV215" s="129">
        <v>-33572084</v>
      </c>
      <c r="AW215" s="662" t="s">
        <v>293</v>
      </c>
      <c r="AX215" s="324" t="s">
        <v>570</v>
      </c>
      <c r="AY215" s="663" t="s">
        <v>572</v>
      </c>
      <c r="AZ215" s="529" t="s">
        <v>1421</v>
      </c>
    </row>
    <row r="216" spans="1:52" ht="12.75" x14ac:dyDescent="0.2">
      <c r="A216" s="664">
        <v>209</v>
      </c>
      <c r="B216" s="665" t="s">
        <v>296</v>
      </c>
      <c r="C216" s="666" t="s">
        <v>1201</v>
      </c>
      <c r="D216" s="667" t="s">
        <v>1228</v>
      </c>
      <c r="E216" s="668" t="s">
        <v>295</v>
      </c>
      <c r="F216" s="129">
        <v>-18180391</v>
      </c>
      <c r="G216" s="129">
        <v>49598</v>
      </c>
      <c r="H216" s="129">
        <v>16384124</v>
      </c>
      <c r="I216" s="129">
        <v>728227</v>
      </c>
      <c r="J216" s="129">
        <v>15655897</v>
      </c>
      <c r="K216" s="129">
        <v>-2574092</v>
      </c>
      <c r="L216" s="129">
        <v>1716061</v>
      </c>
      <c r="M216" s="129">
        <v>-16464330</v>
      </c>
      <c r="N216" s="755">
        <v>0.5</v>
      </c>
      <c r="O216" s="755">
        <v>0.4</v>
      </c>
      <c r="P216" s="755">
        <v>0.1</v>
      </c>
      <c r="Q216" s="755">
        <v>0</v>
      </c>
      <c r="R216" s="755">
        <v>1</v>
      </c>
      <c r="S216" s="129">
        <v>24799</v>
      </c>
      <c r="T216" s="129">
        <v>19839</v>
      </c>
      <c r="U216" s="129">
        <v>4960</v>
      </c>
      <c r="V216" s="129">
        <v>0</v>
      </c>
      <c r="W216" s="129">
        <v>49598</v>
      </c>
      <c r="X216" s="755">
        <v>0.5</v>
      </c>
      <c r="Y216" s="755">
        <v>0.4</v>
      </c>
      <c r="Z216" s="755">
        <v>0.1</v>
      </c>
      <c r="AA216" s="755">
        <v>0</v>
      </c>
      <c r="AB216" s="755">
        <v>1</v>
      </c>
      <c r="AC216" s="129">
        <v>-7827949</v>
      </c>
      <c r="AD216" s="129">
        <v>-6262359</v>
      </c>
      <c r="AE216" s="129">
        <v>-1565590</v>
      </c>
      <c r="AF216" s="129">
        <v>0</v>
      </c>
      <c r="AG216" s="129">
        <v>-15655897</v>
      </c>
      <c r="AH216" s="755">
        <v>0.5</v>
      </c>
      <c r="AI216" s="755">
        <v>0.4</v>
      </c>
      <c r="AJ216" s="755">
        <v>0.1</v>
      </c>
      <c r="AK216" s="755">
        <v>0</v>
      </c>
      <c r="AL216" s="755">
        <v>1</v>
      </c>
      <c r="AM216" s="129">
        <v>-429015</v>
      </c>
      <c r="AN216" s="129">
        <v>-343212</v>
      </c>
      <c r="AO216" s="129">
        <v>-85803</v>
      </c>
      <c r="AP216" s="129">
        <v>0</v>
      </c>
      <c r="AQ216" s="129">
        <v>-858031</v>
      </c>
      <c r="AR216" s="129">
        <v>-8232165</v>
      </c>
      <c r="AS216" s="129">
        <v>-6585732</v>
      </c>
      <c r="AT216" s="129">
        <v>-1646433</v>
      </c>
      <c r="AU216" s="129">
        <v>0</v>
      </c>
      <c r="AV216" s="129">
        <v>-16464330</v>
      </c>
      <c r="AW216" s="662" t="s">
        <v>295</v>
      </c>
      <c r="AX216" s="324" t="s">
        <v>567</v>
      </c>
      <c r="AY216" s="663" t="s">
        <v>512</v>
      </c>
      <c r="AZ216" s="529" t="s">
        <v>1422</v>
      </c>
    </row>
    <row r="217" spans="1:52" ht="14.25" x14ac:dyDescent="0.2">
      <c r="A217" s="664">
        <v>210</v>
      </c>
      <c r="B217" s="665" t="s">
        <v>298</v>
      </c>
      <c r="C217" s="666" t="s">
        <v>1201</v>
      </c>
      <c r="D217" s="667" t="s">
        <v>1202</v>
      </c>
      <c r="E217" s="668" t="s">
        <v>1869</v>
      </c>
      <c r="F217" s="129">
        <v>-11541431</v>
      </c>
      <c r="G217" s="129">
        <v>7459474</v>
      </c>
      <c r="H217" s="129">
        <v>17080791</v>
      </c>
      <c r="I217" s="129">
        <v>603561</v>
      </c>
      <c r="J217" s="129">
        <v>16477230</v>
      </c>
      <c r="K217" s="129">
        <v>-2523675</v>
      </c>
      <c r="L217" s="129">
        <v>1682450</v>
      </c>
      <c r="M217" s="129">
        <v>-9858981</v>
      </c>
      <c r="N217" s="755">
        <v>0.5</v>
      </c>
      <c r="O217" s="755">
        <v>0.4</v>
      </c>
      <c r="P217" s="755">
        <v>0.1</v>
      </c>
      <c r="Q217" s="755">
        <v>0</v>
      </c>
      <c r="R217" s="755">
        <v>1</v>
      </c>
      <c r="S217" s="129">
        <v>3729737</v>
      </c>
      <c r="T217" s="129">
        <v>2983789</v>
      </c>
      <c r="U217" s="129">
        <v>745947</v>
      </c>
      <c r="V217" s="129">
        <v>0</v>
      </c>
      <c r="W217" s="129">
        <v>7459474</v>
      </c>
      <c r="X217" s="755">
        <v>0.5</v>
      </c>
      <c r="Y217" s="755">
        <v>0.4</v>
      </c>
      <c r="Z217" s="755">
        <v>0.1</v>
      </c>
      <c r="AA217" s="755">
        <v>0</v>
      </c>
      <c r="AB217" s="755">
        <v>1</v>
      </c>
      <c r="AC217" s="129">
        <v>-8238615</v>
      </c>
      <c r="AD217" s="129">
        <v>-6590892</v>
      </c>
      <c r="AE217" s="129">
        <v>-1647723</v>
      </c>
      <c r="AF217" s="129">
        <v>0</v>
      </c>
      <c r="AG217" s="129">
        <v>-16477230</v>
      </c>
      <c r="AH217" s="755">
        <v>0.5</v>
      </c>
      <c r="AI217" s="755">
        <v>0.4</v>
      </c>
      <c r="AJ217" s="755">
        <v>0.1</v>
      </c>
      <c r="AK217" s="755">
        <v>0</v>
      </c>
      <c r="AL217" s="755">
        <v>1</v>
      </c>
      <c r="AM217" s="129">
        <v>-420613</v>
      </c>
      <c r="AN217" s="129">
        <v>-336490</v>
      </c>
      <c r="AO217" s="129">
        <v>-84123</v>
      </c>
      <c r="AP217" s="129">
        <v>0</v>
      </c>
      <c r="AQ217" s="129">
        <v>-841225</v>
      </c>
      <c r="AR217" s="129">
        <v>-4929491</v>
      </c>
      <c r="AS217" s="129">
        <v>-3943593</v>
      </c>
      <c r="AT217" s="129">
        <v>-985898</v>
      </c>
      <c r="AU217" s="129">
        <v>0</v>
      </c>
      <c r="AV217" s="129">
        <v>-9858981</v>
      </c>
      <c r="AW217" s="662" t="s">
        <v>297</v>
      </c>
      <c r="AX217" s="324" t="s">
        <v>566</v>
      </c>
      <c r="AY217" s="663" t="s">
        <v>512</v>
      </c>
      <c r="AZ217" s="529" t="s">
        <v>1423</v>
      </c>
    </row>
    <row r="218" spans="1:52" ht="12.75" x14ac:dyDescent="0.2">
      <c r="A218" s="664">
        <v>211</v>
      </c>
      <c r="B218" s="665" t="s">
        <v>300</v>
      </c>
      <c r="C218" s="666" t="s">
        <v>1201</v>
      </c>
      <c r="D218" s="667" t="s">
        <v>1206</v>
      </c>
      <c r="E218" s="668" t="s">
        <v>299</v>
      </c>
      <c r="F218" s="129">
        <v>-10001364</v>
      </c>
      <c r="G218" s="129">
        <v>-190377</v>
      </c>
      <c r="H218" s="129">
        <v>11040748</v>
      </c>
      <c r="I218" s="129">
        <v>933478</v>
      </c>
      <c r="J218" s="129">
        <v>10107270</v>
      </c>
      <c r="K218" s="129">
        <v>296283</v>
      </c>
      <c r="L218" s="129">
        <v>0</v>
      </c>
      <c r="M218" s="129">
        <v>-10001364</v>
      </c>
      <c r="N218" s="755">
        <v>0.5</v>
      </c>
      <c r="O218" s="755">
        <v>0.4</v>
      </c>
      <c r="P218" s="755">
        <v>0.09</v>
      </c>
      <c r="Q218" s="755">
        <v>0.01</v>
      </c>
      <c r="R218" s="755">
        <v>1</v>
      </c>
      <c r="S218" s="129">
        <v>-95189</v>
      </c>
      <c r="T218" s="129">
        <v>-76151</v>
      </c>
      <c r="U218" s="129">
        <v>-17134</v>
      </c>
      <c r="V218" s="129">
        <v>-1904</v>
      </c>
      <c r="W218" s="129">
        <v>-190377</v>
      </c>
      <c r="X218" s="755">
        <v>0.5</v>
      </c>
      <c r="Y218" s="755">
        <v>0.4</v>
      </c>
      <c r="Z218" s="755">
        <v>0.09</v>
      </c>
      <c r="AA218" s="755">
        <v>0.01</v>
      </c>
      <c r="AB218" s="755">
        <v>1</v>
      </c>
      <c r="AC218" s="129">
        <v>-4905494</v>
      </c>
      <c r="AD218" s="129">
        <v>-3924395</v>
      </c>
      <c r="AE218" s="129">
        <v>-882989</v>
      </c>
      <c r="AF218" s="129">
        <v>-98110</v>
      </c>
      <c r="AG218" s="129">
        <v>-9810987</v>
      </c>
      <c r="AH218" s="755">
        <v>0.5</v>
      </c>
      <c r="AI218" s="755">
        <v>0.4</v>
      </c>
      <c r="AJ218" s="755">
        <v>0.09</v>
      </c>
      <c r="AK218" s="755">
        <v>0.01</v>
      </c>
      <c r="AL218" s="755">
        <v>1</v>
      </c>
      <c r="AM218" s="129">
        <v>0</v>
      </c>
      <c r="AN218" s="129">
        <v>0</v>
      </c>
      <c r="AO218" s="129">
        <v>0</v>
      </c>
      <c r="AP218" s="129">
        <v>0</v>
      </c>
      <c r="AQ218" s="129">
        <v>0</v>
      </c>
      <c r="AR218" s="129">
        <v>-5000682</v>
      </c>
      <c r="AS218" s="129">
        <v>-4000546</v>
      </c>
      <c r="AT218" s="129">
        <v>-900123</v>
      </c>
      <c r="AU218" s="129">
        <v>-100014</v>
      </c>
      <c r="AV218" s="129">
        <v>-10001364</v>
      </c>
      <c r="AW218" s="662" t="s">
        <v>299</v>
      </c>
      <c r="AX218" s="324" t="s">
        <v>559</v>
      </c>
      <c r="AY218" s="663" t="s">
        <v>558</v>
      </c>
      <c r="AZ218" s="529" t="s">
        <v>1424</v>
      </c>
    </row>
    <row r="219" spans="1:52" ht="12.75" x14ac:dyDescent="0.2">
      <c r="A219" s="664">
        <v>212</v>
      </c>
      <c r="B219" s="665" t="s">
        <v>302</v>
      </c>
      <c r="C219" s="666" t="s">
        <v>1201</v>
      </c>
      <c r="D219" s="667" t="s">
        <v>1202</v>
      </c>
      <c r="E219" s="668" t="s">
        <v>301</v>
      </c>
      <c r="F219" s="129">
        <v>-27183308</v>
      </c>
      <c r="G219" s="129">
        <v>-1871448</v>
      </c>
      <c r="H219" s="129">
        <v>24270273</v>
      </c>
      <c r="I219" s="129">
        <v>631570</v>
      </c>
      <c r="J219" s="129">
        <v>23638703</v>
      </c>
      <c r="K219" s="129">
        <v>-1673157</v>
      </c>
      <c r="L219" s="129">
        <v>1115438</v>
      </c>
      <c r="M219" s="129">
        <v>-26067870</v>
      </c>
      <c r="N219" s="755">
        <v>0.5</v>
      </c>
      <c r="O219" s="755">
        <v>0.4</v>
      </c>
      <c r="P219" s="755">
        <v>0.09</v>
      </c>
      <c r="Q219" s="755">
        <v>0.01</v>
      </c>
      <c r="R219" s="755">
        <v>1</v>
      </c>
      <c r="S219" s="129">
        <v>-935724</v>
      </c>
      <c r="T219" s="129">
        <v>-748579</v>
      </c>
      <c r="U219" s="129">
        <v>-168430</v>
      </c>
      <c r="V219" s="129">
        <v>-18714</v>
      </c>
      <c r="W219" s="129">
        <v>-1871448</v>
      </c>
      <c r="X219" s="755">
        <v>0.5</v>
      </c>
      <c r="Y219" s="755">
        <v>0.4</v>
      </c>
      <c r="Z219" s="755">
        <v>0.09</v>
      </c>
      <c r="AA219" s="755">
        <v>0.01</v>
      </c>
      <c r="AB219" s="755">
        <v>1</v>
      </c>
      <c r="AC219" s="129">
        <v>-11819352</v>
      </c>
      <c r="AD219" s="129">
        <v>-9455481</v>
      </c>
      <c r="AE219" s="129">
        <v>-2127483</v>
      </c>
      <c r="AF219" s="129">
        <v>-236387</v>
      </c>
      <c r="AG219" s="129">
        <v>-23638703</v>
      </c>
      <c r="AH219" s="755">
        <v>0.5</v>
      </c>
      <c r="AI219" s="755">
        <v>0.4</v>
      </c>
      <c r="AJ219" s="755">
        <v>0.09</v>
      </c>
      <c r="AK219" s="755">
        <v>0.01</v>
      </c>
      <c r="AL219" s="755">
        <v>1</v>
      </c>
      <c r="AM219" s="129">
        <v>-278860</v>
      </c>
      <c r="AN219" s="129">
        <v>-223088</v>
      </c>
      <c r="AO219" s="129">
        <v>-50195</v>
      </c>
      <c r="AP219" s="129">
        <v>-5577</v>
      </c>
      <c r="AQ219" s="129">
        <v>-557719</v>
      </c>
      <c r="AR219" s="129">
        <v>-13033935</v>
      </c>
      <c r="AS219" s="129">
        <v>-10427148</v>
      </c>
      <c r="AT219" s="129">
        <v>-2346108</v>
      </c>
      <c r="AU219" s="129">
        <v>-260679</v>
      </c>
      <c r="AV219" s="129">
        <v>-26067870</v>
      </c>
      <c r="AW219" s="662" t="s">
        <v>301</v>
      </c>
      <c r="AX219" s="324" t="s">
        <v>532</v>
      </c>
      <c r="AY219" s="663" t="s">
        <v>1914</v>
      </c>
      <c r="AZ219" s="529" t="s">
        <v>1425</v>
      </c>
    </row>
    <row r="220" spans="1:52" ht="12.75" x14ac:dyDescent="0.2">
      <c r="A220" s="664">
        <v>213</v>
      </c>
      <c r="B220" s="665" t="s">
        <v>303</v>
      </c>
      <c r="C220" s="666" t="s">
        <v>486</v>
      </c>
      <c r="D220" s="667" t="s">
        <v>1206</v>
      </c>
      <c r="E220" s="668" t="s">
        <v>550</v>
      </c>
      <c r="F220" s="129">
        <v>-4460546</v>
      </c>
      <c r="G220" s="129">
        <v>52059</v>
      </c>
      <c r="H220" s="129">
        <v>4832955</v>
      </c>
      <c r="I220" s="129">
        <v>323555</v>
      </c>
      <c r="J220" s="129">
        <v>4509400</v>
      </c>
      <c r="K220" s="129">
        <v>-3205</v>
      </c>
      <c r="L220" s="129">
        <v>2137</v>
      </c>
      <c r="M220" s="129">
        <v>-4458409</v>
      </c>
      <c r="N220" s="755">
        <v>0.5</v>
      </c>
      <c r="O220" s="755">
        <v>0.49</v>
      </c>
      <c r="P220" s="755">
        <v>0</v>
      </c>
      <c r="Q220" s="755">
        <v>0.01</v>
      </c>
      <c r="R220" s="755">
        <v>1</v>
      </c>
      <c r="S220" s="129">
        <v>26030</v>
      </c>
      <c r="T220" s="129">
        <v>25509</v>
      </c>
      <c r="U220" s="129">
        <v>0</v>
      </c>
      <c r="V220" s="129">
        <v>521</v>
      </c>
      <c r="W220" s="129">
        <v>52059</v>
      </c>
      <c r="X220" s="755">
        <v>0.5</v>
      </c>
      <c r="Y220" s="755">
        <v>0.49</v>
      </c>
      <c r="Z220" s="755">
        <v>0</v>
      </c>
      <c r="AA220" s="755">
        <v>0.01</v>
      </c>
      <c r="AB220" s="755">
        <v>1</v>
      </c>
      <c r="AC220" s="129">
        <v>-2254700</v>
      </c>
      <c r="AD220" s="129">
        <v>-2209606</v>
      </c>
      <c r="AE220" s="129">
        <v>0</v>
      </c>
      <c r="AF220" s="129">
        <v>-45094</v>
      </c>
      <c r="AG220" s="129">
        <v>-4509400</v>
      </c>
      <c r="AH220" s="755">
        <v>0.5</v>
      </c>
      <c r="AI220" s="755">
        <v>0.49</v>
      </c>
      <c r="AJ220" s="755">
        <v>0</v>
      </c>
      <c r="AK220" s="755">
        <v>0.01</v>
      </c>
      <c r="AL220" s="755">
        <v>1</v>
      </c>
      <c r="AM220" s="129">
        <v>-534</v>
      </c>
      <c r="AN220" s="129">
        <v>-523</v>
      </c>
      <c r="AO220" s="129">
        <v>0</v>
      </c>
      <c r="AP220" s="129">
        <v>-11</v>
      </c>
      <c r="AQ220" s="129">
        <v>-1068</v>
      </c>
      <c r="AR220" s="129">
        <v>-2229205</v>
      </c>
      <c r="AS220" s="129">
        <v>-2184621</v>
      </c>
      <c r="AT220" s="129">
        <v>0</v>
      </c>
      <c r="AU220" s="129">
        <v>-44584</v>
      </c>
      <c r="AV220" s="129">
        <v>-4458409</v>
      </c>
      <c r="AW220" s="662" t="s">
        <v>550</v>
      </c>
      <c r="AX220" s="324" t="s">
        <v>486</v>
      </c>
      <c r="AY220" s="663" t="s">
        <v>549</v>
      </c>
      <c r="AZ220" s="529" t="s">
        <v>1426</v>
      </c>
    </row>
    <row r="221" spans="1:52" ht="12.75" x14ac:dyDescent="0.2">
      <c r="A221" s="664">
        <v>214</v>
      </c>
      <c r="B221" s="665" t="s">
        <v>305</v>
      </c>
      <c r="C221" s="666" t="s">
        <v>1201</v>
      </c>
      <c r="D221" s="667" t="s">
        <v>1218</v>
      </c>
      <c r="E221" s="668" t="s">
        <v>304</v>
      </c>
      <c r="F221" s="129">
        <v>-7485167</v>
      </c>
      <c r="G221" s="129">
        <v>101941</v>
      </c>
      <c r="H221" s="129">
        <v>8164698</v>
      </c>
      <c r="I221" s="129">
        <v>670000</v>
      </c>
      <c r="J221" s="129">
        <v>7494698</v>
      </c>
      <c r="K221" s="129">
        <v>-92410</v>
      </c>
      <c r="L221" s="129">
        <v>61607</v>
      </c>
      <c r="M221" s="129">
        <v>-7423560</v>
      </c>
      <c r="N221" s="755">
        <v>0.25</v>
      </c>
      <c r="O221" s="755">
        <v>0.52500000000000002</v>
      </c>
      <c r="P221" s="755">
        <v>0.215</v>
      </c>
      <c r="Q221" s="755">
        <v>0.01</v>
      </c>
      <c r="R221" s="755">
        <v>1</v>
      </c>
      <c r="S221" s="129">
        <v>25485</v>
      </c>
      <c r="T221" s="129">
        <v>53519</v>
      </c>
      <c r="U221" s="129">
        <v>21917</v>
      </c>
      <c r="V221" s="129">
        <v>1019</v>
      </c>
      <c r="W221" s="129">
        <v>101941</v>
      </c>
      <c r="X221" s="755">
        <v>0.5</v>
      </c>
      <c r="Y221" s="755">
        <v>0.4</v>
      </c>
      <c r="Z221" s="755">
        <v>0.09</v>
      </c>
      <c r="AA221" s="755">
        <v>0.01</v>
      </c>
      <c r="AB221" s="755">
        <v>1</v>
      </c>
      <c r="AC221" s="129">
        <v>-3747349</v>
      </c>
      <c r="AD221" s="129">
        <v>-2997879</v>
      </c>
      <c r="AE221" s="129">
        <v>-674523</v>
      </c>
      <c r="AF221" s="129">
        <v>-74947</v>
      </c>
      <c r="AG221" s="129">
        <v>-7494698</v>
      </c>
      <c r="AH221" s="755">
        <v>0.5</v>
      </c>
      <c r="AI221" s="755">
        <v>0.4</v>
      </c>
      <c r="AJ221" s="755">
        <v>0.09</v>
      </c>
      <c r="AK221" s="755">
        <v>0.01</v>
      </c>
      <c r="AL221" s="755">
        <v>1</v>
      </c>
      <c r="AM221" s="129">
        <v>-15402</v>
      </c>
      <c r="AN221" s="129">
        <v>-12321</v>
      </c>
      <c r="AO221" s="129">
        <v>-2772</v>
      </c>
      <c r="AP221" s="129">
        <v>-308</v>
      </c>
      <c r="AQ221" s="129">
        <v>-30803</v>
      </c>
      <c r="AR221" s="129">
        <v>-3737265</v>
      </c>
      <c r="AS221" s="129">
        <v>-2956681</v>
      </c>
      <c r="AT221" s="129">
        <v>-655378</v>
      </c>
      <c r="AU221" s="129">
        <v>-74236</v>
      </c>
      <c r="AV221" s="129">
        <v>-7423560</v>
      </c>
      <c r="AW221" s="662" t="s">
        <v>304</v>
      </c>
      <c r="AX221" s="324" t="s">
        <v>556</v>
      </c>
      <c r="AY221" s="663" t="s">
        <v>555</v>
      </c>
      <c r="AZ221" s="529" t="s">
        <v>1427</v>
      </c>
    </row>
    <row r="222" spans="1:52" ht="12.75" x14ac:dyDescent="0.2">
      <c r="A222" s="664">
        <v>215</v>
      </c>
      <c r="B222" s="665" t="s">
        <v>307</v>
      </c>
      <c r="C222" s="666" t="s">
        <v>1217</v>
      </c>
      <c r="D222" s="667" t="s">
        <v>1204</v>
      </c>
      <c r="E222" s="668" t="s">
        <v>306</v>
      </c>
      <c r="F222" s="129">
        <v>-50422025</v>
      </c>
      <c r="G222" s="129">
        <v>-10477</v>
      </c>
      <c r="H222" s="129">
        <v>32482107</v>
      </c>
      <c r="I222" s="129">
        <v>1343663</v>
      </c>
      <c r="J222" s="129">
        <v>31138444</v>
      </c>
      <c r="K222" s="129">
        <v>-19273104</v>
      </c>
      <c r="L222" s="129">
        <v>12848736</v>
      </c>
      <c r="M222" s="129">
        <v>-37573289</v>
      </c>
      <c r="N222" s="755">
        <v>0</v>
      </c>
      <c r="O222" s="755">
        <v>0.99</v>
      </c>
      <c r="P222" s="755">
        <v>0</v>
      </c>
      <c r="Q222" s="755">
        <v>0.01</v>
      </c>
      <c r="R222" s="755">
        <v>1</v>
      </c>
      <c r="S222" s="129">
        <v>0</v>
      </c>
      <c r="T222" s="129">
        <v>-10372</v>
      </c>
      <c r="U222" s="129">
        <v>0</v>
      </c>
      <c r="V222" s="129">
        <v>-105</v>
      </c>
      <c r="W222" s="129">
        <v>-10477</v>
      </c>
      <c r="X222" s="755">
        <v>0</v>
      </c>
      <c r="Y222" s="755">
        <v>0.99</v>
      </c>
      <c r="Z222" s="755">
        <v>0</v>
      </c>
      <c r="AA222" s="755">
        <v>0.01</v>
      </c>
      <c r="AB222" s="755">
        <v>1</v>
      </c>
      <c r="AC222" s="129">
        <v>0</v>
      </c>
      <c r="AD222" s="129">
        <v>-30827060</v>
      </c>
      <c r="AE222" s="129">
        <v>0</v>
      </c>
      <c r="AF222" s="129">
        <v>-311384</v>
      </c>
      <c r="AG222" s="129">
        <v>-31138444</v>
      </c>
      <c r="AH222" s="755">
        <v>0</v>
      </c>
      <c r="AI222" s="755">
        <v>0.99</v>
      </c>
      <c r="AJ222" s="755">
        <v>0</v>
      </c>
      <c r="AK222" s="755">
        <v>0.01</v>
      </c>
      <c r="AL222" s="755">
        <v>1</v>
      </c>
      <c r="AM222" s="129">
        <v>0</v>
      </c>
      <c r="AN222" s="129">
        <v>-6360124</v>
      </c>
      <c r="AO222" s="129">
        <v>0</v>
      </c>
      <c r="AP222" s="129">
        <v>-64244</v>
      </c>
      <c r="AQ222" s="129">
        <v>-6424368</v>
      </c>
      <c r="AR222" s="129">
        <v>0</v>
      </c>
      <c r="AS222" s="129">
        <v>-37197556</v>
      </c>
      <c r="AT222" s="129">
        <v>0</v>
      </c>
      <c r="AU222" s="129">
        <v>-375733</v>
      </c>
      <c r="AV222" s="129">
        <v>-37573289</v>
      </c>
      <c r="AW222" s="662" t="s">
        <v>306</v>
      </c>
      <c r="AX222" s="324" t="s">
        <v>570</v>
      </c>
      <c r="AY222" s="663" t="s">
        <v>1915</v>
      </c>
      <c r="AZ222" s="529" t="s">
        <v>1428</v>
      </c>
    </row>
    <row r="223" spans="1:52" ht="12.75" x14ac:dyDescent="0.2">
      <c r="A223" s="664">
        <v>216</v>
      </c>
      <c r="B223" s="665" t="s">
        <v>309</v>
      </c>
      <c r="C223" s="666" t="s">
        <v>1217</v>
      </c>
      <c r="D223" s="667" t="s">
        <v>1228</v>
      </c>
      <c r="E223" s="668" t="s">
        <v>308</v>
      </c>
      <c r="F223" s="129">
        <v>-46630648</v>
      </c>
      <c r="G223" s="129">
        <v>-6533426</v>
      </c>
      <c r="H223" s="129">
        <v>35888287</v>
      </c>
      <c r="I223" s="129">
        <v>1500000</v>
      </c>
      <c r="J223" s="129">
        <v>34388287</v>
      </c>
      <c r="K223" s="129">
        <v>-5708935</v>
      </c>
      <c r="L223" s="129">
        <v>3805957</v>
      </c>
      <c r="M223" s="129">
        <v>-42824692</v>
      </c>
      <c r="N223" s="755">
        <v>0</v>
      </c>
      <c r="O223" s="755">
        <v>0.99</v>
      </c>
      <c r="P223" s="755">
        <v>0</v>
      </c>
      <c r="Q223" s="755">
        <v>0.01</v>
      </c>
      <c r="R223" s="755">
        <v>1</v>
      </c>
      <c r="S223" s="129">
        <v>0</v>
      </c>
      <c r="T223" s="129">
        <v>-6468092</v>
      </c>
      <c r="U223" s="129">
        <v>0</v>
      </c>
      <c r="V223" s="129">
        <v>-65334</v>
      </c>
      <c r="W223" s="129">
        <v>-6533426</v>
      </c>
      <c r="X223" s="755">
        <v>0</v>
      </c>
      <c r="Y223" s="755">
        <v>0.99</v>
      </c>
      <c r="Z223" s="755">
        <v>0</v>
      </c>
      <c r="AA223" s="755">
        <v>0.01</v>
      </c>
      <c r="AB223" s="755">
        <v>1</v>
      </c>
      <c r="AC223" s="129">
        <v>0</v>
      </c>
      <c r="AD223" s="129">
        <v>-34044404</v>
      </c>
      <c r="AE223" s="129">
        <v>0</v>
      </c>
      <c r="AF223" s="129">
        <v>-343883</v>
      </c>
      <c r="AG223" s="129">
        <v>-34388287</v>
      </c>
      <c r="AH223" s="755">
        <v>0</v>
      </c>
      <c r="AI223" s="755">
        <v>0.99</v>
      </c>
      <c r="AJ223" s="755">
        <v>0</v>
      </c>
      <c r="AK223" s="755">
        <v>0.01</v>
      </c>
      <c r="AL223" s="755">
        <v>1</v>
      </c>
      <c r="AM223" s="129">
        <v>0</v>
      </c>
      <c r="AN223" s="129">
        <v>-1883949</v>
      </c>
      <c r="AO223" s="129">
        <v>0</v>
      </c>
      <c r="AP223" s="129">
        <v>-19030</v>
      </c>
      <c r="AQ223" s="129">
        <v>-1902978</v>
      </c>
      <c r="AR223" s="129">
        <v>0</v>
      </c>
      <c r="AS223" s="129">
        <v>-42396445</v>
      </c>
      <c r="AT223" s="129">
        <v>0</v>
      </c>
      <c r="AU223" s="129">
        <v>-428247</v>
      </c>
      <c r="AV223" s="129">
        <v>-42824692</v>
      </c>
      <c r="AW223" s="662" t="s">
        <v>308</v>
      </c>
      <c r="AX223" s="324" t="s">
        <v>570</v>
      </c>
      <c r="AY223" s="663" t="s">
        <v>574</v>
      </c>
      <c r="AZ223" s="529" t="s">
        <v>1429</v>
      </c>
    </row>
    <row r="224" spans="1:52" ht="12.75" x14ac:dyDescent="0.2">
      <c r="A224" s="664">
        <v>217</v>
      </c>
      <c r="B224" s="665" t="s">
        <v>311</v>
      </c>
      <c r="C224" s="666" t="s">
        <v>1201</v>
      </c>
      <c r="D224" s="667" t="s">
        <v>1218</v>
      </c>
      <c r="E224" s="668" t="s">
        <v>310</v>
      </c>
      <c r="F224" s="129">
        <v>-21604783</v>
      </c>
      <c r="G224" s="129">
        <v>506218</v>
      </c>
      <c r="H224" s="129">
        <v>24636155</v>
      </c>
      <c r="I224" s="129">
        <v>1533089</v>
      </c>
      <c r="J224" s="129">
        <v>23103066</v>
      </c>
      <c r="K224" s="129">
        <v>992065</v>
      </c>
      <c r="L224" s="129">
        <v>0</v>
      </c>
      <c r="M224" s="129">
        <v>-21604783</v>
      </c>
      <c r="N224" s="755">
        <v>0.25</v>
      </c>
      <c r="O224" s="755">
        <v>0.52500000000000002</v>
      </c>
      <c r="P224" s="755">
        <v>0.215</v>
      </c>
      <c r="Q224" s="755">
        <v>0.01</v>
      </c>
      <c r="R224" s="755">
        <v>1</v>
      </c>
      <c r="S224" s="129">
        <v>126555</v>
      </c>
      <c r="T224" s="129">
        <v>265764</v>
      </c>
      <c r="U224" s="129">
        <v>108837</v>
      </c>
      <c r="V224" s="129">
        <v>5062</v>
      </c>
      <c r="W224" s="129">
        <v>506218</v>
      </c>
      <c r="X224" s="755">
        <v>0.5</v>
      </c>
      <c r="Y224" s="755">
        <v>0.4</v>
      </c>
      <c r="Z224" s="755">
        <v>0.09</v>
      </c>
      <c r="AA224" s="755">
        <v>0.01</v>
      </c>
      <c r="AB224" s="755">
        <v>1</v>
      </c>
      <c r="AC224" s="129">
        <v>-11055501</v>
      </c>
      <c r="AD224" s="129">
        <v>-8844400</v>
      </c>
      <c r="AE224" s="129">
        <v>-1989990</v>
      </c>
      <c r="AF224" s="129">
        <v>-221110</v>
      </c>
      <c r="AG224" s="129">
        <v>-22111001</v>
      </c>
      <c r="AH224" s="755">
        <v>0.5</v>
      </c>
      <c r="AI224" s="755">
        <v>0.4</v>
      </c>
      <c r="AJ224" s="755">
        <v>0.09</v>
      </c>
      <c r="AK224" s="755">
        <v>0.01</v>
      </c>
      <c r="AL224" s="755">
        <v>1</v>
      </c>
      <c r="AM224" s="129">
        <v>0</v>
      </c>
      <c r="AN224" s="129">
        <v>0</v>
      </c>
      <c r="AO224" s="129">
        <v>0</v>
      </c>
      <c r="AP224" s="129">
        <v>0</v>
      </c>
      <c r="AQ224" s="129">
        <v>0</v>
      </c>
      <c r="AR224" s="129">
        <v>-10928946</v>
      </c>
      <c r="AS224" s="129">
        <v>-8578636</v>
      </c>
      <c r="AT224" s="129">
        <v>-1881153</v>
      </c>
      <c r="AU224" s="129">
        <v>-216048</v>
      </c>
      <c r="AV224" s="129">
        <v>-21604783</v>
      </c>
      <c r="AW224" s="662" t="s">
        <v>310</v>
      </c>
      <c r="AX224" s="324" t="s">
        <v>556</v>
      </c>
      <c r="AY224" s="663" t="s">
        <v>555</v>
      </c>
      <c r="AZ224" s="529" t="s">
        <v>1430</v>
      </c>
    </row>
    <row r="225" spans="1:52" ht="12.75" x14ac:dyDescent="0.2">
      <c r="A225" s="664">
        <v>218</v>
      </c>
      <c r="B225" s="665" t="s">
        <v>313</v>
      </c>
      <c r="C225" s="666" t="s">
        <v>1201</v>
      </c>
      <c r="D225" s="667" t="s">
        <v>1224</v>
      </c>
      <c r="E225" s="668" t="s">
        <v>312</v>
      </c>
      <c r="F225" s="129">
        <v>-21230160</v>
      </c>
      <c r="G225" s="129">
        <v>-243155</v>
      </c>
      <c r="H225" s="129">
        <v>19508522</v>
      </c>
      <c r="I225" s="129">
        <v>733735</v>
      </c>
      <c r="J225" s="129">
        <v>18774787</v>
      </c>
      <c r="K225" s="129">
        <v>-2212218</v>
      </c>
      <c r="L225" s="129">
        <v>1474812</v>
      </c>
      <c r="M225" s="129">
        <v>-19755348</v>
      </c>
      <c r="N225" s="755">
        <v>0.25</v>
      </c>
      <c r="O225" s="755">
        <v>0.44</v>
      </c>
      <c r="P225" s="755">
        <v>0.3</v>
      </c>
      <c r="Q225" s="755">
        <v>0.01</v>
      </c>
      <c r="R225" s="755">
        <v>1</v>
      </c>
      <c r="S225" s="129">
        <v>-60789</v>
      </c>
      <c r="T225" s="129">
        <v>-106988</v>
      </c>
      <c r="U225" s="129">
        <v>-72947</v>
      </c>
      <c r="V225" s="129">
        <v>-2432</v>
      </c>
      <c r="W225" s="129">
        <v>-243155</v>
      </c>
      <c r="X225" s="755">
        <v>0.5</v>
      </c>
      <c r="Y225" s="755">
        <v>0.4</v>
      </c>
      <c r="Z225" s="755">
        <v>0.09</v>
      </c>
      <c r="AA225" s="755">
        <v>0.01</v>
      </c>
      <c r="AB225" s="755">
        <v>1</v>
      </c>
      <c r="AC225" s="129">
        <v>-9387394</v>
      </c>
      <c r="AD225" s="129">
        <v>-7509915</v>
      </c>
      <c r="AE225" s="129">
        <v>-1689731</v>
      </c>
      <c r="AF225" s="129">
        <v>-187748</v>
      </c>
      <c r="AG225" s="129">
        <v>-18774787</v>
      </c>
      <c r="AH225" s="755">
        <v>0.5</v>
      </c>
      <c r="AI225" s="755">
        <v>0.4</v>
      </c>
      <c r="AJ225" s="755">
        <v>0.09</v>
      </c>
      <c r="AK225" s="755">
        <v>0.01</v>
      </c>
      <c r="AL225" s="755">
        <v>1</v>
      </c>
      <c r="AM225" s="129">
        <v>-368703</v>
      </c>
      <c r="AN225" s="129">
        <v>-294962</v>
      </c>
      <c r="AO225" s="129">
        <v>-66367</v>
      </c>
      <c r="AP225" s="129">
        <v>-7374</v>
      </c>
      <c r="AQ225" s="129">
        <v>-737406</v>
      </c>
      <c r="AR225" s="129">
        <v>-9816885</v>
      </c>
      <c r="AS225" s="129">
        <v>-7911865</v>
      </c>
      <c r="AT225" s="129">
        <v>-1829044</v>
      </c>
      <c r="AU225" s="129">
        <v>-197553</v>
      </c>
      <c r="AV225" s="129">
        <v>-19755348</v>
      </c>
      <c r="AW225" s="662" t="s">
        <v>312</v>
      </c>
      <c r="AX225" s="324" t="s">
        <v>562</v>
      </c>
      <c r="AY225" s="663" t="s">
        <v>519</v>
      </c>
      <c r="AZ225" s="529" t="s">
        <v>1431</v>
      </c>
    </row>
    <row r="226" spans="1:52" ht="12.75" x14ac:dyDescent="0.2">
      <c r="A226" s="664">
        <v>219</v>
      </c>
      <c r="B226" s="665" t="s">
        <v>315</v>
      </c>
      <c r="C226" s="666" t="s">
        <v>1217</v>
      </c>
      <c r="D226" s="667" t="s">
        <v>1204</v>
      </c>
      <c r="E226" s="668" t="s">
        <v>314</v>
      </c>
      <c r="F226" s="129">
        <v>-42504749</v>
      </c>
      <c r="G226" s="129">
        <v>1129926</v>
      </c>
      <c r="H226" s="129">
        <v>41434764</v>
      </c>
      <c r="I226" s="129">
        <v>2747687</v>
      </c>
      <c r="J226" s="129">
        <v>38687077</v>
      </c>
      <c r="K226" s="129">
        <v>-4947598</v>
      </c>
      <c r="L226" s="129">
        <v>3298399</v>
      </c>
      <c r="M226" s="129">
        <v>-39206350</v>
      </c>
      <c r="N226" s="755">
        <v>0</v>
      </c>
      <c r="O226" s="755">
        <v>0.99</v>
      </c>
      <c r="P226" s="755">
        <v>0</v>
      </c>
      <c r="Q226" s="755">
        <v>0.01</v>
      </c>
      <c r="R226" s="755">
        <v>1</v>
      </c>
      <c r="S226" s="129">
        <v>0</v>
      </c>
      <c r="T226" s="129">
        <v>1118627</v>
      </c>
      <c r="U226" s="129">
        <v>0</v>
      </c>
      <c r="V226" s="129">
        <v>11299</v>
      </c>
      <c r="W226" s="129">
        <v>1129926</v>
      </c>
      <c r="X226" s="755">
        <v>0</v>
      </c>
      <c r="Y226" s="755">
        <v>0.99</v>
      </c>
      <c r="Z226" s="755">
        <v>0</v>
      </c>
      <c r="AA226" s="755">
        <v>0.01</v>
      </c>
      <c r="AB226" s="755">
        <v>1</v>
      </c>
      <c r="AC226" s="129">
        <v>0</v>
      </c>
      <c r="AD226" s="129">
        <v>-38300206</v>
      </c>
      <c r="AE226" s="129">
        <v>0</v>
      </c>
      <c r="AF226" s="129">
        <v>-386871</v>
      </c>
      <c r="AG226" s="129">
        <v>-38687077</v>
      </c>
      <c r="AH226" s="755">
        <v>0</v>
      </c>
      <c r="AI226" s="755">
        <v>0.99</v>
      </c>
      <c r="AJ226" s="755">
        <v>0</v>
      </c>
      <c r="AK226" s="755">
        <v>0.01</v>
      </c>
      <c r="AL226" s="755">
        <v>1</v>
      </c>
      <c r="AM226" s="129">
        <v>0</v>
      </c>
      <c r="AN226" s="129">
        <v>-1632707</v>
      </c>
      <c r="AO226" s="129">
        <v>0</v>
      </c>
      <c r="AP226" s="129">
        <v>-16492</v>
      </c>
      <c r="AQ226" s="129">
        <v>-1649199</v>
      </c>
      <c r="AR226" s="129">
        <v>0</v>
      </c>
      <c r="AS226" s="129">
        <v>-38814287</v>
      </c>
      <c r="AT226" s="129">
        <v>0</v>
      </c>
      <c r="AU226" s="129">
        <v>-392064</v>
      </c>
      <c r="AV226" s="129">
        <v>-39206350</v>
      </c>
      <c r="AW226" s="662" t="s">
        <v>314</v>
      </c>
      <c r="AX226" s="324" t="s">
        <v>570</v>
      </c>
      <c r="AY226" s="663" t="s">
        <v>571</v>
      </c>
      <c r="AZ226" s="529" t="s">
        <v>1432</v>
      </c>
    </row>
    <row r="227" spans="1:52" ht="12.75" x14ac:dyDescent="0.2">
      <c r="A227" s="664">
        <v>220</v>
      </c>
      <c r="B227" s="665" t="s">
        <v>317</v>
      </c>
      <c r="C227" s="666" t="s">
        <v>1201</v>
      </c>
      <c r="D227" s="667" t="s">
        <v>1218</v>
      </c>
      <c r="E227" s="668" t="s">
        <v>316</v>
      </c>
      <c r="F227" s="129">
        <v>-8787388</v>
      </c>
      <c r="G227" s="129">
        <v>-895775</v>
      </c>
      <c r="H227" s="129">
        <v>7068220</v>
      </c>
      <c r="I227" s="129">
        <v>511749</v>
      </c>
      <c r="J227" s="129">
        <v>6556471</v>
      </c>
      <c r="K227" s="129">
        <v>-1335142</v>
      </c>
      <c r="L227" s="129">
        <v>890095</v>
      </c>
      <c r="M227" s="129">
        <v>-7897293</v>
      </c>
      <c r="N227" s="755">
        <v>0.25</v>
      </c>
      <c r="O227" s="755">
        <v>0.52500000000000002</v>
      </c>
      <c r="P227" s="755">
        <v>0.215</v>
      </c>
      <c r="Q227" s="755">
        <v>0.01</v>
      </c>
      <c r="R227" s="755">
        <v>1</v>
      </c>
      <c r="S227" s="129">
        <v>-223944</v>
      </c>
      <c r="T227" s="129">
        <v>-470282</v>
      </c>
      <c r="U227" s="129">
        <v>-192592</v>
      </c>
      <c r="V227" s="129">
        <v>-8958</v>
      </c>
      <c r="W227" s="129">
        <v>-895775</v>
      </c>
      <c r="X227" s="755">
        <v>0.5</v>
      </c>
      <c r="Y227" s="755">
        <v>0.4</v>
      </c>
      <c r="Z227" s="755">
        <v>0.09</v>
      </c>
      <c r="AA227" s="755">
        <v>0.01</v>
      </c>
      <c r="AB227" s="755">
        <v>1</v>
      </c>
      <c r="AC227" s="129">
        <v>-3278236</v>
      </c>
      <c r="AD227" s="129">
        <v>-2622588</v>
      </c>
      <c r="AE227" s="129">
        <v>-590082</v>
      </c>
      <c r="AF227" s="129">
        <v>-65565</v>
      </c>
      <c r="AG227" s="129">
        <v>-6556471</v>
      </c>
      <c r="AH227" s="755">
        <v>0.5</v>
      </c>
      <c r="AI227" s="755">
        <v>0.4</v>
      </c>
      <c r="AJ227" s="755">
        <v>0.09</v>
      </c>
      <c r="AK227" s="755">
        <v>0.01</v>
      </c>
      <c r="AL227" s="755">
        <v>1</v>
      </c>
      <c r="AM227" s="129">
        <v>-222524</v>
      </c>
      <c r="AN227" s="129">
        <v>-178019</v>
      </c>
      <c r="AO227" s="129">
        <v>-40054</v>
      </c>
      <c r="AP227" s="129">
        <v>-4450</v>
      </c>
      <c r="AQ227" s="129">
        <v>-445047</v>
      </c>
      <c r="AR227" s="129">
        <v>-3724703</v>
      </c>
      <c r="AS227" s="129">
        <v>-3270889</v>
      </c>
      <c r="AT227" s="129">
        <v>-822728</v>
      </c>
      <c r="AU227" s="129">
        <v>-78973</v>
      </c>
      <c r="AV227" s="129">
        <v>-7897293</v>
      </c>
      <c r="AW227" s="662" t="s">
        <v>316</v>
      </c>
      <c r="AX227" s="324" t="s">
        <v>556</v>
      </c>
      <c r="AY227" s="663" t="s">
        <v>555</v>
      </c>
      <c r="AZ227" s="529" t="s">
        <v>1433</v>
      </c>
    </row>
    <row r="228" spans="1:52" ht="12.75" x14ac:dyDescent="0.2">
      <c r="A228" s="664">
        <v>221</v>
      </c>
      <c r="B228" s="665" t="s">
        <v>319</v>
      </c>
      <c r="C228" s="666" t="s">
        <v>1201</v>
      </c>
      <c r="D228" s="667" t="s">
        <v>1202</v>
      </c>
      <c r="E228" s="668" t="s">
        <v>318</v>
      </c>
      <c r="F228" s="129">
        <v>-17422375</v>
      </c>
      <c r="G228" s="129">
        <v>-31757</v>
      </c>
      <c r="H228" s="129">
        <v>17580523</v>
      </c>
      <c r="I228" s="129">
        <v>993589</v>
      </c>
      <c r="J228" s="129">
        <v>16586934</v>
      </c>
      <c r="K228" s="129">
        <v>-803684</v>
      </c>
      <c r="L228" s="129">
        <v>535789</v>
      </c>
      <c r="M228" s="129">
        <v>-16886585</v>
      </c>
      <c r="N228" s="755">
        <v>0.5</v>
      </c>
      <c r="O228" s="755">
        <v>0.4</v>
      </c>
      <c r="P228" s="755">
        <v>0.09</v>
      </c>
      <c r="Q228" s="755">
        <v>0.01</v>
      </c>
      <c r="R228" s="755">
        <v>1</v>
      </c>
      <c r="S228" s="129">
        <v>-15878</v>
      </c>
      <c r="T228" s="129">
        <v>-12703</v>
      </c>
      <c r="U228" s="129">
        <v>-2858</v>
      </c>
      <c r="V228" s="129">
        <v>-318</v>
      </c>
      <c r="W228" s="129">
        <v>-31757</v>
      </c>
      <c r="X228" s="755">
        <v>0.5</v>
      </c>
      <c r="Y228" s="755">
        <v>0.4</v>
      </c>
      <c r="Z228" s="755">
        <v>0.09</v>
      </c>
      <c r="AA228" s="755">
        <v>0.01</v>
      </c>
      <c r="AB228" s="755">
        <v>1</v>
      </c>
      <c r="AC228" s="129">
        <v>-8293467</v>
      </c>
      <c r="AD228" s="129">
        <v>-6634774</v>
      </c>
      <c r="AE228" s="129">
        <v>-1492824</v>
      </c>
      <c r="AF228" s="129">
        <v>-165869</v>
      </c>
      <c r="AG228" s="129">
        <v>-16586934</v>
      </c>
      <c r="AH228" s="755">
        <v>0.5</v>
      </c>
      <c r="AI228" s="755">
        <v>0.4</v>
      </c>
      <c r="AJ228" s="755">
        <v>0.09</v>
      </c>
      <c r="AK228" s="755">
        <v>0.01</v>
      </c>
      <c r="AL228" s="755">
        <v>1</v>
      </c>
      <c r="AM228" s="129">
        <v>-133947</v>
      </c>
      <c r="AN228" s="129">
        <v>-107158</v>
      </c>
      <c r="AO228" s="129">
        <v>-24111</v>
      </c>
      <c r="AP228" s="129">
        <v>-2679</v>
      </c>
      <c r="AQ228" s="129">
        <v>-267895</v>
      </c>
      <c r="AR228" s="129">
        <v>-8443293</v>
      </c>
      <c r="AS228" s="129">
        <v>-6754634</v>
      </c>
      <c r="AT228" s="129">
        <v>-1519793</v>
      </c>
      <c r="AU228" s="129">
        <v>-168866</v>
      </c>
      <c r="AV228" s="129">
        <v>-16886585</v>
      </c>
      <c r="AW228" s="662" t="s">
        <v>318</v>
      </c>
      <c r="AX228" s="324" t="s">
        <v>543</v>
      </c>
      <c r="AY228" s="663" t="s">
        <v>542</v>
      </c>
      <c r="AZ228" s="529" t="s">
        <v>1434</v>
      </c>
    </row>
    <row r="229" spans="1:52" ht="12.75" x14ac:dyDescent="0.2">
      <c r="A229" s="664">
        <v>222</v>
      </c>
      <c r="B229" s="665" t="s">
        <v>321</v>
      </c>
      <c r="C229" s="666" t="s">
        <v>1217</v>
      </c>
      <c r="D229" s="667" t="s">
        <v>1218</v>
      </c>
      <c r="E229" s="668" t="s">
        <v>320</v>
      </c>
      <c r="F229" s="129">
        <v>-95754741</v>
      </c>
      <c r="G229" s="129">
        <v>25040896</v>
      </c>
      <c r="H229" s="129">
        <v>119127083</v>
      </c>
      <c r="I229" s="129">
        <v>4535899</v>
      </c>
      <c r="J229" s="129">
        <v>114591184</v>
      </c>
      <c r="K229" s="129">
        <v>-6204453</v>
      </c>
      <c r="L229" s="129">
        <v>4136302</v>
      </c>
      <c r="M229" s="129">
        <v>-91618439</v>
      </c>
      <c r="N229" s="755">
        <v>0.5</v>
      </c>
      <c r="O229" s="755">
        <v>0.49</v>
      </c>
      <c r="P229" s="755">
        <v>0</v>
      </c>
      <c r="Q229" s="755">
        <v>0.01</v>
      </c>
      <c r="R229" s="755">
        <v>1</v>
      </c>
      <c r="S229" s="129">
        <v>12520448</v>
      </c>
      <c r="T229" s="129">
        <v>12270039</v>
      </c>
      <c r="U229" s="129">
        <v>0</v>
      </c>
      <c r="V229" s="129">
        <v>250409</v>
      </c>
      <c r="W229" s="129">
        <v>25040896</v>
      </c>
      <c r="X229" s="755">
        <v>0.5</v>
      </c>
      <c r="Y229" s="755">
        <v>0.49</v>
      </c>
      <c r="Z229" s="755">
        <v>0</v>
      </c>
      <c r="AA229" s="755">
        <v>0.01</v>
      </c>
      <c r="AB229" s="755">
        <v>1</v>
      </c>
      <c r="AC229" s="129">
        <v>-57295592</v>
      </c>
      <c r="AD229" s="129">
        <v>-56149680</v>
      </c>
      <c r="AE229" s="129">
        <v>0</v>
      </c>
      <c r="AF229" s="129">
        <v>-1145912</v>
      </c>
      <c r="AG229" s="129">
        <v>-114591184</v>
      </c>
      <c r="AH229" s="755">
        <v>0.5</v>
      </c>
      <c r="AI229" s="755">
        <v>0.49</v>
      </c>
      <c r="AJ229" s="755">
        <v>0</v>
      </c>
      <c r="AK229" s="755">
        <v>0.01</v>
      </c>
      <c r="AL229" s="755">
        <v>1</v>
      </c>
      <c r="AM229" s="129">
        <v>-1034076</v>
      </c>
      <c r="AN229" s="129">
        <v>-1013394</v>
      </c>
      <c r="AO229" s="129">
        <v>0</v>
      </c>
      <c r="AP229" s="129">
        <v>-20682</v>
      </c>
      <c r="AQ229" s="129">
        <v>-2068151</v>
      </c>
      <c r="AR229" s="129">
        <v>-45809220</v>
      </c>
      <c r="AS229" s="129">
        <v>-44893035</v>
      </c>
      <c r="AT229" s="129">
        <v>0</v>
      </c>
      <c r="AU229" s="129">
        <v>-916184</v>
      </c>
      <c r="AV229" s="129">
        <v>-91618439</v>
      </c>
      <c r="AW229" s="662" t="s">
        <v>320</v>
      </c>
      <c r="AX229" s="324" t="s">
        <v>570</v>
      </c>
      <c r="AY229" s="663" t="s">
        <v>572</v>
      </c>
      <c r="AZ229" s="529" t="s">
        <v>1435</v>
      </c>
    </row>
    <row r="230" spans="1:52" ht="12.75" x14ac:dyDescent="0.2">
      <c r="A230" s="664">
        <v>223</v>
      </c>
      <c r="B230" s="665" t="s">
        <v>324</v>
      </c>
      <c r="C230" s="666" t="s">
        <v>486</v>
      </c>
      <c r="D230" s="667" t="s">
        <v>1228</v>
      </c>
      <c r="E230" s="668" t="s">
        <v>323</v>
      </c>
      <c r="F230" s="129">
        <v>-43978490</v>
      </c>
      <c r="G230" s="129">
        <v>134014</v>
      </c>
      <c r="H230" s="129">
        <v>45129198</v>
      </c>
      <c r="I230" s="129">
        <v>2045967</v>
      </c>
      <c r="J230" s="129">
        <v>43083231</v>
      </c>
      <c r="K230" s="129">
        <v>-1029273</v>
      </c>
      <c r="L230" s="129">
        <v>686182</v>
      </c>
      <c r="M230" s="129">
        <v>-43292308</v>
      </c>
      <c r="N230" s="755">
        <v>0.5</v>
      </c>
      <c r="O230" s="755">
        <v>0.49</v>
      </c>
      <c r="P230" s="755">
        <v>0</v>
      </c>
      <c r="Q230" s="755">
        <v>0.01</v>
      </c>
      <c r="R230" s="755">
        <v>1</v>
      </c>
      <c r="S230" s="129">
        <v>67007</v>
      </c>
      <c r="T230" s="129">
        <v>65667</v>
      </c>
      <c r="U230" s="129">
        <v>0</v>
      </c>
      <c r="V230" s="129">
        <v>1340</v>
      </c>
      <c r="W230" s="129">
        <v>134014</v>
      </c>
      <c r="X230" s="755">
        <v>0.5</v>
      </c>
      <c r="Y230" s="755">
        <v>0.49</v>
      </c>
      <c r="Z230" s="755">
        <v>0</v>
      </c>
      <c r="AA230" s="755">
        <v>0.01</v>
      </c>
      <c r="AB230" s="755">
        <v>1</v>
      </c>
      <c r="AC230" s="129">
        <v>-21541616</v>
      </c>
      <c r="AD230" s="129">
        <v>-21110783</v>
      </c>
      <c r="AE230" s="129">
        <v>0</v>
      </c>
      <c r="AF230" s="129">
        <v>-430832</v>
      </c>
      <c r="AG230" s="129">
        <v>-43083231</v>
      </c>
      <c r="AH230" s="755">
        <v>0.5</v>
      </c>
      <c r="AI230" s="755">
        <v>0.49</v>
      </c>
      <c r="AJ230" s="755">
        <v>0</v>
      </c>
      <c r="AK230" s="755">
        <v>0.01</v>
      </c>
      <c r="AL230" s="755">
        <v>1</v>
      </c>
      <c r="AM230" s="129">
        <v>-171546</v>
      </c>
      <c r="AN230" s="129">
        <v>-168115</v>
      </c>
      <c r="AO230" s="129">
        <v>0</v>
      </c>
      <c r="AP230" s="129">
        <v>-3431</v>
      </c>
      <c r="AQ230" s="129">
        <v>-343091</v>
      </c>
      <c r="AR230" s="129">
        <v>-21646154</v>
      </c>
      <c r="AS230" s="129">
        <v>-21213231</v>
      </c>
      <c r="AT230" s="129">
        <v>0</v>
      </c>
      <c r="AU230" s="129">
        <v>-432923</v>
      </c>
      <c r="AV230" s="129">
        <v>-43292308</v>
      </c>
      <c r="AW230" s="662" t="s">
        <v>323</v>
      </c>
      <c r="AX230" s="324" t="s">
        <v>486</v>
      </c>
      <c r="AY230" s="663" t="s">
        <v>561</v>
      </c>
      <c r="AZ230" s="529" t="s">
        <v>1436</v>
      </c>
    </row>
    <row r="231" spans="1:52" ht="12.75" x14ac:dyDescent="0.2">
      <c r="A231" s="664">
        <v>224</v>
      </c>
      <c r="B231" s="665" t="s">
        <v>325</v>
      </c>
      <c r="C231" s="666" t="s">
        <v>486</v>
      </c>
      <c r="D231" s="667" t="s">
        <v>1202</v>
      </c>
      <c r="E231" s="668" t="s">
        <v>497</v>
      </c>
      <c r="F231" s="129">
        <v>-44142134</v>
      </c>
      <c r="G231" s="129">
        <v>-7123407</v>
      </c>
      <c r="H231" s="129">
        <v>31880791</v>
      </c>
      <c r="I231" s="129">
        <v>1391552</v>
      </c>
      <c r="J231" s="129">
        <v>30489239</v>
      </c>
      <c r="K231" s="129">
        <v>-6529488</v>
      </c>
      <c r="L231" s="129">
        <v>4352992</v>
      </c>
      <c r="M231" s="129">
        <v>-39789142</v>
      </c>
      <c r="N231" s="755">
        <v>0.25</v>
      </c>
      <c r="O231" s="755">
        <v>0.74</v>
      </c>
      <c r="P231" s="755">
        <v>0</v>
      </c>
      <c r="Q231" s="755">
        <v>0.01</v>
      </c>
      <c r="R231" s="755">
        <v>1</v>
      </c>
      <c r="S231" s="129">
        <v>-1780852</v>
      </c>
      <c r="T231" s="129">
        <v>-5271321</v>
      </c>
      <c r="U231" s="129">
        <v>0</v>
      </c>
      <c r="V231" s="129">
        <v>-71234</v>
      </c>
      <c r="W231" s="129">
        <v>-7123407</v>
      </c>
      <c r="X231" s="755">
        <v>0.5</v>
      </c>
      <c r="Y231" s="755">
        <v>0.49</v>
      </c>
      <c r="Z231" s="755">
        <v>0</v>
      </c>
      <c r="AA231" s="755">
        <v>0.01</v>
      </c>
      <c r="AB231" s="755">
        <v>1</v>
      </c>
      <c r="AC231" s="129">
        <v>-15244620</v>
      </c>
      <c r="AD231" s="129">
        <v>-14939727</v>
      </c>
      <c r="AE231" s="129">
        <v>0</v>
      </c>
      <c r="AF231" s="129">
        <v>-304892</v>
      </c>
      <c r="AG231" s="129">
        <v>-30489239</v>
      </c>
      <c r="AH231" s="755">
        <v>0.5</v>
      </c>
      <c r="AI231" s="755">
        <v>0.49</v>
      </c>
      <c r="AJ231" s="755">
        <v>0</v>
      </c>
      <c r="AK231" s="755">
        <v>0.01</v>
      </c>
      <c r="AL231" s="755">
        <v>1</v>
      </c>
      <c r="AM231" s="129">
        <v>-1088248</v>
      </c>
      <c r="AN231" s="129">
        <v>-1066483</v>
      </c>
      <c r="AO231" s="129">
        <v>0</v>
      </c>
      <c r="AP231" s="129">
        <v>-21765</v>
      </c>
      <c r="AQ231" s="129">
        <v>-2176496</v>
      </c>
      <c r="AR231" s="129">
        <v>-18113719</v>
      </c>
      <c r="AS231" s="129">
        <v>-21277531</v>
      </c>
      <c r="AT231" s="129">
        <v>0</v>
      </c>
      <c r="AU231" s="129">
        <v>-397891</v>
      </c>
      <c r="AV231" s="129">
        <v>-39789142</v>
      </c>
      <c r="AW231" s="662" t="s">
        <v>497</v>
      </c>
      <c r="AX231" s="324" t="s">
        <v>486</v>
      </c>
      <c r="AY231" s="663" t="s">
        <v>494</v>
      </c>
      <c r="AZ231" s="529" t="s">
        <v>1437</v>
      </c>
    </row>
    <row r="232" spans="1:52" ht="12.75" x14ac:dyDescent="0.2">
      <c r="A232" s="664">
        <v>225</v>
      </c>
      <c r="B232" s="665" t="s">
        <v>327</v>
      </c>
      <c r="C232" s="666" t="s">
        <v>1217</v>
      </c>
      <c r="D232" s="667" t="s">
        <v>1228</v>
      </c>
      <c r="E232" s="668" t="s">
        <v>326</v>
      </c>
      <c r="F232" s="129">
        <v>-63606772</v>
      </c>
      <c r="G232" s="129">
        <v>921913</v>
      </c>
      <c r="H232" s="129">
        <v>55211029</v>
      </c>
      <c r="I232" s="129">
        <v>1425903</v>
      </c>
      <c r="J232" s="129">
        <v>53785126</v>
      </c>
      <c r="K232" s="129">
        <v>-10743559</v>
      </c>
      <c r="L232" s="129">
        <v>7162373</v>
      </c>
      <c r="M232" s="129">
        <v>-56444399</v>
      </c>
      <c r="N232" s="755">
        <v>0</v>
      </c>
      <c r="O232" s="755">
        <v>0.99</v>
      </c>
      <c r="P232" s="755">
        <v>0</v>
      </c>
      <c r="Q232" s="755">
        <v>0.01</v>
      </c>
      <c r="R232" s="755">
        <v>1</v>
      </c>
      <c r="S232" s="129">
        <v>0</v>
      </c>
      <c r="T232" s="129">
        <v>912694</v>
      </c>
      <c r="U232" s="129">
        <v>0</v>
      </c>
      <c r="V232" s="129">
        <v>9219</v>
      </c>
      <c r="W232" s="129">
        <v>921913</v>
      </c>
      <c r="X232" s="755">
        <v>0</v>
      </c>
      <c r="Y232" s="755">
        <v>0.99</v>
      </c>
      <c r="Z232" s="755">
        <v>0</v>
      </c>
      <c r="AA232" s="755">
        <v>0.01</v>
      </c>
      <c r="AB232" s="755">
        <v>1</v>
      </c>
      <c r="AC232" s="129">
        <v>0</v>
      </c>
      <c r="AD232" s="129">
        <v>-53247275</v>
      </c>
      <c r="AE232" s="129">
        <v>0</v>
      </c>
      <c r="AF232" s="129">
        <v>-537851</v>
      </c>
      <c r="AG232" s="129">
        <v>-53785126</v>
      </c>
      <c r="AH232" s="755">
        <v>0</v>
      </c>
      <c r="AI232" s="755">
        <v>0.99</v>
      </c>
      <c r="AJ232" s="755">
        <v>0</v>
      </c>
      <c r="AK232" s="755">
        <v>0.01</v>
      </c>
      <c r="AL232" s="755">
        <v>1</v>
      </c>
      <c r="AM232" s="129">
        <v>0</v>
      </c>
      <c r="AN232" s="129">
        <v>-3545374</v>
      </c>
      <c r="AO232" s="129">
        <v>0</v>
      </c>
      <c r="AP232" s="129">
        <v>-35812</v>
      </c>
      <c r="AQ232" s="129">
        <v>-3581186</v>
      </c>
      <c r="AR232" s="129">
        <v>0</v>
      </c>
      <c r="AS232" s="129">
        <v>-55879955</v>
      </c>
      <c r="AT232" s="129">
        <v>0</v>
      </c>
      <c r="AU232" s="129">
        <v>-564444</v>
      </c>
      <c r="AV232" s="129">
        <v>-56444399</v>
      </c>
      <c r="AW232" s="662" t="s">
        <v>326</v>
      </c>
      <c r="AX232" s="324" t="s">
        <v>570</v>
      </c>
      <c r="AY232" s="663" t="s">
        <v>574</v>
      </c>
      <c r="AZ232" s="529" t="s">
        <v>1438</v>
      </c>
    </row>
    <row r="233" spans="1:52" ht="12.75" x14ac:dyDescent="0.2">
      <c r="A233" s="664">
        <v>226</v>
      </c>
      <c r="B233" s="665" t="s">
        <v>1023</v>
      </c>
      <c r="C233" s="666" t="s">
        <v>1201</v>
      </c>
      <c r="D233" s="667" t="s">
        <v>1224</v>
      </c>
      <c r="E233" s="668" t="s">
        <v>1022</v>
      </c>
      <c r="F233" s="129">
        <v>-38022966</v>
      </c>
      <c r="G233" s="129">
        <v>-243044</v>
      </c>
      <c r="H233" s="129">
        <v>28788248</v>
      </c>
      <c r="I233" s="129">
        <v>993373</v>
      </c>
      <c r="J233" s="129">
        <v>27794875</v>
      </c>
      <c r="K233" s="129">
        <v>-9985047</v>
      </c>
      <c r="L233" s="129">
        <v>6656698</v>
      </c>
      <c r="M233" s="129">
        <v>-31366268</v>
      </c>
      <c r="N233" s="755">
        <v>0.25</v>
      </c>
      <c r="O233" s="755">
        <v>0.44</v>
      </c>
      <c r="P233" s="755">
        <v>0.3</v>
      </c>
      <c r="Q233" s="755">
        <v>0.01</v>
      </c>
      <c r="R233" s="755">
        <v>1</v>
      </c>
      <c r="S233" s="129">
        <v>-60761</v>
      </c>
      <c r="T233" s="129">
        <v>-106939</v>
      </c>
      <c r="U233" s="129">
        <v>-72913</v>
      </c>
      <c r="V233" s="129">
        <v>-2430</v>
      </c>
      <c r="W233" s="129">
        <v>-243044</v>
      </c>
      <c r="X233" s="755">
        <v>0.5</v>
      </c>
      <c r="Y233" s="755">
        <v>0.4</v>
      </c>
      <c r="Z233" s="755">
        <v>0.09</v>
      </c>
      <c r="AA233" s="755">
        <v>0.01</v>
      </c>
      <c r="AB233" s="755">
        <v>1</v>
      </c>
      <c r="AC233" s="129">
        <v>-13897438</v>
      </c>
      <c r="AD233" s="129">
        <v>-11117950</v>
      </c>
      <c r="AE233" s="129">
        <v>-2501539</v>
      </c>
      <c r="AF233" s="129">
        <v>-277949</v>
      </c>
      <c r="AG233" s="129">
        <v>-27794875</v>
      </c>
      <c r="AH233" s="755">
        <v>0.5</v>
      </c>
      <c r="AI233" s="755">
        <v>0.4</v>
      </c>
      <c r="AJ233" s="755">
        <v>0.09</v>
      </c>
      <c r="AK233" s="755">
        <v>0.01</v>
      </c>
      <c r="AL233" s="755">
        <v>1</v>
      </c>
      <c r="AM233" s="129">
        <v>-1664175</v>
      </c>
      <c r="AN233" s="129">
        <v>-1331340</v>
      </c>
      <c r="AO233" s="129">
        <v>-299551</v>
      </c>
      <c r="AP233" s="129">
        <v>-33283</v>
      </c>
      <c r="AQ233" s="129">
        <v>-3328349</v>
      </c>
      <c r="AR233" s="129">
        <v>-15622373</v>
      </c>
      <c r="AS233" s="129">
        <v>-12556229</v>
      </c>
      <c r="AT233" s="129">
        <v>-2874003</v>
      </c>
      <c r="AU233" s="129">
        <v>-313663</v>
      </c>
      <c r="AV233" s="129">
        <v>-31366268</v>
      </c>
      <c r="AW233" s="662" t="s">
        <v>1022</v>
      </c>
      <c r="AX233" s="324" t="s">
        <v>562</v>
      </c>
      <c r="AY233" s="663" t="s">
        <v>519</v>
      </c>
      <c r="AZ233" s="529" t="s">
        <v>1439</v>
      </c>
    </row>
    <row r="234" spans="1:52" ht="12.75" x14ac:dyDescent="0.2">
      <c r="A234" s="664">
        <v>227</v>
      </c>
      <c r="B234" s="665" t="s">
        <v>329</v>
      </c>
      <c r="C234" s="666" t="s">
        <v>1201</v>
      </c>
      <c r="D234" s="667" t="s">
        <v>1211</v>
      </c>
      <c r="E234" s="668" t="s">
        <v>328</v>
      </c>
      <c r="F234" s="129">
        <v>-21262782</v>
      </c>
      <c r="G234" s="129">
        <v>-2522521</v>
      </c>
      <c r="H234" s="129">
        <v>16796124</v>
      </c>
      <c r="I234" s="129">
        <v>788772</v>
      </c>
      <c r="J234" s="129">
        <v>16007352</v>
      </c>
      <c r="K234" s="129">
        <v>-2732909</v>
      </c>
      <c r="L234" s="129">
        <v>1821939</v>
      </c>
      <c r="M234" s="129">
        <v>-19440843</v>
      </c>
      <c r="N234" s="755">
        <v>0.5</v>
      </c>
      <c r="O234" s="755">
        <v>0.4</v>
      </c>
      <c r="P234" s="755">
        <v>0.09</v>
      </c>
      <c r="Q234" s="755">
        <v>0.01</v>
      </c>
      <c r="R234" s="755">
        <v>1</v>
      </c>
      <c r="S234" s="129">
        <v>-1261261</v>
      </c>
      <c r="T234" s="129">
        <v>-1009008</v>
      </c>
      <c r="U234" s="129">
        <v>-227027</v>
      </c>
      <c r="V234" s="129">
        <v>-25225</v>
      </c>
      <c r="W234" s="129">
        <v>-2522521</v>
      </c>
      <c r="X234" s="755">
        <v>0.5</v>
      </c>
      <c r="Y234" s="755">
        <v>0.4</v>
      </c>
      <c r="Z234" s="755">
        <v>0.09</v>
      </c>
      <c r="AA234" s="755">
        <v>0.01</v>
      </c>
      <c r="AB234" s="755">
        <v>1</v>
      </c>
      <c r="AC234" s="129">
        <v>-8003676</v>
      </c>
      <c r="AD234" s="129">
        <v>-6402941</v>
      </c>
      <c r="AE234" s="129">
        <v>-1440662</v>
      </c>
      <c r="AF234" s="129">
        <v>-160074</v>
      </c>
      <c r="AG234" s="129">
        <v>-16007352</v>
      </c>
      <c r="AH234" s="755">
        <v>0.5</v>
      </c>
      <c r="AI234" s="755">
        <v>0.4</v>
      </c>
      <c r="AJ234" s="755">
        <v>0.09</v>
      </c>
      <c r="AK234" s="755">
        <v>0.01</v>
      </c>
      <c r="AL234" s="755">
        <v>1</v>
      </c>
      <c r="AM234" s="129">
        <v>-455485</v>
      </c>
      <c r="AN234" s="129">
        <v>-364388</v>
      </c>
      <c r="AO234" s="129">
        <v>-81987</v>
      </c>
      <c r="AP234" s="129">
        <v>-9110</v>
      </c>
      <c r="AQ234" s="129">
        <v>-910970</v>
      </c>
      <c r="AR234" s="129">
        <v>-9720421</v>
      </c>
      <c r="AS234" s="129">
        <v>-7776337</v>
      </c>
      <c r="AT234" s="129">
        <v>-1749676</v>
      </c>
      <c r="AU234" s="129">
        <v>-194408</v>
      </c>
      <c r="AV234" s="129">
        <v>-19440843</v>
      </c>
      <c r="AW234" s="662" t="s">
        <v>328</v>
      </c>
      <c r="AX234" s="324" t="s">
        <v>503</v>
      </c>
      <c r="AY234" s="663" t="s">
        <v>502</v>
      </c>
      <c r="AZ234" s="529" t="s">
        <v>1440</v>
      </c>
    </row>
    <row r="235" spans="1:52" ht="12.75" x14ac:dyDescent="0.2">
      <c r="A235" s="664">
        <v>228</v>
      </c>
      <c r="B235" s="665" t="s">
        <v>331</v>
      </c>
      <c r="C235" s="666" t="s">
        <v>1201</v>
      </c>
      <c r="D235" s="667" t="s">
        <v>1206</v>
      </c>
      <c r="E235" s="668" t="s">
        <v>330</v>
      </c>
      <c r="F235" s="129">
        <v>-7222714</v>
      </c>
      <c r="G235" s="129">
        <v>1131392</v>
      </c>
      <c r="H235" s="129">
        <v>6763187</v>
      </c>
      <c r="I235" s="129">
        <v>388280</v>
      </c>
      <c r="J235" s="129">
        <v>6374907</v>
      </c>
      <c r="K235" s="129">
        <v>-1979199</v>
      </c>
      <c r="L235" s="129">
        <v>1319466</v>
      </c>
      <c r="M235" s="129">
        <v>-5903248</v>
      </c>
      <c r="N235" s="755">
        <v>0.5</v>
      </c>
      <c r="O235" s="755">
        <v>0.4</v>
      </c>
      <c r="P235" s="755">
        <v>0.09</v>
      </c>
      <c r="Q235" s="755">
        <v>0.01</v>
      </c>
      <c r="R235" s="755">
        <v>1</v>
      </c>
      <c r="S235" s="129">
        <v>565696</v>
      </c>
      <c r="T235" s="129">
        <v>452557</v>
      </c>
      <c r="U235" s="129">
        <v>101825</v>
      </c>
      <c r="V235" s="129">
        <v>11314</v>
      </c>
      <c r="W235" s="129">
        <v>1131392</v>
      </c>
      <c r="X235" s="755">
        <v>0.5</v>
      </c>
      <c r="Y235" s="755">
        <v>0.4</v>
      </c>
      <c r="Z235" s="755">
        <v>0.09</v>
      </c>
      <c r="AA235" s="755">
        <v>0.01</v>
      </c>
      <c r="AB235" s="755">
        <v>1</v>
      </c>
      <c r="AC235" s="129">
        <v>-3187454</v>
      </c>
      <c r="AD235" s="129">
        <v>-2549963</v>
      </c>
      <c r="AE235" s="129">
        <v>-573742</v>
      </c>
      <c r="AF235" s="129">
        <v>-63749</v>
      </c>
      <c r="AG235" s="129">
        <v>-6374907</v>
      </c>
      <c r="AH235" s="755">
        <v>0.5</v>
      </c>
      <c r="AI235" s="755">
        <v>0.4</v>
      </c>
      <c r="AJ235" s="755">
        <v>0.09</v>
      </c>
      <c r="AK235" s="755">
        <v>0.01</v>
      </c>
      <c r="AL235" s="755">
        <v>1</v>
      </c>
      <c r="AM235" s="129">
        <v>-329867</v>
      </c>
      <c r="AN235" s="129">
        <v>-263893</v>
      </c>
      <c r="AO235" s="129">
        <v>-59376</v>
      </c>
      <c r="AP235" s="129">
        <v>-6597</v>
      </c>
      <c r="AQ235" s="129">
        <v>-659733</v>
      </c>
      <c r="AR235" s="129">
        <v>-2951624</v>
      </c>
      <c r="AS235" s="129">
        <v>-2361299</v>
      </c>
      <c r="AT235" s="129">
        <v>-531292</v>
      </c>
      <c r="AU235" s="129">
        <v>-59032</v>
      </c>
      <c r="AV235" s="129">
        <v>-5903248</v>
      </c>
      <c r="AW235" s="662" t="s">
        <v>330</v>
      </c>
      <c r="AX235" s="324" t="s">
        <v>516</v>
      </c>
      <c r="AY235" s="663" t="s">
        <v>515</v>
      </c>
      <c r="AZ235" s="529" t="s">
        <v>1441</v>
      </c>
    </row>
    <row r="236" spans="1:52" ht="12.75" x14ac:dyDescent="0.2">
      <c r="A236" s="664">
        <v>229</v>
      </c>
      <c r="B236" s="665" t="s">
        <v>333</v>
      </c>
      <c r="C236" s="666" t="s">
        <v>486</v>
      </c>
      <c r="D236" s="667" t="s">
        <v>1224</v>
      </c>
      <c r="E236" s="668" t="s">
        <v>489</v>
      </c>
      <c r="F236" s="129">
        <v>-64706276</v>
      </c>
      <c r="G236" s="129">
        <v>-180457</v>
      </c>
      <c r="H236" s="129">
        <v>65921280</v>
      </c>
      <c r="I236" s="129">
        <v>982225</v>
      </c>
      <c r="J236" s="129">
        <v>64939055</v>
      </c>
      <c r="K236" s="129">
        <v>413236</v>
      </c>
      <c r="L236" s="129">
        <v>0</v>
      </c>
      <c r="M236" s="129">
        <v>-64706276</v>
      </c>
      <c r="N236" s="755">
        <v>0</v>
      </c>
      <c r="O236" s="755">
        <v>0.94</v>
      </c>
      <c r="P236" s="755">
        <v>0.05</v>
      </c>
      <c r="Q236" s="755">
        <v>0.01</v>
      </c>
      <c r="R236" s="755">
        <v>1</v>
      </c>
      <c r="S236" s="129">
        <v>0</v>
      </c>
      <c r="T236" s="129">
        <v>-169629</v>
      </c>
      <c r="U236" s="129">
        <v>-9023</v>
      </c>
      <c r="V236" s="129">
        <v>-1805</v>
      </c>
      <c r="W236" s="129">
        <v>-180457</v>
      </c>
      <c r="X236" s="755">
        <v>0</v>
      </c>
      <c r="Y236" s="755">
        <v>0.94</v>
      </c>
      <c r="Z236" s="755">
        <v>0.05</v>
      </c>
      <c r="AA236" s="755">
        <v>0.01</v>
      </c>
      <c r="AB236" s="755">
        <v>1</v>
      </c>
      <c r="AC236" s="129">
        <v>0</v>
      </c>
      <c r="AD236" s="129">
        <v>-60654270</v>
      </c>
      <c r="AE236" s="129">
        <v>-3226291</v>
      </c>
      <c r="AF236" s="129">
        <v>-645258</v>
      </c>
      <c r="AG236" s="129">
        <v>-64525819</v>
      </c>
      <c r="AH236" s="755">
        <v>0</v>
      </c>
      <c r="AI236" s="755">
        <v>0.94</v>
      </c>
      <c r="AJ236" s="755">
        <v>0.05</v>
      </c>
      <c r="AK236" s="755">
        <v>0.01</v>
      </c>
      <c r="AL236" s="755">
        <v>1</v>
      </c>
      <c r="AM236" s="129">
        <v>0</v>
      </c>
      <c r="AN236" s="129">
        <v>0</v>
      </c>
      <c r="AO236" s="129">
        <v>0</v>
      </c>
      <c r="AP236" s="129">
        <v>0</v>
      </c>
      <c r="AQ236" s="129">
        <v>0</v>
      </c>
      <c r="AR236" s="129">
        <v>0</v>
      </c>
      <c r="AS236" s="129">
        <v>-60823899</v>
      </c>
      <c r="AT236" s="129">
        <v>-3235314</v>
      </c>
      <c r="AU236" s="129">
        <v>-647063</v>
      </c>
      <c r="AV236" s="129">
        <v>-64706276</v>
      </c>
      <c r="AW236" s="662" t="s">
        <v>489</v>
      </c>
      <c r="AX236" s="324" t="s">
        <v>486</v>
      </c>
      <c r="AY236" s="663" t="s">
        <v>487</v>
      </c>
      <c r="AZ236" s="529" t="s">
        <v>1442</v>
      </c>
    </row>
    <row r="237" spans="1:52" ht="12.75" x14ac:dyDescent="0.2">
      <c r="A237" s="664">
        <v>230</v>
      </c>
      <c r="B237" s="665" t="s">
        <v>335</v>
      </c>
      <c r="C237" s="666" t="s">
        <v>1201</v>
      </c>
      <c r="D237" s="667" t="s">
        <v>1224</v>
      </c>
      <c r="E237" s="668" t="s">
        <v>334</v>
      </c>
      <c r="F237" s="129">
        <v>-15322375</v>
      </c>
      <c r="G237" s="129">
        <v>-1972331</v>
      </c>
      <c r="H237" s="129">
        <v>14308961</v>
      </c>
      <c r="I237" s="129">
        <v>1165293</v>
      </c>
      <c r="J237" s="129">
        <v>13143668</v>
      </c>
      <c r="K237" s="129">
        <v>-206376</v>
      </c>
      <c r="L237" s="129">
        <v>137584</v>
      </c>
      <c r="M237" s="129">
        <v>-15184791</v>
      </c>
      <c r="N237" s="755">
        <v>0.5</v>
      </c>
      <c r="O237" s="755">
        <v>0.4</v>
      </c>
      <c r="P237" s="755">
        <v>0.09</v>
      </c>
      <c r="Q237" s="755">
        <v>0.01</v>
      </c>
      <c r="R237" s="755">
        <v>1</v>
      </c>
      <c r="S237" s="129">
        <v>-986166</v>
      </c>
      <c r="T237" s="129">
        <v>-788932</v>
      </c>
      <c r="U237" s="129">
        <v>-177510</v>
      </c>
      <c r="V237" s="129">
        <v>-19723</v>
      </c>
      <c r="W237" s="129">
        <v>-1972331</v>
      </c>
      <c r="X237" s="755">
        <v>0.5</v>
      </c>
      <c r="Y237" s="755">
        <v>0.4</v>
      </c>
      <c r="Z237" s="755">
        <v>0.09</v>
      </c>
      <c r="AA237" s="755">
        <v>0.01</v>
      </c>
      <c r="AB237" s="755">
        <v>1</v>
      </c>
      <c r="AC237" s="129">
        <v>-6571834</v>
      </c>
      <c r="AD237" s="129">
        <v>-5257467</v>
      </c>
      <c r="AE237" s="129">
        <v>-1182930</v>
      </c>
      <c r="AF237" s="129">
        <v>-131437</v>
      </c>
      <c r="AG237" s="129">
        <v>-13143668</v>
      </c>
      <c r="AH237" s="755">
        <v>0.5</v>
      </c>
      <c r="AI237" s="755">
        <v>0.4</v>
      </c>
      <c r="AJ237" s="755">
        <v>0.09</v>
      </c>
      <c r="AK237" s="755">
        <v>0.01</v>
      </c>
      <c r="AL237" s="755">
        <v>1</v>
      </c>
      <c r="AM237" s="129">
        <v>-34396</v>
      </c>
      <c r="AN237" s="129">
        <v>-27517</v>
      </c>
      <c r="AO237" s="129">
        <v>-6191</v>
      </c>
      <c r="AP237" s="129">
        <v>-688</v>
      </c>
      <c r="AQ237" s="129">
        <v>-68792</v>
      </c>
      <c r="AR237" s="129">
        <v>-7592396</v>
      </c>
      <c r="AS237" s="129">
        <v>-6073916</v>
      </c>
      <c r="AT237" s="129">
        <v>-1366631</v>
      </c>
      <c r="AU237" s="129">
        <v>-151848</v>
      </c>
      <c r="AV237" s="129">
        <v>-15184791</v>
      </c>
      <c r="AW237" s="662" t="s">
        <v>334</v>
      </c>
      <c r="AX237" s="324" t="s">
        <v>521</v>
      </c>
      <c r="AY237" s="663" t="s">
        <v>519</v>
      </c>
      <c r="AZ237" s="529" t="s">
        <v>1443</v>
      </c>
    </row>
    <row r="238" spans="1:52" ht="12.75" x14ac:dyDescent="0.2">
      <c r="A238" s="664">
        <v>231</v>
      </c>
      <c r="B238" s="665" t="s">
        <v>337</v>
      </c>
      <c r="C238" s="666" t="s">
        <v>1201</v>
      </c>
      <c r="D238" s="667" t="s">
        <v>1206</v>
      </c>
      <c r="E238" s="668" t="s">
        <v>336</v>
      </c>
      <c r="F238" s="129">
        <v>-7584420</v>
      </c>
      <c r="G238" s="129">
        <v>499369</v>
      </c>
      <c r="H238" s="129">
        <v>8284568</v>
      </c>
      <c r="I238" s="129">
        <v>483271</v>
      </c>
      <c r="J238" s="129">
        <v>7801297</v>
      </c>
      <c r="K238" s="129">
        <v>-282492</v>
      </c>
      <c r="L238" s="129">
        <v>188328</v>
      </c>
      <c r="M238" s="129">
        <v>-7396092</v>
      </c>
      <c r="N238" s="755">
        <v>0.5</v>
      </c>
      <c r="O238" s="755">
        <v>0.4</v>
      </c>
      <c r="P238" s="755">
        <v>0.1</v>
      </c>
      <c r="Q238" s="755">
        <v>0</v>
      </c>
      <c r="R238" s="755">
        <v>1</v>
      </c>
      <c r="S238" s="129">
        <v>249684</v>
      </c>
      <c r="T238" s="129">
        <v>199748</v>
      </c>
      <c r="U238" s="129">
        <v>49937</v>
      </c>
      <c r="V238" s="129">
        <v>0</v>
      </c>
      <c r="W238" s="129">
        <v>499369</v>
      </c>
      <c r="X238" s="755">
        <v>0.5</v>
      </c>
      <c r="Y238" s="755">
        <v>0.4</v>
      </c>
      <c r="Z238" s="755">
        <v>0.1</v>
      </c>
      <c r="AA238" s="755">
        <v>0</v>
      </c>
      <c r="AB238" s="755">
        <v>1</v>
      </c>
      <c r="AC238" s="129">
        <v>-3900649</v>
      </c>
      <c r="AD238" s="129">
        <v>-3120519</v>
      </c>
      <c r="AE238" s="129">
        <v>-780130</v>
      </c>
      <c r="AF238" s="129">
        <v>0</v>
      </c>
      <c r="AG238" s="129">
        <v>-7801297</v>
      </c>
      <c r="AH238" s="755">
        <v>0.5</v>
      </c>
      <c r="AI238" s="755">
        <v>0.4</v>
      </c>
      <c r="AJ238" s="755">
        <v>0.1</v>
      </c>
      <c r="AK238" s="755">
        <v>0</v>
      </c>
      <c r="AL238" s="755">
        <v>1</v>
      </c>
      <c r="AM238" s="129">
        <v>-47082</v>
      </c>
      <c r="AN238" s="129">
        <v>-37666</v>
      </c>
      <c r="AO238" s="129">
        <v>-9416</v>
      </c>
      <c r="AP238" s="129">
        <v>0</v>
      </c>
      <c r="AQ238" s="129">
        <v>-94164</v>
      </c>
      <c r="AR238" s="129">
        <v>-3698046</v>
      </c>
      <c r="AS238" s="129">
        <v>-2958437</v>
      </c>
      <c r="AT238" s="129">
        <v>-739609</v>
      </c>
      <c r="AU238" s="129">
        <v>0</v>
      </c>
      <c r="AV238" s="129">
        <v>-7396092</v>
      </c>
      <c r="AW238" s="662" t="s">
        <v>336</v>
      </c>
      <c r="AX238" s="324" t="s">
        <v>552</v>
      </c>
      <c r="AY238" s="663" t="s">
        <v>512</v>
      </c>
      <c r="AZ238" s="529" t="s">
        <v>1444</v>
      </c>
    </row>
    <row r="239" spans="1:52" ht="12.75" x14ac:dyDescent="0.2">
      <c r="A239" s="664">
        <v>232</v>
      </c>
      <c r="B239" s="665" t="s">
        <v>339</v>
      </c>
      <c r="C239" s="666" t="s">
        <v>1201</v>
      </c>
      <c r="D239" s="667" t="s">
        <v>1206</v>
      </c>
      <c r="E239" s="668" t="s">
        <v>338</v>
      </c>
      <c r="F239" s="129">
        <v>-24053650</v>
      </c>
      <c r="G239" s="129">
        <v>-1829265</v>
      </c>
      <c r="H239" s="129">
        <v>20887478</v>
      </c>
      <c r="I239" s="129">
        <v>1009874</v>
      </c>
      <c r="J239" s="129">
        <v>19877604</v>
      </c>
      <c r="K239" s="129">
        <v>-2346781</v>
      </c>
      <c r="L239" s="129">
        <v>1564521</v>
      </c>
      <c r="M239" s="129">
        <v>-22489129</v>
      </c>
      <c r="N239" s="755">
        <v>0.5</v>
      </c>
      <c r="O239" s="755">
        <v>0.4</v>
      </c>
      <c r="P239" s="755">
        <v>0.1</v>
      </c>
      <c r="Q239" s="755">
        <v>0</v>
      </c>
      <c r="R239" s="755">
        <v>1</v>
      </c>
      <c r="S239" s="129">
        <v>-914633</v>
      </c>
      <c r="T239" s="129">
        <v>-731706</v>
      </c>
      <c r="U239" s="129">
        <v>-182927</v>
      </c>
      <c r="V239" s="129">
        <v>0</v>
      </c>
      <c r="W239" s="129">
        <v>-1829265</v>
      </c>
      <c r="X239" s="755">
        <v>0.5</v>
      </c>
      <c r="Y239" s="755">
        <v>0.4</v>
      </c>
      <c r="Z239" s="755">
        <v>0.1</v>
      </c>
      <c r="AA239" s="755">
        <v>0</v>
      </c>
      <c r="AB239" s="755">
        <v>1</v>
      </c>
      <c r="AC239" s="129">
        <v>-9938802</v>
      </c>
      <c r="AD239" s="129">
        <v>-7951042</v>
      </c>
      <c r="AE239" s="129">
        <v>-1987760</v>
      </c>
      <c r="AF239" s="129">
        <v>0</v>
      </c>
      <c r="AG239" s="129">
        <v>-19877604</v>
      </c>
      <c r="AH239" s="755">
        <v>0.5</v>
      </c>
      <c r="AI239" s="755">
        <v>0.4</v>
      </c>
      <c r="AJ239" s="755">
        <v>0.1</v>
      </c>
      <c r="AK239" s="755">
        <v>0</v>
      </c>
      <c r="AL239" s="755">
        <v>1</v>
      </c>
      <c r="AM239" s="129">
        <v>-391130</v>
      </c>
      <c r="AN239" s="129">
        <v>-312904</v>
      </c>
      <c r="AO239" s="129">
        <v>-78226</v>
      </c>
      <c r="AP239" s="129">
        <v>0</v>
      </c>
      <c r="AQ239" s="129">
        <v>-782260</v>
      </c>
      <c r="AR239" s="129">
        <v>-11244565</v>
      </c>
      <c r="AS239" s="129">
        <v>-8995652</v>
      </c>
      <c r="AT239" s="129">
        <v>-2248913</v>
      </c>
      <c r="AU239" s="129">
        <v>0</v>
      </c>
      <c r="AV239" s="129">
        <v>-22489129</v>
      </c>
      <c r="AW239" s="662" t="s">
        <v>338</v>
      </c>
      <c r="AX239" s="324" t="s">
        <v>552</v>
      </c>
      <c r="AY239" s="663" t="s">
        <v>512</v>
      </c>
      <c r="AZ239" s="529" t="s">
        <v>1445</v>
      </c>
    </row>
    <row r="240" spans="1:52" ht="12.75" x14ac:dyDescent="0.2">
      <c r="A240" s="664">
        <v>233</v>
      </c>
      <c r="B240" s="665" t="s">
        <v>341</v>
      </c>
      <c r="C240" s="666" t="s">
        <v>1201</v>
      </c>
      <c r="D240" s="667" t="s">
        <v>1204</v>
      </c>
      <c r="E240" s="668" t="s">
        <v>340</v>
      </c>
      <c r="F240" s="129">
        <v>-29888375</v>
      </c>
      <c r="G240" s="129">
        <v>1189677</v>
      </c>
      <c r="H240" s="129">
        <v>30564849</v>
      </c>
      <c r="I240" s="129">
        <v>2476356</v>
      </c>
      <c r="J240" s="129">
        <v>28088493</v>
      </c>
      <c r="K240" s="129">
        <v>-2989559</v>
      </c>
      <c r="L240" s="129">
        <v>1993039</v>
      </c>
      <c r="M240" s="129">
        <v>-27895336</v>
      </c>
      <c r="N240" s="755">
        <v>0.5</v>
      </c>
      <c r="O240" s="755">
        <v>0.4</v>
      </c>
      <c r="P240" s="755">
        <v>0.1</v>
      </c>
      <c r="Q240" s="755">
        <v>0</v>
      </c>
      <c r="R240" s="755">
        <v>1</v>
      </c>
      <c r="S240" s="129">
        <v>594839</v>
      </c>
      <c r="T240" s="129">
        <v>475871</v>
      </c>
      <c r="U240" s="129">
        <v>118968</v>
      </c>
      <c r="V240" s="129">
        <v>0</v>
      </c>
      <c r="W240" s="129">
        <v>1189677</v>
      </c>
      <c r="X240" s="755">
        <v>0.5</v>
      </c>
      <c r="Y240" s="755">
        <v>0.4</v>
      </c>
      <c r="Z240" s="755">
        <v>0.1</v>
      </c>
      <c r="AA240" s="755">
        <v>0</v>
      </c>
      <c r="AB240" s="755">
        <v>1</v>
      </c>
      <c r="AC240" s="129">
        <v>-14044247</v>
      </c>
      <c r="AD240" s="129">
        <v>-11235397</v>
      </c>
      <c r="AE240" s="129">
        <v>-2808849</v>
      </c>
      <c r="AF240" s="129">
        <v>0</v>
      </c>
      <c r="AG240" s="129">
        <v>-28088493</v>
      </c>
      <c r="AH240" s="755">
        <v>0.5</v>
      </c>
      <c r="AI240" s="755">
        <v>0.4</v>
      </c>
      <c r="AJ240" s="755">
        <v>0.1</v>
      </c>
      <c r="AK240" s="755">
        <v>0</v>
      </c>
      <c r="AL240" s="755">
        <v>1</v>
      </c>
      <c r="AM240" s="129">
        <v>-498260</v>
      </c>
      <c r="AN240" s="129">
        <v>-398608</v>
      </c>
      <c r="AO240" s="129">
        <v>-99652</v>
      </c>
      <c r="AP240" s="129">
        <v>0</v>
      </c>
      <c r="AQ240" s="129">
        <v>-996520</v>
      </c>
      <c r="AR240" s="129">
        <v>-13947668</v>
      </c>
      <c r="AS240" s="129">
        <v>-11158134</v>
      </c>
      <c r="AT240" s="129">
        <v>-2789534</v>
      </c>
      <c r="AU240" s="129">
        <v>0</v>
      </c>
      <c r="AV240" s="129">
        <v>-27895336</v>
      </c>
      <c r="AW240" s="662" t="s">
        <v>340</v>
      </c>
      <c r="AX240" s="324" t="s">
        <v>513</v>
      </c>
      <c r="AY240" s="663" t="s">
        <v>512</v>
      </c>
      <c r="AZ240" s="529" t="s">
        <v>1446</v>
      </c>
    </row>
    <row r="241" spans="1:52" ht="12.75" x14ac:dyDescent="0.2">
      <c r="A241" s="664">
        <v>234</v>
      </c>
      <c r="B241" s="665" t="s">
        <v>343</v>
      </c>
      <c r="C241" s="666" t="s">
        <v>1201</v>
      </c>
      <c r="D241" s="667" t="s">
        <v>1211</v>
      </c>
      <c r="E241" s="668" t="s">
        <v>342</v>
      </c>
      <c r="F241" s="129">
        <v>-13102426</v>
      </c>
      <c r="G241" s="129">
        <v>-206868</v>
      </c>
      <c r="H241" s="129">
        <v>14100000</v>
      </c>
      <c r="I241" s="129">
        <v>625728</v>
      </c>
      <c r="J241" s="129">
        <v>13474272</v>
      </c>
      <c r="K241" s="129">
        <v>578714</v>
      </c>
      <c r="L241" s="129">
        <v>0</v>
      </c>
      <c r="M241" s="129">
        <v>-13102426</v>
      </c>
      <c r="N241" s="755">
        <v>0.25</v>
      </c>
      <c r="O241" s="755">
        <v>0.42499999999999999</v>
      </c>
      <c r="P241" s="755">
        <v>0.32500000000000001</v>
      </c>
      <c r="Q241" s="755">
        <v>0</v>
      </c>
      <c r="R241" s="755">
        <v>1</v>
      </c>
      <c r="S241" s="129">
        <v>-51717</v>
      </c>
      <c r="T241" s="129">
        <v>-87919</v>
      </c>
      <c r="U241" s="129">
        <v>-67232</v>
      </c>
      <c r="V241" s="129">
        <v>0</v>
      </c>
      <c r="W241" s="129">
        <v>-206868</v>
      </c>
      <c r="X241" s="755">
        <v>0.5</v>
      </c>
      <c r="Y241" s="755">
        <v>0.4</v>
      </c>
      <c r="Z241" s="755">
        <v>0.1</v>
      </c>
      <c r="AA241" s="755">
        <v>0</v>
      </c>
      <c r="AB241" s="755">
        <v>1</v>
      </c>
      <c r="AC241" s="129">
        <v>-6447779</v>
      </c>
      <c r="AD241" s="129">
        <v>-5158223</v>
      </c>
      <c r="AE241" s="129">
        <v>-1289556</v>
      </c>
      <c r="AF241" s="129">
        <v>0</v>
      </c>
      <c r="AG241" s="129">
        <v>-12895558</v>
      </c>
      <c r="AH241" s="755">
        <v>0.5</v>
      </c>
      <c r="AI241" s="755">
        <v>0.4</v>
      </c>
      <c r="AJ241" s="755">
        <v>0.1</v>
      </c>
      <c r="AK241" s="755">
        <v>0</v>
      </c>
      <c r="AL241" s="755">
        <v>1</v>
      </c>
      <c r="AM241" s="129">
        <v>0</v>
      </c>
      <c r="AN241" s="129">
        <v>0</v>
      </c>
      <c r="AO241" s="129">
        <v>0</v>
      </c>
      <c r="AP241" s="129">
        <v>0</v>
      </c>
      <c r="AQ241" s="129">
        <v>0</v>
      </c>
      <c r="AR241" s="129">
        <v>-6499496</v>
      </c>
      <c r="AS241" s="129">
        <v>-5246142</v>
      </c>
      <c r="AT241" s="129">
        <v>-1356788</v>
      </c>
      <c r="AU241" s="129">
        <v>0</v>
      </c>
      <c r="AV241" s="129">
        <v>-13102426</v>
      </c>
      <c r="AW241" s="662" t="s">
        <v>342</v>
      </c>
      <c r="AX241" s="324" t="s">
        <v>553</v>
      </c>
      <c r="AY241" s="663" t="s">
        <v>512</v>
      </c>
      <c r="AZ241" s="529" t="s">
        <v>1447</v>
      </c>
    </row>
    <row r="242" spans="1:52" ht="12.75" x14ac:dyDescent="0.2">
      <c r="A242" s="664">
        <v>235</v>
      </c>
      <c r="B242" s="665" t="s">
        <v>345</v>
      </c>
      <c r="C242" s="666" t="s">
        <v>1201</v>
      </c>
      <c r="D242" s="667" t="s">
        <v>1202</v>
      </c>
      <c r="E242" s="668" t="s">
        <v>344</v>
      </c>
      <c r="F242" s="129">
        <v>-26482203</v>
      </c>
      <c r="G242" s="129">
        <v>-150512</v>
      </c>
      <c r="H242" s="129">
        <v>20379168</v>
      </c>
      <c r="I242" s="129">
        <v>1243515</v>
      </c>
      <c r="J242" s="129">
        <v>19135653</v>
      </c>
      <c r="K242" s="129">
        <v>-7196038</v>
      </c>
      <c r="L242" s="129">
        <v>4797359</v>
      </c>
      <c r="M242" s="129">
        <v>-21684844</v>
      </c>
      <c r="N242" s="755">
        <v>0.5</v>
      </c>
      <c r="O242" s="755">
        <v>0.4</v>
      </c>
      <c r="P242" s="755">
        <v>0.1</v>
      </c>
      <c r="Q242" s="755">
        <v>0</v>
      </c>
      <c r="R242" s="755">
        <v>1</v>
      </c>
      <c r="S242" s="129">
        <v>-75256</v>
      </c>
      <c r="T242" s="129">
        <v>-60205</v>
      </c>
      <c r="U242" s="129">
        <v>-15051</v>
      </c>
      <c r="V242" s="129">
        <v>0</v>
      </c>
      <c r="W242" s="129">
        <v>-150512</v>
      </c>
      <c r="X242" s="755">
        <v>0.5</v>
      </c>
      <c r="Y242" s="755">
        <v>0.4</v>
      </c>
      <c r="Z242" s="755">
        <v>0.1</v>
      </c>
      <c r="AA242" s="755">
        <v>0</v>
      </c>
      <c r="AB242" s="755">
        <v>1</v>
      </c>
      <c r="AC242" s="129">
        <v>-9567827</v>
      </c>
      <c r="AD242" s="129">
        <v>-7654261</v>
      </c>
      <c r="AE242" s="129">
        <v>-1913565</v>
      </c>
      <c r="AF242" s="129">
        <v>0</v>
      </c>
      <c r="AG242" s="129">
        <v>-19135653</v>
      </c>
      <c r="AH242" s="755">
        <v>0.5</v>
      </c>
      <c r="AI242" s="755">
        <v>0.4</v>
      </c>
      <c r="AJ242" s="755">
        <v>0.1</v>
      </c>
      <c r="AK242" s="755">
        <v>0</v>
      </c>
      <c r="AL242" s="755">
        <v>1</v>
      </c>
      <c r="AM242" s="129">
        <v>-1199340</v>
      </c>
      <c r="AN242" s="129">
        <v>-959472</v>
      </c>
      <c r="AO242" s="129">
        <v>-239868</v>
      </c>
      <c r="AP242" s="129">
        <v>0</v>
      </c>
      <c r="AQ242" s="129">
        <v>-2398679</v>
      </c>
      <c r="AR242" s="129">
        <v>-10842422</v>
      </c>
      <c r="AS242" s="129">
        <v>-8673938</v>
      </c>
      <c r="AT242" s="129">
        <v>-2168484</v>
      </c>
      <c r="AU242" s="129">
        <v>0</v>
      </c>
      <c r="AV242" s="129">
        <v>-21684844</v>
      </c>
      <c r="AW242" s="662" t="s">
        <v>344</v>
      </c>
      <c r="AX242" s="324" t="s">
        <v>560</v>
      </c>
      <c r="AY242" s="663" t="s">
        <v>512</v>
      </c>
      <c r="AZ242" s="529" t="s">
        <v>1448</v>
      </c>
    </row>
    <row r="243" spans="1:52" ht="12.75" x14ac:dyDescent="0.2">
      <c r="A243" s="664">
        <v>236</v>
      </c>
      <c r="B243" s="665" t="s">
        <v>347</v>
      </c>
      <c r="C243" s="666" t="s">
        <v>1201</v>
      </c>
      <c r="D243" s="667" t="s">
        <v>1204</v>
      </c>
      <c r="E243" s="668" t="s">
        <v>346</v>
      </c>
      <c r="F243" s="129">
        <v>-12288595</v>
      </c>
      <c r="G243" s="129">
        <v>1662997</v>
      </c>
      <c r="H243" s="129">
        <v>13151460</v>
      </c>
      <c r="I243" s="129">
        <v>529607</v>
      </c>
      <c r="J243" s="129">
        <v>12621853</v>
      </c>
      <c r="K243" s="129">
        <v>-1329739</v>
      </c>
      <c r="L243" s="129">
        <v>886493</v>
      </c>
      <c r="M243" s="129">
        <v>-11402102</v>
      </c>
      <c r="N243" s="755">
        <v>0.25</v>
      </c>
      <c r="O243" s="755">
        <v>0.56000000000000005</v>
      </c>
      <c r="P243" s="755">
        <v>0.17499999999999999</v>
      </c>
      <c r="Q243" s="755">
        <v>1.4999999999999999E-2</v>
      </c>
      <c r="R243" s="755">
        <v>1</v>
      </c>
      <c r="S243" s="129">
        <v>415749</v>
      </c>
      <c r="T243" s="129">
        <v>931278</v>
      </c>
      <c r="U243" s="129">
        <v>291024</v>
      </c>
      <c r="V243" s="129">
        <v>24945</v>
      </c>
      <c r="W243" s="129">
        <v>1662997</v>
      </c>
      <c r="X243" s="755">
        <v>0.5</v>
      </c>
      <c r="Y243" s="755">
        <v>0.4</v>
      </c>
      <c r="Z243" s="755">
        <v>0.09</v>
      </c>
      <c r="AA243" s="755">
        <v>0.01</v>
      </c>
      <c r="AB243" s="755">
        <v>1</v>
      </c>
      <c r="AC243" s="129">
        <v>-6310927</v>
      </c>
      <c r="AD243" s="129">
        <v>-5048741</v>
      </c>
      <c r="AE243" s="129">
        <v>-1135967</v>
      </c>
      <c r="AF243" s="129">
        <v>-126219</v>
      </c>
      <c r="AG243" s="129">
        <v>-12621853</v>
      </c>
      <c r="AH243" s="755">
        <v>0.5</v>
      </c>
      <c r="AI243" s="755">
        <v>0.4</v>
      </c>
      <c r="AJ243" s="755">
        <v>0.09</v>
      </c>
      <c r="AK243" s="755">
        <v>0.01</v>
      </c>
      <c r="AL243" s="755">
        <v>1</v>
      </c>
      <c r="AM243" s="129">
        <v>-221623</v>
      </c>
      <c r="AN243" s="129">
        <v>-177299</v>
      </c>
      <c r="AO243" s="129">
        <v>-39892</v>
      </c>
      <c r="AP243" s="129">
        <v>-4432</v>
      </c>
      <c r="AQ243" s="129">
        <v>-443246</v>
      </c>
      <c r="AR243" s="129">
        <v>-6116800</v>
      </c>
      <c r="AS243" s="129">
        <v>-4294761</v>
      </c>
      <c r="AT243" s="129">
        <v>-884834</v>
      </c>
      <c r="AU243" s="129">
        <v>-105706</v>
      </c>
      <c r="AV243" s="129">
        <v>-11402102</v>
      </c>
      <c r="AW243" s="662" t="s">
        <v>346</v>
      </c>
      <c r="AX243" s="324" t="s">
        <v>547</v>
      </c>
      <c r="AY243" s="663" t="s">
        <v>545</v>
      </c>
      <c r="AZ243" s="529" t="s">
        <v>1449</v>
      </c>
    </row>
    <row r="244" spans="1:52" ht="12.75" x14ac:dyDescent="0.2">
      <c r="A244" s="664">
        <v>237</v>
      </c>
      <c r="B244" s="665" t="s">
        <v>349</v>
      </c>
      <c r="C244" s="666" t="s">
        <v>1201</v>
      </c>
      <c r="D244" s="667" t="s">
        <v>1224</v>
      </c>
      <c r="E244" s="668" t="s">
        <v>348</v>
      </c>
      <c r="F244" s="129">
        <v>-24951847</v>
      </c>
      <c r="G244" s="129">
        <v>55561</v>
      </c>
      <c r="H244" s="129">
        <v>21313326</v>
      </c>
      <c r="I244" s="129">
        <v>403334</v>
      </c>
      <c r="J244" s="129">
        <v>20909992</v>
      </c>
      <c r="K244" s="129">
        <v>-4097416</v>
      </c>
      <c r="L244" s="129">
        <v>2731611</v>
      </c>
      <c r="M244" s="129">
        <v>-22220236</v>
      </c>
      <c r="N244" s="755">
        <v>0.25</v>
      </c>
      <c r="O244" s="755">
        <v>0.44</v>
      </c>
      <c r="P244" s="755">
        <v>0.3</v>
      </c>
      <c r="Q244" s="755">
        <v>0.01</v>
      </c>
      <c r="R244" s="755">
        <v>1</v>
      </c>
      <c r="S244" s="129">
        <v>13890</v>
      </c>
      <c r="T244" s="129">
        <v>24447</v>
      </c>
      <c r="U244" s="129">
        <v>16668</v>
      </c>
      <c r="V244" s="129">
        <v>556</v>
      </c>
      <c r="W244" s="129">
        <v>55561</v>
      </c>
      <c r="X244" s="755">
        <v>0.5</v>
      </c>
      <c r="Y244" s="755">
        <v>0.4</v>
      </c>
      <c r="Z244" s="755">
        <v>0.09</v>
      </c>
      <c r="AA244" s="755">
        <v>0.01</v>
      </c>
      <c r="AB244" s="755">
        <v>1</v>
      </c>
      <c r="AC244" s="129">
        <v>-10454996</v>
      </c>
      <c r="AD244" s="129">
        <v>-8363997</v>
      </c>
      <c r="AE244" s="129">
        <v>-1881899</v>
      </c>
      <c r="AF244" s="129">
        <v>-209100</v>
      </c>
      <c r="AG244" s="129">
        <v>-20909992</v>
      </c>
      <c r="AH244" s="755">
        <v>0.5</v>
      </c>
      <c r="AI244" s="755">
        <v>0.4</v>
      </c>
      <c r="AJ244" s="755">
        <v>0.09</v>
      </c>
      <c r="AK244" s="755">
        <v>0.01</v>
      </c>
      <c r="AL244" s="755">
        <v>1</v>
      </c>
      <c r="AM244" s="129">
        <v>-682903</v>
      </c>
      <c r="AN244" s="129">
        <v>-546322</v>
      </c>
      <c r="AO244" s="129">
        <v>-122922</v>
      </c>
      <c r="AP244" s="129">
        <v>-13658</v>
      </c>
      <c r="AQ244" s="129">
        <v>-1365805</v>
      </c>
      <c r="AR244" s="129">
        <v>-11124008</v>
      </c>
      <c r="AS244" s="129">
        <v>-8885872</v>
      </c>
      <c r="AT244" s="129">
        <v>-1988153</v>
      </c>
      <c r="AU244" s="129">
        <v>-222202</v>
      </c>
      <c r="AV244" s="129">
        <v>-22220236</v>
      </c>
      <c r="AW244" s="662" t="s">
        <v>348</v>
      </c>
      <c r="AX244" s="324" t="s">
        <v>562</v>
      </c>
      <c r="AY244" s="663" t="s">
        <v>519</v>
      </c>
      <c r="AZ244" s="529" t="s">
        <v>1450</v>
      </c>
    </row>
    <row r="245" spans="1:52" ht="12.75" x14ac:dyDescent="0.2">
      <c r="A245" s="664">
        <v>238</v>
      </c>
      <c r="B245" s="665" t="s">
        <v>351</v>
      </c>
      <c r="C245" s="666" t="s">
        <v>1201</v>
      </c>
      <c r="D245" s="667" t="s">
        <v>1228</v>
      </c>
      <c r="E245" s="668" t="s">
        <v>350</v>
      </c>
      <c r="F245" s="129">
        <v>-10619706</v>
      </c>
      <c r="G245" s="129">
        <v>-1717373</v>
      </c>
      <c r="H245" s="129">
        <v>7919170</v>
      </c>
      <c r="I245" s="129">
        <v>470012</v>
      </c>
      <c r="J245" s="129">
        <v>7449158</v>
      </c>
      <c r="K245" s="129">
        <v>-1453175</v>
      </c>
      <c r="L245" s="129">
        <v>968783</v>
      </c>
      <c r="M245" s="129">
        <v>-9650923</v>
      </c>
      <c r="N245" s="755">
        <v>0.25</v>
      </c>
      <c r="O245" s="755">
        <v>0.4</v>
      </c>
      <c r="P245" s="755">
        <v>0.34</v>
      </c>
      <c r="Q245" s="755">
        <v>0.01</v>
      </c>
      <c r="R245" s="755">
        <v>1</v>
      </c>
      <c r="S245" s="129">
        <v>-429343</v>
      </c>
      <c r="T245" s="129">
        <v>-686949</v>
      </c>
      <c r="U245" s="129">
        <v>-583907</v>
      </c>
      <c r="V245" s="129">
        <v>-17174</v>
      </c>
      <c r="W245" s="129">
        <v>-1717373</v>
      </c>
      <c r="X245" s="755">
        <v>0.5</v>
      </c>
      <c r="Y245" s="755">
        <v>0.4</v>
      </c>
      <c r="Z245" s="755">
        <v>0.09</v>
      </c>
      <c r="AA245" s="755">
        <v>0.01</v>
      </c>
      <c r="AB245" s="755">
        <v>1</v>
      </c>
      <c r="AC245" s="129">
        <v>-3724579</v>
      </c>
      <c r="AD245" s="129">
        <v>-2979663</v>
      </c>
      <c r="AE245" s="129">
        <v>-670424</v>
      </c>
      <c r="AF245" s="129">
        <v>-74492</v>
      </c>
      <c r="AG245" s="129">
        <v>-7449158</v>
      </c>
      <c r="AH245" s="755">
        <v>0.5</v>
      </c>
      <c r="AI245" s="755">
        <v>0.4</v>
      </c>
      <c r="AJ245" s="755">
        <v>0.09</v>
      </c>
      <c r="AK245" s="755">
        <v>0.01</v>
      </c>
      <c r="AL245" s="755">
        <v>1</v>
      </c>
      <c r="AM245" s="129">
        <v>-242196</v>
      </c>
      <c r="AN245" s="129">
        <v>-193757</v>
      </c>
      <c r="AO245" s="129">
        <v>-43595</v>
      </c>
      <c r="AP245" s="129">
        <v>-4844</v>
      </c>
      <c r="AQ245" s="129">
        <v>-484392</v>
      </c>
      <c r="AR245" s="129">
        <v>-4396118</v>
      </c>
      <c r="AS245" s="129">
        <v>-3860369</v>
      </c>
      <c r="AT245" s="129">
        <v>-1297926</v>
      </c>
      <c r="AU245" s="129">
        <v>-96509</v>
      </c>
      <c r="AV245" s="129">
        <v>-9650923</v>
      </c>
      <c r="AW245" s="662" t="s">
        <v>350</v>
      </c>
      <c r="AX245" s="324" t="s">
        <v>564</v>
      </c>
      <c r="AY245" s="663" t="s">
        <v>1917</v>
      </c>
      <c r="AZ245" s="529" t="s">
        <v>1451</v>
      </c>
    </row>
    <row r="246" spans="1:52" ht="12.75" x14ac:dyDescent="0.2">
      <c r="A246" s="664">
        <v>239</v>
      </c>
      <c r="B246" s="665" t="s">
        <v>353</v>
      </c>
      <c r="C246" s="666" t="s">
        <v>1217</v>
      </c>
      <c r="D246" s="667" t="s">
        <v>1283</v>
      </c>
      <c r="E246" s="668" t="s">
        <v>352</v>
      </c>
      <c r="F246" s="129">
        <v>-12779900</v>
      </c>
      <c r="G246" s="129">
        <v>471186</v>
      </c>
      <c r="H246" s="129">
        <v>13590000</v>
      </c>
      <c r="I246" s="129">
        <v>930000</v>
      </c>
      <c r="J246" s="129">
        <v>12660000</v>
      </c>
      <c r="K246" s="129">
        <v>-591086</v>
      </c>
      <c r="L246" s="129">
        <v>394057</v>
      </c>
      <c r="M246" s="129">
        <v>-12385843</v>
      </c>
      <c r="N246" s="755">
        <v>0.5</v>
      </c>
      <c r="O246" s="755">
        <v>0.49</v>
      </c>
      <c r="P246" s="755">
        <v>0</v>
      </c>
      <c r="Q246" s="755">
        <v>0.01</v>
      </c>
      <c r="R246" s="755">
        <v>1</v>
      </c>
      <c r="S246" s="129">
        <v>235593</v>
      </c>
      <c r="T246" s="129">
        <v>230881</v>
      </c>
      <c r="U246" s="129">
        <v>0</v>
      </c>
      <c r="V246" s="129">
        <v>4712</v>
      </c>
      <c r="W246" s="129">
        <v>471186</v>
      </c>
      <c r="X246" s="755">
        <v>0.5</v>
      </c>
      <c r="Y246" s="755">
        <v>0.49</v>
      </c>
      <c r="Z246" s="755">
        <v>0</v>
      </c>
      <c r="AA246" s="755">
        <v>0.01</v>
      </c>
      <c r="AB246" s="755">
        <v>1</v>
      </c>
      <c r="AC246" s="129">
        <v>-6330000</v>
      </c>
      <c r="AD246" s="129">
        <v>-6203400</v>
      </c>
      <c r="AE246" s="129">
        <v>0</v>
      </c>
      <c r="AF246" s="129">
        <v>-126600</v>
      </c>
      <c r="AG246" s="129">
        <v>-12660000</v>
      </c>
      <c r="AH246" s="755">
        <v>0.5</v>
      </c>
      <c r="AI246" s="755">
        <v>0.49</v>
      </c>
      <c r="AJ246" s="755">
        <v>0</v>
      </c>
      <c r="AK246" s="755">
        <v>0.01</v>
      </c>
      <c r="AL246" s="755">
        <v>1</v>
      </c>
      <c r="AM246" s="129">
        <v>-98514</v>
      </c>
      <c r="AN246" s="129">
        <v>-96544</v>
      </c>
      <c r="AO246" s="129">
        <v>0</v>
      </c>
      <c r="AP246" s="129">
        <v>-1970</v>
      </c>
      <c r="AQ246" s="129">
        <v>-197029</v>
      </c>
      <c r="AR246" s="129">
        <v>-6192921</v>
      </c>
      <c r="AS246" s="129">
        <v>-6069063</v>
      </c>
      <c r="AT246" s="129">
        <v>0</v>
      </c>
      <c r="AU246" s="129">
        <v>-123858</v>
      </c>
      <c r="AV246" s="129">
        <v>-12385843</v>
      </c>
      <c r="AW246" s="662" t="s">
        <v>352</v>
      </c>
      <c r="AX246" s="324" t="s">
        <v>570</v>
      </c>
      <c r="AY246" s="663" t="s">
        <v>573</v>
      </c>
      <c r="AZ246" s="529" t="s">
        <v>1452</v>
      </c>
    </row>
    <row r="247" spans="1:52" ht="12.75" x14ac:dyDescent="0.2">
      <c r="A247" s="664">
        <v>240</v>
      </c>
      <c r="B247" s="665" t="s">
        <v>354</v>
      </c>
      <c r="C247" s="666" t="s">
        <v>486</v>
      </c>
      <c r="D247" s="667" t="s">
        <v>1202</v>
      </c>
      <c r="E247" s="668" t="s">
        <v>531</v>
      </c>
      <c r="F247" s="129">
        <v>-56286822</v>
      </c>
      <c r="G247" s="129">
        <v>178962</v>
      </c>
      <c r="H247" s="129">
        <v>52558260</v>
      </c>
      <c r="I247" s="129">
        <v>2064719</v>
      </c>
      <c r="J247" s="129">
        <v>50493541</v>
      </c>
      <c r="K247" s="129">
        <v>-5972243</v>
      </c>
      <c r="L247" s="129">
        <v>3981495</v>
      </c>
      <c r="M247" s="129">
        <v>-52305327</v>
      </c>
      <c r="N247" s="755">
        <v>0.25</v>
      </c>
      <c r="O247" s="755">
        <v>0.74</v>
      </c>
      <c r="P247" s="755">
        <v>0</v>
      </c>
      <c r="Q247" s="755">
        <v>0.01</v>
      </c>
      <c r="R247" s="755">
        <v>1</v>
      </c>
      <c r="S247" s="129">
        <v>44741</v>
      </c>
      <c r="T247" s="129">
        <v>132432</v>
      </c>
      <c r="U247" s="129">
        <v>0</v>
      </c>
      <c r="V247" s="129">
        <v>1790</v>
      </c>
      <c r="W247" s="129">
        <v>178962</v>
      </c>
      <c r="X247" s="755">
        <v>0.5</v>
      </c>
      <c r="Y247" s="755">
        <v>0.49</v>
      </c>
      <c r="Z247" s="755">
        <v>0</v>
      </c>
      <c r="AA247" s="755">
        <v>0.01</v>
      </c>
      <c r="AB247" s="755">
        <v>1</v>
      </c>
      <c r="AC247" s="129">
        <v>-25246771</v>
      </c>
      <c r="AD247" s="129">
        <v>-24741835</v>
      </c>
      <c r="AE247" s="129">
        <v>0</v>
      </c>
      <c r="AF247" s="129">
        <v>-504935</v>
      </c>
      <c r="AG247" s="129">
        <v>-50493541</v>
      </c>
      <c r="AH247" s="755">
        <v>0.5</v>
      </c>
      <c r="AI247" s="755">
        <v>0.49</v>
      </c>
      <c r="AJ247" s="755">
        <v>0</v>
      </c>
      <c r="AK247" s="755">
        <v>0.01</v>
      </c>
      <c r="AL247" s="755">
        <v>1</v>
      </c>
      <c r="AM247" s="129">
        <v>-995374</v>
      </c>
      <c r="AN247" s="129">
        <v>-975466</v>
      </c>
      <c r="AO247" s="129">
        <v>0</v>
      </c>
      <c r="AP247" s="129">
        <v>-19907</v>
      </c>
      <c r="AQ247" s="129">
        <v>-1990748</v>
      </c>
      <c r="AR247" s="129">
        <v>-26197404</v>
      </c>
      <c r="AS247" s="129">
        <v>-25584870</v>
      </c>
      <c r="AT247" s="129">
        <v>0</v>
      </c>
      <c r="AU247" s="129">
        <v>-523053</v>
      </c>
      <c r="AV247" s="129">
        <v>-52305327</v>
      </c>
      <c r="AW247" s="662" t="s">
        <v>531</v>
      </c>
      <c r="AX247" s="324" t="s">
        <v>486</v>
      </c>
      <c r="AY247" s="663" t="s">
        <v>1914</v>
      </c>
      <c r="AZ247" s="529" t="s">
        <v>1453</v>
      </c>
    </row>
    <row r="248" spans="1:52" ht="12.75" x14ac:dyDescent="0.2">
      <c r="A248" s="664">
        <v>241</v>
      </c>
      <c r="B248" s="665" t="s">
        <v>355</v>
      </c>
      <c r="C248" s="666" t="s">
        <v>486</v>
      </c>
      <c r="D248" s="667" t="s">
        <v>1211</v>
      </c>
      <c r="E248" s="668" t="s">
        <v>526</v>
      </c>
      <c r="F248" s="129">
        <v>-27843315</v>
      </c>
      <c r="G248" s="129">
        <v>-1448952</v>
      </c>
      <c r="H248" s="129">
        <v>25389879</v>
      </c>
      <c r="I248" s="129">
        <v>1183198</v>
      </c>
      <c r="J248" s="129">
        <v>24206681</v>
      </c>
      <c r="K248" s="129">
        <v>-2187682</v>
      </c>
      <c r="L248" s="129">
        <v>1458455</v>
      </c>
      <c r="M248" s="129">
        <v>-26384860</v>
      </c>
      <c r="N248" s="755">
        <v>0.5</v>
      </c>
      <c r="O248" s="755">
        <v>0.49</v>
      </c>
      <c r="P248" s="755">
        <v>0</v>
      </c>
      <c r="Q248" s="755">
        <v>0.01</v>
      </c>
      <c r="R248" s="755">
        <v>1</v>
      </c>
      <c r="S248" s="129">
        <v>-724476</v>
      </c>
      <c r="T248" s="129">
        <v>-709986</v>
      </c>
      <c r="U248" s="129">
        <v>0</v>
      </c>
      <c r="V248" s="129">
        <v>-14490</v>
      </c>
      <c r="W248" s="129">
        <v>-1448952</v>
      </c>
      <c r="X248" s="755">
        <v>0.5</v>
      </c>
      <c r="Y248" s="755">
        <v>0.49</v>
      </c>
      <c r="Z248" s="755">
        <v>0</v>
      </c>
      <c r="AA248" s="755">
        <v>0.01</v>
      </c>
      <c r="AB248" s="755">
        <v>1</v>
      </c>
      <c r="AC248" s="129">
        <v>-12103341</v>
      </c>
      <c r="AD248" s="129">
        <v>-11861274</v>
      </c>
      <c r="AE248" s="129">
        <v>0</v>
      </c>
      <c r="AF248" s="129">
        <v>-242067</v>
      </c>
      <c r="AG248" s="129">
        <v>-24206681</v>
      </c>
      <c r="AH248" s="755">
        <v>0.5</v>
      </c>
      <c r="AI248" s="755">
        <v>0.49</v>
      </c>
      <c r="AJ248" s="755">
        <v>0</v>
      </c>
      <c r="AK248" s="755">
        <v>0.01</v>
      </c>
      <c r="AL248" s="755">
        <v>1</v>
      </c>
      <c r="AM248" s="129">
        <v>-364614</v>
      </c>
      <c r="AN248" s="129">
        <v>-357321</v>
      </c>
      <c r="AO248" s="129">
        <v>0</v>
      </c>
      <c r="AP248" s="129">
        <v>-7292</v>
      </c>
      <c r="AQ248" s="129">
        <v>-729227</v>
      </c>
      <c r="AR248" s="129">
        <v>-13192430</v>
      </c>
      <c r="AS248" s="129">
        <v>-12928582</v>
      </c>
      <c r="AT248" s="129">
        <v>0</v>
      </c>
      <c r="AU248" s="129">
        <v>-263849</v>
      </c>
      <c r="AV248" s="129">
        <v>-26384860</v>
      </c>
      <c r="AW248" s="662" t="s">
        <v>526</v>
      </c>
      <c r="AX248" s="324" t="s">
        <v>486</v>
      </c>
      <c r="AY248" s="663" t="s">
        <v>1913</v>
      </c>
      <c r="AZ248" s="529" t="s">
        <v>1454</v>
      </c>
    </row>
    <row r="249" spans="1:52" ht="12.75" x14ac:dyDescent="0.2">
      <c r="A249" s="664">
        <v>242</v>
      </c>
      <c r="B249" s="665" t="s">
        <v>357</v>
      </c>
      <c r="C249" s="666" t="s">
        <v>1257</v>
      </c>
      <c r="D249" s="667" t="s">
        <v>1214</v>
      </c>
      <c r="E249" s="668" t="s">
        <v>356</v>
      </c>
      <c r="F249" s="129">
        <v>-142366536</v>
      </c>
      <c r="G249" s="129">
        <v>-4183935</v>
      </c>
      <c r="H249" s="129">
        <v>89683134</v>
      </c>
      <c r="I249" s="129">
        <v>3338977</v>
      </c>
      <c r="J249" s="129">
        <v>86344157</v>
      </c>
      <c r="K249" s="129">
        <v>-51838444</v>
      </c>
      <c r="L249" s="129">
        <v>34558963</v>
      </c>
      <c r="M249" s="129">
        <v>-107807573</v>
      </c>
      <c r="N249" s="755">
        <v>0.25</v>
      </c>
      <c r="O249" s="755">
        <v>0.48</v>
      </c>
      <c r="P249" s="755">
        <v>0.27</v>
      </c>
      <c r="Q249" s="755">
        <v>0</v>
      </c>
      <c r="R249" s="755">
        <v>1</v>
      </c>
      <c r="S249" s="129">
        <v>-1045984</v>
      </c>
      <c r="T249" s="129">
        <v>-2008289</v>
      </c>
      <c r="U249" s="129">
        <v>-1129662</v>
      </c>
      <c r="V249" s="129">
        <v>0</v>
      </c>
      <c r="W249" s="129">
        <v>-4183935</v>
      </c>
      <c r="X249" s="755">
        <v>0.33</v>
      </c>
      <c r="Y249" s="755">
        <v>0.3</v>
      </c>
      <c r="Z249" s="755">
        <v>0.37</v>
      </c>
      <c r="AA249" s="755">
        <v>0</v>
      </c>
      <c r="AB249" s="755">
        <v>1</v>
      </c>
      <c r="AC249" s="129">
        <v>-28493572</v>
      </c>
      <c r="AD249" s="129">
        <v>-25903247</v>
      </c>
      <c r="AE249" s="129">
        <v>-31947338</v>
      </c>
      <c r="AF249" s="129">
        <v>0</v>
      </c>
      <c r="AG249" s="129">
        <v>-86344157</v>
      </c>
      <c r="AH249" s="755">
        <v>0.33</v>
      </c>
      <c r="AI249" s="755">
        <v>0.3</v>
      </c>
      <c r="AJ249" s="755">
        <v>0.37</v>
      </c>
      <c r="AK249" s="755">
        <v>0</v>
      </c>
      <c r="AL249" s="755">
        <v>1</v>
      </c>
      <c r="AM249" s="129">
        <v>-5702229</v>
      </c>
      <c r="AN249" s="129">
        <v>-5183844</v>
      </c>
      <c r="AO249" s="129">
        <v>-6393408</v>
      </c>
      <c r="AP249" s="129">
        <v>0</v>
      </c>
      <c r="AQ249" s="129">
        <v>-17279481</v>
      </c>
      <c r="AR249" s="129">
        <v>-35241784</v>
      </c>
      <c r="AS249" s="129">
        <v>-33095380</v>
      </c>
      <c r="AT249" s="129">
        <v>-39470409</v>
      </c>
      <c r="AU249" s="129">
        <v>0</v>
      </c>
      <c r="AV249" s="129">
        <v>-107807573</v>
      </c>
      <c r="AW249" s="662" t="s">
        <v>356</v>
      </c>
      <c r="AX249" s="324" t="s">
        <v>576</v>
      </c>
      <c r="AY249" s="669" t="s">
        <v>485</v>
      </c>
      <c r="AZ249" s="529" t="s">
        <v>1455</v>
      </c>
    </row>
    <row r="250" spans="1:52" ht="12.75" x14ac:dyDescent="0.2">
      <c r="A250" s="664">
        <v>243</v>
      </c>
      <c r="B250" s="665" t="s">
        <v>359</v>
      </c>
      <c r="C250" s="666" t="s">
        <v>1201</v>
      </c>
      <c r="D250" s="667" t="s">
        <v>1202</v>
      </c>
      <c r="E250" s="668" t="s">
        <v>358</v>
      </c>
      <c r="F250" s="129">
        <v>-26480406</v>
      </c>
      <c r="G250" s="129">
        <v>-7488561</v>
      </c>
      <c r="H250" s="129">
        <v>16000000</v>
      </c>
      <c r="I250" s="129">
        <v>1351568</v>
      </c>
      <c r="J250" s="129">
        <v>14648432</v>
      </c>
      <c r="K250" s="129">
        <v>-4343413</v>
      </c>
      <c r="L250" s="129">
        <v>2895609</v>
      </c>
      <c r="M250" s="129">
        <v>-23584797</v>
      </c>
      <c r="N250" s="755">
        <v>0.5</v>
      </c>
      <c r="O250" s="755">
        <v>0.4</v>
      </c>
      <c r="P250" s="755">
        <v>0.1</v>
      </c>
      <c r="Q250" s="755">
        <v>0</v>
      </c>
      <c r="R250" s="755">
        <v>1</v>
      </c>
      <c r="S250" s="129">
        <v>-3744281</v>
      </c>
      <c r="T250" s="129">
        <v>-2995424</v>
      </c>
      <c r="U250" s="129">
        <v>-748856</v>
      </c>
      <c r="V250" s="129">
        <v>0</v>
      </c>
      <c r="W250" s="129">
        <v>-7488561</v>
      </c>
      <c r="X250" s="755">
        <v>0.5</v>
      </c>
      <c r="Y250" s="755">
        <v>0.4</v>
      </c>
      <c r="Z250" s="755">
        <v>0.1</v>
      </c>
      <c r="AA250" s="755">
        <v>0</v>
      </c>
      <c r="AB250" s="755">
        <v>1</v>
      </c>
      <c r="AC250" s="129">
        <v>-7324216</v>
      </c>
      <c r="AD250" s="129">
        <v>-5859373</v>
      </c>
      <c r="AE250" s="129">
        <v>-1464843</v>
      </c>
      <c r="AF250" s="129">
        <v>0</v>
      </c>
      <c r="AG250" s="129">
        <v>-14648432</v>
      </c>
      <c r="AH250" s="755">
        <v>0.5</v>
      </c>
      <c r="AI250" s="755">
        <v>0.4</v>
      </c>
      <c r="AJ250" s="755">
        <v>0.1</v>
      </c>
      <c r="AK250" s="755">
        <v>0</v>
      </c>
      <c r="AL250" s="755">
        <v>1</v>
      </c>
      <c r="AM250" s="129">
        <v>-723902</v>
      </c>
      <c r="AN250" s="129">
        <v>-579122</v>
      </c>
      <c r="AO250" s="129">
        <v>-144780</v>
      </c>
      <c r="AP250" s="129">
        <v>0</v>
      </c>
      <c r="AQ250" s="129">
        <v>-1447804</v>
      </c>
      <c r="AR250" s="129">
        <v>-11792399</v>
      </c>
      <c r="AS250" s="129">
        <v>-9433919</v>
      </c>
      <c r="AT250" s="129">
        <v>-2358480</v>
      </c>
      <c r="AU250" s="129">
        <v>0</v>
      </c>
      <c r="AV250" s="129">
        <v>-23584797</v>
      </c>
      <c r="AW250" s="662" t="s">
        <v>358</v>
      </c>
      <c r="AX250" s="324" t="s">
        <v>566</v>
      </c>
      <c r="AY250" s="663" t="s">
        <v>512</v>
      </c>
      <c r="AZ250" s="529" t="s">
        <v>1456</v>
      </c>
    </row>
    <row r="251" spans="1:52" ht="12.75" x14ac:dyDescent="0.2">
      <c r="A251" s="664">
        <v>244</v>
      </c>
      <c r="B251" s="665" t="s">
        <v>361</v>
      </c>
      <c r="C251" s="666" t="s">
        <v>1201</v>
      </c>
      <c r="D251" s="667" t="s">
        <v>1211</v>
      </c>
      <c r="E251" s="668" t="s">
        <v>360</v>
      </c>
      <c r="F251" s="129">
        <v>-32664837</v>
      </c>
      <c r="G251" s="129">
        <v>-3541008</v>
      </c>
      <c r="H251" s="129">
        <v>32578317</v>
      </c>
      <c r="I251" s="129">
        <v>2180013</v>
      </c>
      <c r="J251" s="129">
        <v>30398304</v>
      </c>
      <c r="K251" s="129">
        <v>1274475</v>
      </c>
      <c r="L251" s="129">
        <v>0</v>
      </c>
      <c r="M251" s="129">
        <v>-32664837</v>
      </c>
      <c r="N251" s="755">
        <v>0.25</v>
      </c>
      <c r="O251" s="755">
        <v>0.35</v>
      </c>
      <c r="P251" s="755">
        <v>0.4</v>
      </c>
      <c r="Q251" s="755">
        <v>0</v>
      </c>
      <c r="R251" s="755">
        <v>1</v>
      </c>
      <c r="S251" s="129">
        <v>-885252</v>
      </c>
      <c r="T251" s="129">
        <v>-1239353</v>
      </c>
      <c r="U251" s="129">
        <v>-1416403</v>
      </c>
      <c r="V251" s="129">
        <v>0</v>
      </c>
      <c r="W251" s="129">
        <v>-3541008</v>
      </c>
      <c r="X251" s="755">
        <v>0.5</v>
      </c>
      <c r="Y251" s="755">
        <v>0.4</v>
      </c>
      <c r="Z251" s="755">
        <v>0.1</v>
      </c>
      <c r="AA251" s="755">
        <v>0</v>
      </c>
      <c r="AB251" s="755">
        <v>1</v>
      </c>
      <c r="AC251" s="129">
        <v>-14561915</v>
      </c>
      <c r="AD251" s="129">
        <v>-11649532</v>
      </c>
      <c r="AE251" s="129">
        <v>-2912383</v>
      </c>
      <c r="AF251" s="129">
        <v>0</v>
      </c>
      <c r="AG251" s="129">
        <v>-29123829</v>
      </c>
      <c r="AH251" s="755">
        <v>0.5</v>
      </c>
      <c r="AI251" s="755">
        <v>0.4</v>
      </c>
      <c r="AJ251" s="755">
        <v>0.1</v>
      </c>
      <c r="AK251" s="755">
        <v>0</v>
      </c>
      <c r="AL251" s="755">
        <v>1</v>
      </c>
      <c r="AM251" s="129">
        <v>0</v>
      </c>
      <c r="AN251" s="129">
        <v>0</v>
      </c>
      <c r="AO251" s="129">
        <v>0</v>
      </c>
      <c r="AP251" s="129">
        <v>0</v>
      </c>
      <c r="AQ251" s="129">
        <v>0</v>
      </c>
      <c r="AR251" s="129">
        <v>-15447167</v>
      </c>
      <c r="AS251" s="129">
        <v>-12888884</v>
      </c>
      <c r="AT251" s="129">
        <v>-4328786</v>
      </c>
      <c r="AU251" s="129">
        <v>0</v>
      </c>
      <c r="AV251" s="129">
        <v>-32664837</v>
      </c>
      <c r="AW251" s="662" t="s">
        <v>360</v>
      </c>
      <c r="AX251" s="324" t="s">
        <v>536</v>
      </c>
      <c r="AY251" s="663" t="s">
        <v>512</v>
      </c>
      <c r="AZ251" s="529" t="s">
        <v>1457</v>
      </c>
    </row>
    <row r="252" spans="1:52" ht="12.75" x14ac:dyDescent="0.2">
      <c r="A252" s="664">
        <v>245</v>
      </c>
      <c r="B252" s="665" t="s">
        <v>362</v>
      </c>
      <c r="C252" s="666" t="s">
        <v>1217</v>
      </c>
      <c r="D252" s="667" t="s">
        <v>1204</v>
      </c>
      <c r="E252" s="668" t="s">
        <v>817</v>
      </c>
      <c r="F252" s="129">
        <v>-22169250</v>
      </c>
      <c r="G252" s="129">
        <v>223464</v>
      </c>
      <c r="H252" s="129">
        <v>21204000</v>
      </c>
      <c r="I252" s="129">
        <v>831286</v>
      </c>
      <c r="J252" s="129">
        <v>20372714</v>
      </c>
      <c r="K252" s="129">
        <v>-2020000</v>
      </c>
      <c r="L252" s="129">
        <v>1346667</v>
      </c>
      <c r="M252" s="129">
        <v>-20822583</v>
      </c>
      <c r="N252" s="755">
        <v>0</v>
      </c>
      <c r="O252" s="755">
        <v>0.99</v>
      </c>
      <c r="P252" s="755">
        <v>0</v>
      </c>
      <c r="Q252" s="755">
        <v>0.01</v>
      </c>
      <c r="R252" s="755">
        <v>1</v>
      </c>
      <c r="S252" s="129">
        <v>0</v>
      </c>
      <c r="T252" s="129">
        <v>221229</v>
      </c>
      <c r="U252" s="129">
        <v>0</v>
      </c>
      <c r="V252" s="129">
        <v>2235</v>
      </c>
      <c r="W252" s="129">
        <v>223464</v>
      </c>
      <c r="X252" s="755">
        <v>0</v>
      </c>
      <c r="Y252" s="755">
        <v>0.99</v>
      </c>
      <c r="Z252" s="755">
        <v>0</v>
      </c>
      <c r="AA252" s="755">
        <v>0.01</v>
      </c>
      <c r="AB252" s="755">
        <v>1</v>
      </c>
      <c r="AC252" s="129">
        <v>0</v>
      </c>
      <c r="AD252" s="129">
        <v>-20168987</v>
      </c>
      <c r="AE252" s="129">
        <v>0</v>
      </c>
      <c r="AF252" s="129">
        <v>-203727</v>
      </c>
      <c r="AG252" s="129">
        <v>-20372714</v>
      </c>
      <c r="AH252" s="755">
        <v>0</v>
      </c>
      <c r="AI252" s="755">
        <v>0.99</v>
      </c>
      <c r="AJ252" s="755">
        <v>0</v>
      </c>
      <c r="AK252" s="755">
        <v>0.01</v>
      </c>
      <c r="AL252" s="755">
        <v>1</v>
      </c>
      <c r="AM252" s="129">
        <v>0</v>
      </c>
      <c r="AN252" s="129">
        <v>-666600</v>
      </c>
      <c r="AO252" s="129">
        <v>0</v>
      </c>
      <c r="AP252" s="129">
        <v>-6733</v>
      </c>
      <c r="AQ252" s="129">
        <v>-673333</v>
      </c>
      <c r="AR252" s="129">
        <v>0</v>
      </c>
      <c r="AS252" s="129">
        <v>-20614358</v>
      </c>
      <c r="AT252" s="129">
        <v>0</v>
      </c>
      <c r="AU252" s="129">
        <v>-208226</v>
      </c>
      <c r="AV252" s="129">
        <v>-20822583</v>
      </c>
      <c r="AW252" s="662" t="s">
        <v>817</v>
      </c>
      <c r="AX252" s="324" t="s">
        <v>570</v>
      </c>
      <c r="AY252" s="663" t="s">
        <v>571</v>
      </c>
      <c r="AZ252" s="529" t="s">
        <v>1458</v>
      </c>
    </row>
    <row r="253" spans="1:52" ht="12.75" x14ac:dyDescent="0.2">
      <c r="A253" s="664">
        <v>246</v>
      </c>
      <c r="B253" s="665" t="s">
        <v>364</v>
      </c>
      <c r="C253" s="666" t="s">
        <v>1201</v>
      </c>
      <c r="D253" s="667" t="s">
        <v>1228</v>
      </c>
      <c r="E253" s="668" t="s">
        <v>363</v>
      </c>
      <c r="F253" s="129">
        <v>-24585677</v>
      </c>
      <c r="G253" s="129">
        <v>520030</v>
      </c>
      <c r="H253" s="129">
        <v>23000802</v>
      </c>
      <c r="I253" s="129">
        <v>1490771</v>
      </c>
      <c r="J253" s="129">
        <v>21510031</v>
      </c>
      <c r="K253" s="129">
        <v>-3595676</v>
      </c>
      <c r="L253" s="129">
        <v>2397117</v>
      </c>
      <c r="M253" s="129">
        <v>-22188560</v>
      </c>
      <c r="N253" s="755">
        <v>0.25</v>
      </c>
      <c r="O253" s="755">
        <v>0.4</v>
      </c>
      <c r="P253" s="755">
        <v>0.34</v>
      </c>
      <c r="Q253" s="755">
        <v>0.01</v>
      </c>
      <c r="R253" s="755">
        <v>1</v>
      </c>
      <c r="S253" s="129">
        <v>130007</v>
      </c>
      <c r="T253" s="129">
        <v>208012</v>
      </c>
      <c r="U253" s="129">
        <v>176810</v>
      </c>
      <c r="V253" s="129">
        <v>5200</v>
      </c>
      <c r="W253" s="129">
        <v>520030</v>
      </c>
      <c r="X253" s="755">
        <v>0.5</v>
      </c>
      <c r="Y253" s="755">
        <v>0.4</v>
      </c>
      <c r="Z253" s="755">
        <v>0.09</v>
      </c>
      <c r="AA253" s="755">
        <v>0.01</v>
      </c>
      <c r="AB253" s="755">
        <v>1</v>
      </c>
      <c r="AC253" s="129">
        <v>-10755016</v>
      </c>
      <c r="AD253" s="129">
        <v>-8604012</v>
      </c>
      <c r="AE253" s="129">
        <v>-1935903</v>
      </c>
      <c r="AF253" s="129">
        <v>-215100</v>
      </c>
      <c r="AG253" s="129">
        <v>-21510031</v>
      </c>
      <c r="AH253" s="755">
        <v>0.5</v>
      </c>
      <c r="AI253" s="755">
        <v>0.4</v>
      </c>
      <c r="AJ253" s="755">
        <v>0.09</v>
      </c>
      <c r="AK253" s="755">
        <v>0.01</v>
      </c>
      <c r="AL253" s="755">
        <v>1</v>
      </c>
      <c r="AM253" s="129">
        <v>-599279</v>
      </c>
      <c r="AN253" s="129">
        <v>-479423</v>
      </c>
      <c r="AO253" s="129">
        <v>-107870</v>
      </c>
      <c r="AP253" s="129">
        <v>-11986</v>
      </c>
      <c r="AQ253" s="129">
        <v>-1198559</v>
      </c>
      <c r="AR253" s="129">
        <v>-11224287</v>
      </c>
      <c r="AS253" s="129">
        <v>-8875424</v>
      </c>
      <c r="AT253" s="129">
        <v>-1866963</v>
      </c>
      <c r="AU253" s="129">
        <v>-221886</v>
      </c>
      <c r="AV253" s="129">
        <v>-22188560</v>
      </c>
      <c r="AW253" s="662" t="s">
        <v>363</v>
      </c>
      <c r="AX253" s="324" t="s">
        <v>564</v>
      </c>
      <c r="AY253" s="663" t="s">
        <v>1917</v>
      </c>
      <c r="AZ253" s="529" t="s">
        <v>1459</v>
      </c>
    </row>
    <row r="254" spans="1:52" ht="12.75" x14ac:dyDescent="0.2">
      <c r="A254" s="664">
        <v>247</v>
      </c>
      <c r="B254" s="665" t="s">
        <v>366</v>
      </c>
      <c r="C254" s="666" t="s">
        <v>1201</v>
      </c>
      <c r="D254" s="667" t="s">
        <v>1228</v>
      </c>
      <c r="E254" s="668" t="s">
        <v>365</v>
      </c>
      <c r="F254" s="129">
        <v>-10194860</v>
      </c>
      <c r="G254" s="129">
        <v>1226790</v>
      </c>
      <c r="H254" s="129">
        <v>11558382</v>
      </c>
      <c r="I254" s="129">
        <v>468983</v>
      </c>
      <c r="J254" s="129">
        <v>11089399</v>
      </c>
      <c r="K254" s="129">
        <v>-332251</v>
      </c>
      <c r="L254" s="129">
        <v>221501</v>
      </c>
      <c r="M254" s="129">
        <v>-9973359</v>
      </c>
      <c r="N254" s="755">
        <v>0.25</v>
      </c>
      <c r="O254" s="755">
        <v>0.4</v>
      </c>
      <c r="P254" s="755">
        <v>0.34</v>
      </c>
      <c r="Q254" s="755">
        <v>0.01</v>
      </c>
      <c r="R254" s="755">
        <v>1</v>
      </c>
      <c r="S254" s="129">
        <v>306698</v>
      </c>
      <c r="T254" s="129">
        <v>490716</v>
      </c>
      <c r="U254" s="129">
        <v>417109</v>
      </c>
      <c r="V254" s="129">
        <v>12268</v>
      </c>
      <c r="W254" s="129">
        <v>1226790</v>
      </c>
      <c r="X254" s="755">
        <v>0.5</v>
      </c>
      <c r="Y254" s="755">
        <v>0.4</v>
      </c>
      <c r="Z254" s="755">
        <v>0.09</v>
      </c>
      <c r="AA254" s="755">
        <v>0.01</v>
      </c>
      <c r="AB254" s="755">
        <v>1</v>
      </c>
      <c r="AC254" s="129">
        <v>-5544700</v>
      </c>
      <c r="AD254" s="129">
        <v>-4435760</v>
      </c>
      <c r="AE254" s="129">
        <v>-998046</v>
      </c>
      <c r="AF254" s="129">
        <v>-110894</v>
      </c>
      <c r="AG254" s="129">
        <v>-11089399</v>
      </c>
      <c r="AH254" s="755">
        <v>0.5</v>
      </c>
      <c r="AI254" s="755">
        <v>0.4</v>
      </c>
      <c r="AJ254" s="755">
        <v>0.09</v>
      </c>
      <c r="AK254" s="755">
        <v>0.01</v>
      </c>
      <c r="AL254" s="755">
        <v>1</v>
      </c>
      <c r="AM254" s="129">
        <v>-55375</v>
      </c>
      <c r="AN254" s="129">
        <v>-44300</v>
      </c>
      <c r="AO254" s="129">
        <v>-9968</v>
      </c>
      <c r="AP254" s="129">
        <v>-1108</v>
      </c>
      <c r="AQ254" s="129">
        <v>-110750</v>
      </c>
      <c r="AR254" s="129">
        <v>-5293377</v>
      </c>
      <c r="AS254" s="129">
        <v>-3989344</v>
      </c>
      <c r="AT254" s="129">
        <v>-590905</v>
      </c>
      <c r="AU254" s="129">
        <v>-99734</v>
      </c>
      <c r="AV254" s="129">
        <v>-9973359</v>
      </c>
      <c r="AW254" s="662" t="s">
        <v>365</v>
      </c>
      <c r="AX254" s="324" t="s">
        <v>564</v>
      </c>
      <c r="AY254" s="663" t="s">
        <v>1917</v>
      </c>
      <c r="AZ254" s="529" t="s">
        <v>1460</v>
      </c>
    </row>
    <row r="255" spans="1:52" ht="12.75" x14ac:dyDescent="0.2">
      <c r="A255" s="664">
        <v>248</v>
      </c>
      <c r="B255" s="665" t="s">
        <v>368</v>
      </c>
      <c r="C255" s="666" t="s">
        <v>1201</v>
      </c>
      <c r="D255" s="667" t="s">
        <v>1211</v>
      </c>
      <c r="E255" s="668" t="s">
        <v>367</v>
      </c>
      <c r="F255" s="129">
        <v>-19221944</v>
      </c>
      <c r="G255" s="129">
        <v>2346078</v>
      </c>
      <c r="H255" s="129">
        <v>21823863</v>
      </c>
      <c r="I255" s="129">
        <v>907138</v>
      </c>
      <c r="J255" s="129">
        <v>20916725</v>
      </c>
      <c r="K255" s="129">
        <v>-651296</v>
      </c>
      <c r="L255" s="129">
        <v>434197</v>
      </c>
      <c r="M255" s="129">
        <v>-18787746</v>
      </c>
      <c r="N255" s="755">
        <v>0.25</v>
      </c>
      <c r="O255" s="755">
        <v>0.35</v>
      </c>
      <c r="P255" s="755">
        <v>0.4</v>
      </c>
      <c r="Q255" s="755">
        <v>0</v>
      </c>
      <c r="R255" s="755">
        <v>1</v>
      </c>
      <c r="S255" s="129">
        <v>586519</v>
      </c>
      <c r="T255" s="129">
        <v>821127</v>
      </c>
      <c r="U255" s="129">
        <v>938431</v>
      </c>
      <c r="V255" s="129">
        <v>0</v>
      </c>
      <c r="W255" s="129">
        <v>2346078</v>
      </c>
      <c r="X255" s="755">
        <v>0.5</v>
      </c>
      <c r="Y255" s="755">
        <v>0.4</v>
      </c>
      <c r="Z255" s="755">
        <v>0.1</v>
      </c>
      <c r="AA255" s="755">
        <v>0</v>
      </c>
      <c r="AB255" s="755">
        <v>1</v>
      </c>
      <c r="AC255" s="129">
        <v>-10458363</v>
      </c>
      <c r="AD255" s="129">
        <v>-8366690</v>
      </c>
      <c r="AE255" s="129">
        <v>-2091673</v>
      </c>
      <c r="AF255" s="129">
        <v>0</v>
      </c>
      <c r="AG255" s="129">
        <v>-20916725</v>
      </c>
      <c r="AH255" s="755">
        <v>0.5</v>
      </c>
      <c r="AI255" s="755">
        <v>0.4</v>
      </c>
      <c r="AJ255" s="755">
        <v>0.1</v>
      </c>
      <c r="AK255" s="755">
        <v>0</v>
      </c>
      <c r="AL255" s="755">
        <v>1</v>
      </c>
      <c r="AM255" s="129">
        <v>-108549</v>
      </c>
      <c r="AN255" s="129">
        <v>-86839</v>
      </c>
      <c r="AO255" s="129">
        <v>-21710</v>
      </c>
      <c r="AP255" s="129">
        <v>0</v>
      </c>
      <c r="AQ255" s="129">
        <v>-217099</v>
      </c>
      <c r="AR255" s="129">
        <v>-9980392</v>
      </c>
      <c r="AS255" s="129">
        <v>-7632402</v>
      </c>
      <c r="AT255" s="129">
        <v>-1174951</v>
      </c>
      <c r="AU255" s="129">
        <v>0</v>
      </c>
      <c r="AV255" s="129">
        <v>-18787746</v>
      </c>
      <c r="AW255" s="662" t="s">
        <v>367</v>
      </c>
      <c r="AX255" s="324" t="s">
        <v>536</v>
      </c>
      <c r="AY255" s="663" t="s">
        <v>512</v>
      </c>
      <c r="AZ255" s="529" t="s">
        <v>1461</v>
      </c>
    </row>
    <row r="256" spans="1:52" ht="12.75" x14ac:dyDescent="0.2">
      <c r="A256" s="664">
        <v>249</v>
      </c>
      <c r="B256" s="665" t="s">
        <v>370</v>
      </c>
      <c r="C256" s="666" t="s">
        <v>1217</v>
      </c>
      <c r="D256" s="667" t="s">
        <v>1204</v>
      </c>
      <c r="E256" s="668" t="s">
        <v>369</v>
      </c>
      <c r="F256" s="129">
        <v>-42073137</v>
      </c>
      <c r="G256" s="129">
        <v>867674</v>
      </c>
      <c r="H256" s="129">
        <v>43876000</v>
      </c>
      <c r="I256" s="129">
        <v>2545573</v>
      </c>
      <c r="J256" s="129">
        <v>41330427</v>
      </c>
      <c r="K256" s="129">
        <v>-1610384</v>
      </c>
      <c r="L256" s="129">
        <v>1073589</v>
      </c>
      <c r="M256" s="129">
        <v>-40999548</v>
      </c>
      <c r="N256" s="755">
        <v>0</v>
      </c>
      <c r="O256" s="755">
        <v>0.99</v>
      </c>
      <c r="P256" s="755">
        <v>0</v>
      </c>
      <c r="Q256" s="755">
        <v>0.01</v>
      </c>
      <c r="R256" s="755">
        <v>1</v>
      </c>
      <c r="S256" s="129">
        <v>0</v>
      </c>
      <c r="T256" s="129">
        <v>858997</v>
      </c>
      <c r="U256" s="129">
        <v>0</v>
      </c>
      <c r="V256" s="129">
        <v>8677</v>
      </c>
      <c r="W256" s="129">
        <v>867674</v>
      </c>
      <c r="X256" s="755">
        <v>0</v>
      </c>
      <c r="Y256" s="755">
        <v>0.99</v>
      </c>
      <c r="Z256" s="755">
        <v>0</v>
      </c>
      <c r="AA256" s="755">
        <v>0.01</v>
      </c>
      <c r="AB256" s="755">
        <v>1</v>
      </c>
      <c r="AC256" s="129">
        <v>0</v>
      </c>
      <c r="AD256" s="129">
        <v>-40917123</v>
      </c>
      <c r="AE256" s="129">
        <v>0</v>
      </c>
      <c r="AF256" s="129">
        <v>-413304</v>
      </c>
      <c r="AG256" s="129">
        <v>-41330427</v>
      </c>
      <c r="AH256" s="755">
        <v>0</v>
      </c>
      <c r="AI256" s="755">
        <v>0.99</v>
      </c>
      <c r="AJ256" s="755">
        <v>0</v>
      </c>
      <c r="AK256" s="755">
        <v>0.01</v>
      </c>
      <c r="AL256" s="755">
        <v>1</v>
      </c>
      <c r="AM256" s="129">
        <v>0</v>
      </c>
      <c r="AN256" s="129">
        <v>-531427</v>
      </c>
      <c r="AO256" s="129">
        <v>0</v>
      </c>
      <c r="AP256" s="129">
        <v>-5368</v>
      </c>
      <c r="AQ256" s="129">
        <v>-536795</v>
      </c>
      <c r="AR256" s="129">
        <v>0</v>
      </c>
      <c r="AS256" s="129">
        <v>-40589552</v>
      </c>
      <c r="AT256" s="129">
        <v>0</v>
      </c>
      <c r="AU256" s="129">
        <v>-409995</v>
      </c>
      <c r="AV256" s="129">
        <v>-40999548</v>
      </c>
      <c r="AW256" s="662" t="s">
        <v>369</v>
      </c>
      <c r="AX256" s="324" t="s">
        <v>570</v>
      </c>
      <c r="AY256" s="663" t="s">
        <v>1915</v>
      </c>
      <c r="AZ256" s="529" t="s">
        <v>1462</v>
      </c>
    </row>
    <row r="257" spans="1:52" ht="12.75" x14ac:dyDescent="0.2">
      <c r="A257" s="664">
        <v>250</v>
      </c>
      <c r="B257" s="665" t="s">
        <v>372</v>
      </c>
      <c r="C257" s="666" t="s">
        <v>486</v>
      </c>
      <c r="D257" s="667" t="s">
        <v>1283</v>
      </c>
      <c r="E257" s="668" t="s">
        <v>511</v>
      </c>
      <c r="F257" s="129">
        <v>-34659041</v>
      </c>
      <c r="G257" s="129">
        <v>-390523</v>
      </c>
      <c r="H257" s="129">
        <v>33787434</v>
      </c>
      <c r="I257" s="129">
        <v>1241123</v>
      </c>
      <c r="J257" s="129">
        <v>32546311</v>
      </c>
      <c r="K257" s="129">
        <v>-1722207</v>
      </c>
      <c r="L257" s="129">
        <v>1148138</v>
      </c>
      <c r="M257" s="129">
        <v>-33510903</v>
      </c>
      <c r="N257" s="755">
        <v>0.5</v>
      </c>
      <c r="O257" s="755">
        <v>0.49</v>
      </c>
      <c r="P257" s="755">
        <v>0</v>
      </c>
      <c r="Q257" s="755">
        <v>0.01</v>
      </c>
      <c r="R257" s="755">
        <v>1</v>
      </c>
      <c r="S257" s="129">
        <v>-195262</v>
      </c>
      <c r="T257" s="129">
        <v>-191356</v>
      </c>
      <c r="U257" s="129">
        <v>0</v>
      </c>
      <c r="V257" s="129">
        <v>-3905</v>
      </c>
      <c r="W257" s="129">
        <v>-390523</v>
      </c>
      <c r="X257" s="755">
        <v>0.5</v>
      </c>
      <c r="Y257" s="755">
        <v>0.49</v>
      </c>
      <c r="Z257" s="755">
        <v>0</v>
      </c>
      <c r="AA257" s="755">
        <v>0.01</v>
      </c>
      <c r="AB257" s="755">
        <v>1</v>
      </c>
      <c r="AC257" s="129">
        <v>-16273156</v>
      </c>
      <c r="AD257" s="129">
        <v>-15947692</v>
      </c>
      <c r="AE257" s="129">
        <v>0</v>
      </c>
      <c r="AF257" s="129">
        <v>-325463</v>
      </c>
      <c r="AG257" s="129">
        <v>-32546311</v>
      </c>
      <c r="AH257" s="755">
        <v>0.5</v>
      </c>
      <c r="AI257" s="755">
        <v>0.49</v>
      </c>
      <c r="AJ257" s="755">
        <v>0</v>
      </c>
      <c r="AK257" s="755">
        <v>0.01</v>
      </c>
      <c r="AL257" s="755">
        <v>1</v>
      </c>
      <c r="AM257" s="129">
        <v>-287035</v>
      </c>
      <c r="AN257" s="129">
        <v>-281294</v>
      </c>
      <c r="AO257" s="129">
        <v>0</v>
      </c>
      <c r="AP257" s="129">
        <v>-5741</v>
      </c>
      <c r="AQ257" s="129">
        <v>-574069</v>
      </c>
      <c r="AR257" s="129">
        <v>-16755452</v>
      </c>
      <c r="AS257" s="129">
        <v>-16420342</v>
      </c>
      <c r="AT257" s="129">
        <v>0</v>
      </c>
      <c r="AU257" s="129">
        <v>-335109</v>
      </c>
      <c r="AV257" s="129">
        <v>-33510903</v>
      </c>
      <c r="AW257" s="662" t="s">
        <v>511</v>
      </c>
      <c r="AX257" s="324" t="s">
        <v>486</v>
      </c>
      <c r="AY257" s="663" t="s">
        <v>509</v>
      </c>
      <c r="AZ257" s="529" t="s">
        <v>1463</v>
      </c>
    </row>
    <row r="258" spans="1:52" ht="12.75" x14ac:dyDescent="0.2">
      <c r="A258" s="664">
        <v>251</v>
      </c>
      <c r="B258" s="665" t="s">
        <v>374</v>
      </c>
      <c r="C258" s="666" t="s">
        <v>486</v>
      </c>
      <c r="D258" s="667" t="s">
        <v>1228</v>
      </c>
      <c r="E258" s="668" t="s">
        <v>563</v>
      </c>
      <c r="F258" s="129">
        <v>-44236629</v>
      </c>
      <c r="G258" s="129">
        <v>1395404</v>
      </c>
      <c r="H258" s="129">
        <v>44875585</v>
      </c>
      <c r="I258" s="129">
        <v>1505811</v>
      </c>
      <c r="J258" s="129">
        <v>43369774</v>
      </c>
      <c r="K258" s="129">
        <v>-2262259</v>
      </c>
      <c r="L258" s="129">
        <v>1508173</v>
      </c>
      <c r="M258" s="129">
        <v>-42728456</v>
      </c>
      <c r="N258" s="755">
        <v>0.25</v>
      </c>
      <c r="O258" s="755">
        <v>0.74</v>
      </c>
      <c r="P258" s="755">
        <v>0</v>
      </c>
      <c r="Q258" s="755">
        <v>0.01</v>
      </c>
      <c r="R258" s="755">
        <v>1</v>
      </c>
      <c r="S258" s="129">
        <v>348851</v>
      </c>
      <c r="T258" s="129">
        <v>1032599</v>
      </c>
      <c r="U258" s="129">
        <v>0</v>
      </c>
      <c r="V258" s="129">
        <v>13954</v>
      </c>
      <c r="W258" s="129">
        <v>1395404</v>
      </c>
      <c r="X258" s="755">
        <v>0.5</v>
      </c>
      <c r="Y258" s="755">
        <v>0.49</v>
      </c>
      <c r="Z258" s="755">
        <v>0</v>
      </c>
      <c r="AA258" s="755">
        <v>0.01</v>
      </c>
      <c r="AB258" s="755">
        <v>1</v>
      </c>
      <c r="AC258" s="129">
        <v>-21684887</v>
      </c>
      <c r="AD258" s="129">
        <v>-21251189</v>
      </c>
      <c r="AE258" s="129">
        <v>0</v>
      </c>
      <c r="AF258" s="129">
        <v>-433698</v>
      </c>
      <c r="AG258" s="129">
        <v>-43369774</v>
      </c>
      <c r="AH258" s="755">
        <v>0.5</v>
      </c>
      <c r="AI258" s="755">
        <v>0.49</v>
      </c>
      <c r="AJ258" s="755">
        <v>0</v>
      </c>
      <c r="AK258" s="755">
        <v>0.01</v>
      </c>
      <c r="AL258" s="755">
        <v>1</v>
      </c>
      <c r="AM258" s="129">
        <v>-377043</v>
      </c>
      <c r="AN258" s="129">
        <v>-369502</v>
      </c>
      <c r="AO258" s="129">
        <v>0</v>
      </c>
      <c r="AP258" s="129">
        <v>-7541</v>
      </c>
      <c r="AQ258" s="129">
        <v>-754086</v>
      </c>
      <c r="AR258" s="129">
        <v>-21713079</v>
      </c>
      <c r="AS258" s="129">
        <v>-20588093</v>
      </c>
      <c r="AT258" s="129">
        <v>0</v>
      </c>
      <c r="AU258" s="129">
        <v>-427285</v>
      </c>
      <c r="AV258" s="129">
        <v>-42728456</v>
      </c>
      <c r="AW258" s="662" t="s">
        <v>563</v>
      </c>
      <c r="AX258" s="324" t="s">
        <v>486</v>
      </c>
      <c r="AY258" s="663" t="s">
        <v>1917</v>
      </c>
      <c r="AZ258" s="529" t="s">
        <v>1464</v>
      </c>
    </row>
    <row r="259" spans="1:52" ht="12.75" x14ac:dyDescent="0.2">
      <c r="A259" s="664">
        <v>252</v>
      </c>
      <c r="B259" s="665" t="s">
        <v>376</v>
      </c>
      <c r="C259" s="666" t="s">
        <v>1201</v>
      </c>
      <c r="D259" s="667" t="s">
        <v>1228</v>
      </c>
      <c r="E259" s="668" t="s">
        <v>375</v>
      </c>
      <c r="F259" s="129">
        <v>-28031936</v>
      </c>
      <c r="G259" s="129">
        <v>3648815</v>
      </c>
      <c r="H259" s="129">
        <v>29779898</v>
      </c>
      <c r="I259" s="129">
        <v>1416087</v>
      </c>
      <c r="J259" s="129">
        <v>28363811</v>
      </c>
      <c r="K259" s="129">
        <v>-3316940</v>
      </c>
      <c r="L259" s="129">
        <v>2211293</v>
      </c>
      <c r="M259" s="129">
        <v>-25820643</v>
      </c>
      <c r="N259" s="755">
        <v>0.5</v>
      </c>
      <c r="O259" s="755">
        <v>0.4</v>
      </c>
      <c r="P259" s="755">
        <v>0.1</v>
      </c>
      <c r="Q259" s="755">
        <v>0</v>
      </c>
      <c r="R259" s="755">
        <v>1</v>
      </c>
      <c r="S259" s="129">
        <v>1824407</v>
      </c>
      <c r="T259" s="129">
        <v>1459526</v>
      </c>
      <c r="U259" s="129">
        <v>364881</v>
      </c>
      <c r="V259" s="129">
        <v>0</v>
      </c>
      <c r="W259" s="129">
        <v>3648815</v>
      </c>
      <c r="X259" s="755">
        <v>0.5</v>
      </c>
      <c r="Y259" s="755">
        <v>0.4</v>
      </c>
      <c r="Z259" s="755">
        <v>0.1</v>
      </c>
      <c r="AA259" s="755">
        <v>0</v>
      </c>
      <c r="AB259" s="755">
        <v>1</v>
      </c>
      <c r="AC259" s="129">
        <v>-14181906</v>
      </c>
      <c r="AD259" s="129">
        <v>-11345524</v>
      </c>
      <c r="AE259" s="129">
        <v>-2836381</v>
      </c>
      <c r="AF259" s="129">
        <v>0</v>
      </c>
      <c r="AG259" s="129">
        <v>-28363811</v>
      </c>
      <c r="AH259" s="755">
        <v>0.5</v>
      </c>
      <c r="AI259" s="755">
        <v>0.4</v>
      </c>
      <c r="AJ259" s="755">
        <v>0.1</v>
      </c>
      <c r="AK259" s="755">
        <v>0</v>
      </c>
      <c r="AL259" s="755">
        <v>1</v>
      </c>
      <c r="AM259" s="129">
        <v>-552823</v>
      </c>
      <c r="AN259" s="129">
        <v>-442259</v>
      </c>
      <c r="AO259" s="129">
        <v>-110565</v>
      </c>
      <c r="AP259" s="129">
        <v>0</v>
      </c>
      <c r="AQ259" s="129">
        <v>-1105647</v>
      </c>
      <c r="AR259" s="129">
        <v>-12910321</v>
      </c>
      <c r="AS259" s="129">
        <v>-10328257</v>
      </c>
      <c r="AT259" s="129">
        <v>-2582064</v>
      </c>
      <c r="AU259" s="129">
        <v>0</v>
      </c>
      <c r="AV259" s="129">
        <v>-25820643</v>
      </c>
      <c r="AW259" s="662" t="s">
        <v>375</v>
      </c>
      <c r="AX259" s="324" t="s">
        <v>567</v>
      </c>
      <c r="AY259" s="663" t="s">
        <v>512</v>
      </c>
      <c r="AZ259" s="529" t="s">
        <v>1465</v>
      </c>
    </row>
    <row r="260" spans="1:52" ht="12.75" x14ac:dyDescent="0.2">
      <c r="A260" s="664">
        <v>253</v>
      </c>
      <c r="B260" s="665" t="s">
        <v>378</v>
      </c>
      <c r="C260" s="666" t="s">
        <v>1201</v>
      </c>
      <c r="D260" s="667" t="s">
        <v>1224</v>
      </c>
      <c r="E260" s="668" t="s">
        <v>377</v>
      </c>
      <c r="F260" s="129">
        <v>-10952241</v>
      </c>
      <c r="G260" s="129">
        <v>628925</v>
      </c>
      <c r="H260" s="129">
        <v>11737047</v>
      </c>
      <c r="I260" s="129">
        <v>512504</v>
      </c>
      <c r="J260" s="129">
        <v>11224543</v>
      </c>
      <c r="K260" s="129">
        <v>-356623</v>
      </c>
      <c r="L260" s="129">
        <v>237749</v>
      </c>
      <c r="M260" s="129">
        <v>-10714492</v>
      </c>
      <c r="N260" s="755">
        <v>0.5</v>
      </c>
      <c r="O260" s="755">
        <v>0.4</v>
      </c>
      <c r="P260" s="755">
        <v>0.1</v>
      </c>
      <c r="Q260" s="755">
        <v>0</v>
      </c>
      <c r="R260" s="755">
        <v>1</v>
      </c>
      <c r="S260" s="129">
        <v>314462</v>
      </c>
      <c r="T260" s="129">
        <v>251570</v>
      </c>
      <c r="U260" s="129">
        <v>62892</v>
      </c>
      <c r="V260" s="129">
        <v>0</v>
      </c>
      <c r="W260" s="129">
        <v>628925</v>
      </c>
      <c r="X260" s="755">
        <v>0.5</v>
      </c>
      <c r="Y260" s="755">
        <v>0.4</v>
      </c>
      <c r="Z260" s="755">
        <v>0.1</v>
      </c>
      <c r="AA260" s="755">
        <v>0</v>
      </c>
      <c r="AB260" s="755">
        <v>1</v>
      </c>
      <c r="AC260" s="129">
        <v>-5612272</v>
      </c>
      <c r="AD260" s="129">
        <v>-4489817</v>
      </c>
      <c r="AE260" s="129">
        <v>-1122454</v>
      </c>
      <c r="AF260" s="129">
        <v>0</v>
      </c>
      <c r="AG260" s="129">
        <v>-11224543</v>
      </c>
      <c r="AH260" s="755">
        <v>0.5</v>
      </c>
      <c r="AI260" s="755">
        <v>0.4</v>
      </c>
      <c r="AJ260" s="755">
        <v>0.1</v>
      </c>
      <c r="AK260" s="755">
        <v>0</v>
      </c>
      <c r="AL260" s="755">
        <v>1</v>
      </c>
      <c r="AM260" s="129">
        <v>-59437</v>
      </c>
      <c r="AN260" s="129">
        <v>-47550</v>
      </c>
      <c r="AO260" s="129">
        <v>-11887</v>
      </c>
      <c r="AP260" s="129">
        <v>0</v>
      </c>
      <c r="AQ260" s="129">
        <v>-118874</v>
      </c>
      <c r="AR260" s="129">
        <v>-5357246</v>
      </c>
      <c r="AS260" s="129">
        <v>-4285797</v>
      </c>
      <c r="AT260" s="129">
        <v>-1071449</v>
      </c>
      <c r="AU260" s="129">
        <v>0</v>
      </c>
      <c r="AV260" s="129">
        <v>-10714492</v>
      </c>
      <c r="AW260" s="662" t="s">
        <v>377</v>
      </c>
      <c r="AX260" s="324" t="s">
        <v>529</v>
      </c>
      <c r="AY260" s="663" t="s">
        <v>512</v>
      </c>
      <c r="AZ260" s="529" t="s">
        <v>1466</v>
      </c>
    </row>
    <row r="261" spans="1:52" ht="12.75" x14ac:dyDescent="0.2">
      <c r="A261" s="664">
        <v>254</v>
      </c>
      <c r="B261" s="665" t="s">
        <v>380</v>
      </c>
      <c r="C261" s="666" t="s">
        <v>1217</v>
      </c>
      <c r="D261" s="667" t="s">
        <v>1283</v>
      </c>
      <c r="E261" s="668" t="s">
        <v>379</v>
      </c>
      <c r="F261" s="129">
        <v>-42723254</v>
      </c>
      <c r="G261" s="129">
        <v>330228</v>
      </c>
      <c r="H261" s="129">
        <v>42005493</v>
      </c>
      <c r="I261" s="129">
        <v>1519066</v>
      </c>
      <c r="J261" s="129">
        <v>40486427</v>
      </c>
      <c r="K261" s="129">
        <v>-2567055</v>
      </c>
      <c r="L261" s="129">
        <v>1711370</v>
      </c>
      <c r="M261" s="129">
        <v>-41011884</v>
      </c>
      <c r="N261" s="755">
        <v>0.5</v>
      </c>
      <c r="O261" s="755">
        <v>0.49</v>
      </c>
      <c r="P261" s="755">
        <v>0</v>
      </c>
      <c r="Q261" s="755">
        <v>0.01</v>
      </c>
      <c r="R261" s="755">
        <v>1</v>
      </c>
      <c r="S261" s="129">
        <v>165114</v>
      </c>
      <c r="T261" s="129">
        <v>161812</v>
      </c>
      <c r="U261" s="129">
        <v>0</v>
      </c>
      <c r="V261" s="129">
        <v>3302</v>
      </c>
      <c r="W261" s="129">
        <v>330228</v>
      </c>
      <c r="X261" s="755">
        <v>0.5</v>
      </c>
      <c r="Y261" s="755">
        <v>0.49</v>
      </c>
      <c r="Z261" s="755">
        <v>0</v>
      </c>
      <c r="AA261" s="755">
        <v>0.01</v>
      </c>
      <c r="AB261" s="755">
        <v>1</v>
      </c>
      <c r="AC261" s="129">
        <v>-20243214</v>
      </c>
      <c r="AD261" s="129">
        <v>-19838349</v>
      </c>
      <c r="AE261" s="129">
        <v>0</v>
      </c>
      <c r="AF261" s="129">
        <v>-404864</v>
      </c>
      <c r="AG261" s="129">
        <v>-40486427</v>
      </c>
      <c r="AH261" s="755">
        <v>0.5</v>
      </c>
      <c r="AI261" s="755">
        <v>0.49</v>
      </c>
      <c r="AJ261" s="755">
        <v>0</v>
      </c>
      <c r="AK261" s="755">
        <v>0.01</v>
      </c>
      <c r="AL261" s="755">
        <v>1</v>
      </c>
      <c r="AM261" s="129">
        <v>-427843</v>
      </c>
      <c r="AN261" s="129">
        <v>-419286</v>
      </c>
      <c r="AO261" s="129">
        <v>0</v>
      </c>
      <c r="AP261" s="129">
        <v>-8557</v>
      </c>
      <c r="AQ261" s="129">
        <v>-855685</v>
      </c>
      <c r="AR261" s="129">
        <v>-20505942</v>
      </c>
      <c r="AS261" s="129">
        <v>-20095823</v>
      </c>
      <c r="AT261" s="129">
        <v>0</v>
      </c>
      <c r="AU261" s="129">
        <v>-410119</v>
      </c>
      <c r="AV261" s="129">
        <v>-41011884</v>
      </c>
      <c r="AW261" s="662" t="s">
        <v>379</v>
      </c>
      <c r="AX261" s="324" t="s">
        <v>570</v>
      </c>
      <c r="AY261" s="663" t="s">
        <v>573</v>
      </c>
      <c r="AZ261" s="529" t="s">
        <v>1467</v>
      </c>
    </row>
    <row r="262" spans="1:52" ht="12.75" x14ac:dyDescent="0.2">
      <c r="A262" s="664">
        <v>255</v>
      </c>
      <c r="B262" s="665" t="s">
        <v>382</v>
      </c>
      <c r="C262" s="666" t="s">
        <v>1201</v>
      </c>
      <c r="D262" s="667" t="s">
        <v>1202</v>
      </c>
      <c r="E262" s="668" t="s">
        <v>381</v>
      </c>
      <c r="F262" s="129">
        <v>-19065902</v>
      </c>
      <c r="G262" s="129">
        <v>-3195178</v>
      </c>
      <c r="H262" s="129">
        <v>16394867</v>
      </c>
      <c r="I262" s="129">
        <v>800000</v>
      </c>
      <c r="J262" s="129">
        <v>15594867</v>
      </c>
      <c r="K262" s="129">
        <v>-275857</v>
      </c>
      <c r="L262" s="129">
        <v>183905</v>
      </c>
      <c r="M262" s="129">
        <v>-18881997</v>
      </c>
      <c r="N262" s="755">
        <v>0.5</v>
      </c>
      <c r="O262" s="755">
        <v>0.4</v>
      </c>
      <c r="P262" s="755">
        <v>0.1</v>
      </c>
      <c r="Q262" s="755">
        <v>0</v>
      </c>
      <c r="R262" s="755">
        <v>1</v>
      </c>
      <c r="S262" s="129">
        <v>-1597589</v>
      </c>
      <c r="T262" s="129">
        <v>-1278071</v>
      </c>
      <c r="U262" s="129">
        <v>-319518</v>
      </c>
      <c r="V262" s="129">
        <v>0</v>
      </c>
      <c r="W262" s="129">
        <v>-3195178</v>
      </c>
      <c r="X262" s="755">
        <v>0.5</v>
      </c>
      <c r="Y262" s="755">
        <v>0.4</v>
      </c>
      <c r="Z262" s="755">
        <v>0.1</v>
      </c>
      <c r="AA262" s="755">
        <v>0</v>
      </c>
      <c r="AB262" s="755">
        <v>1</v>
      </c>
      <c r="AC262" s="129">
        <v>-7797433</v>
      </c>
      <c r="AD262" s="129">
        <v>-6237947</v>
      </c>
      <c r="AE262" s="129">
        <v>-1559487</v>
      </c>
      <c r="AF262" s="129">
        <v>0</v>
      </c>
      <c r="AG262" s="129">
        <v>-15594867</v>
      </c>
      <c r="AH262" s="755">
        <v>0.5</v>
      </c>
      <c r="AI262" s="755">
        <v>0.4</v>
      </c>
      <c r="AJ262" s="755">
        <v>0.1</v>
      </c>
      <c r="AK262" s="755">
        <v>0</v>
      </c>
      <c r="AL262" s="755">
        <v>1</v>
      </c>
      <c r="AM262" s="129">
        <v>-45976</v>
      </c>
      <c r="AN262" s="129">
        <v>-36781</v>
      </c>
      <c r="AO262" s="129">
        <v>-9195</v>
      </c>
      <c r="AP262" s="129">
        <v>0</v>
      </c>
      <c r="AQ262" s="129">
        <v>-91952</v>
      </c>
      <c r="AR262" s="129">
        <v>-9440999</v>
      </c>
      <c r="AS262" s="129">
        <v>-7552799</v>
      </c>
      <c r="AT262" s="129">
        <v>-1888200</v>
      </c>
      <c r="AU262" s="129">
        <v>0</v>
      </c>
      <c r="AV262" s="129">
        <v>-18881997</v>
      </c>
      <c r="AW262" s="662" t="s">
        <v>381</v>
      </c>
      <c r="AX262" s="324" t="s">
        <v>566</v>
      </c>
      <c r="AY262" s="663" t="s">
        <v>512</v>
      </c>
      <c r="AZ262" s="529" t="s">
        <v>1468</v>
      </c>
    </row>
    <row r="263" spans="1:52" ht="12.75" x14ac:dyDescent="0.2">
      <c r="A263" s="664">
        <v>256</v>
      </c>
      <c r="B263" s="665" t="s">
        <v>384</v>
      </c>
      <c r="C263" s="666" t="s">
        <v>1213</v>
      </c>
      <c r="D263" s="667" t="s">
        <v>1214</v>
      </c>
      <c r="E263" s="668" t="s">
        <v>383</v>
      </c>
      <c r="F263" s="129">
        <v>-36991620</v>
      </c>
      <c r="G263" s="129">
        <v>721267</v>
      </c>
      <c r="H263" s="129">
        <v>28386716</v>
      </c>
      <c r="I263" s="129">
        <v>1302824</v>
      </c>
      <c r="J263" s="129">
        <v>27083892</v>
      </c>
      <c r="K263" s="129">
        <v>-10628995</v>
      </c>
      <c r="L263" s="129">
        <v>7085997</v>
      </c>
      <c r="M263" s="129">
        <v>-29905624</v>
      </c>
      <c r="N263" s="755">
        <v>0.25</v>
      </c>
      <c r="O263" s="755">
        <v>0.48</v>
      </c>
      <c r="P263" s="755">
        <v>0.27</v>
      </c>
      <c r="Q263" s="755">
        <v>0</v>
      </c>
      <c r="R263" s="755">
        <v>1</v>
      </c>
      <c r="S263" s="129">
        <v>180317</v>
      </c>
      <c r="T263" s="129">
        <v>346208</v>
      </c>
      <c r="U263" s="129">
        <v>194742</v>
      </c>
      <c r="V263" s="129">
        <v>0</v>
      </c>
      <c r="W263" s="129">
        <v>721267</v>
      </c>
      <c r="X263" s="755">
        <v>0.33</v>
      </c>
      <c r="Y263" s="755">
        <v>0.3</v>
      </c>
      <c r="Z263" s="755">
        <v>0.37</v>
      </c>
      <c r="AA263" s="755">
        <v>0</v>
      </c>
      <c r="AB263" s="755">
        <v>1</v>
      </c>
      <c r="AC263" s="129">
        <v>-8937684</v>
      </c>
      <c r="AD263" s="129">
        <v>-8125168</v>
      </c>
      <c r="AE263" s="129">
        <v>-10021040</v>
      </c>
      <c r="AF263" s="129">
        <v>0</v>
      </c>
      <c r="AG263" s="129">
        <v>-27083892</v>
      </c>
      <c r="AH263" s="755">
        <v>0.33</v>
      </c>
      <c r="AI263" s="755">
        <v>0.3</v>
      </c>
      <c r="AJ263" s="755">
        <v>0.37</v>
      </c>
      <c r="AK263" s="755">
        <v>0</v>
      </c>
      <c r="AL263" s="755">
        <v>1</v>
      </c>
      <c r="AM263" s="129">
        <v>-1169189</v>
      </c>
      <c r="AN263" s="129">
        <v>-1062900</v>
      </c>
      <c r="AO263" s="129">
        <v>-1310909</v>
      </c>
      <c r="AP263" s="129">
        <v>0</v>
      </c>
      <c r="AQ263" s="129">
        <v>-3542998</v>
      </c>
      <c r="AR263" s="129">
        <v>-9926557</v>
      </c>
      <c r="AS263" s="129">
        <v>-8841859</v>
      </c>
      <c r="AT263" s="129">
        <v>-11137207</v>
      </c>
      <c r="AU263" s="129">
        <v>0</v>
      </c>
      <c r="AV263" s="129">
        <v>-29905624</v>
      </c>
      <c r="AW263" s="662" t="s">
        <v>383</v>
      </c>
      <c r="AX263" s="324" t="s">
        <v>576</v>
      </c>
      <c r="AY263" s="669" t="s">
        <v>485</v>
      </c>
      <c r="AZ263" s="529" t="s">
        <v>1469</v>
      </c>
    </row>
    <row r="264" spans="1:52" ht="12.75" x14ac:dyDescent="0.2">
      <c r="A264" s="664">
        <v>257</v>
      </c>
      <c r="B264" s="665" t="s">
        <v>386</v>
      </c>
      <c r="C264" s="666" t="s">
        <v>1201</v>
      </c>
      <c r="D264" s="667" t="s">
        <v>1202</v>
      </c>
      <c r="E264" s="668" t="s">
        <v>385</v>
      </c>
      <c r="F264" s="129">
        <v>-15274810</v>
      </c>
      <c r="G264" s="129">
        <v>612363</v>
      </c>
      <c r="H264" s="129">
        <v>16307276</v>
      </c>
      <c r="I264" s="129">
        <v>693210</v>
      </c>
      <c r="J264" s="129">
        <v>15614066</v>
      </c>
      <c r="K264" s="129">
        <v>-273107</v>
      </c>
      <c r="L264" s="129">
        <v>182071</v>
      </c>
      <c r="M264" s="129">
        <v>-15092739</v>
      </c>
      <c r="N264" s="755">
        <v>0.5</v>
      </c>
      <c r="O264" s="755">
        <v>0.4</v>
      </c>
      <c r="P264" s="755">
        <v>0.09</v>
      </c>
      <c r="Q264" s="755">
        <v>0.01</v>
      </c>
      <c r="R264" s="755">
        <v>1</v>
      </c>
      <c r="S264" s="129">
        <v>306182</v>
      </c>
      <c r="T264" s="129">
        <v>244945</v>
      </c>
      <c r="U264" s="129">
        <v>55113</v>
      </c>
      <c r="V264" s="129">
        <v>6124</v>
      </c>
      <c r="W264" s="129">
        <v>612363</v>
      </c>
      <c r="X264" s="755">
        <v>0.5</v>
      </c>
      <c r="Y264" s="755">
        <v>0.4</v>
      </c>
      <c r="Z264" s="755">
        <v>0.09</v>
      </c>
      <c r="AA264" s="755">
        <v>0.01</v>
      </c>
      <c r="AB264" s="755">
        <v>1</v>
      </c>
      <c r="AC264" s="129">
        <v>-7807033</v>
      </c>
      <c r="AD264" s="129">
        <v>-6245626</v>
      </c>
      <c r="AE264" s="129">
        <v>-1405266</v>
      </c>
      <c r="AF264" s="129">
        <v>-156141</v>
      </c>
      <c r="AG264" s="129">
        <v>-15614066</v>
      </c>
      <c r="AH264" s="755">
        <v>0.5</v>
      </c>
      <c r="AI264" s="755">
        <v>0.4</v>
      </c>
      <c r="AJ264" s="755">
        <v>0.09</v>
      </c>
      <c r="AK264" s="755">
        <v>0.01</v>
      </c>
      <c r="AL264" s="755">
        <v>1</v>
      </c>
      <c r="AM264" s="129">
        <v>-45518</v>
      </c>
      <c r="AN264" s="129">
        <v>-36414</v>
      </c>
      <c r="AO264" s="129">
        <v>-8193</v>
      </c>
      <c r="AP264" s="129">
        <v>-910</v>
      </c>
      <c r="AQ264" s="129">
        <v>-91036</v>
      </c>
      <c r="AR264" s="129">
        <v>-7546369</v>
      </c>
      <c r="AS264" s="129">
        <v>-6037095</v>
      </c>
      <c r="AT264" s="129">
        <v>-1358346</v>
      </c>
      <c r="AU264" s="129">
        <v>-150927</v>
      </c>
      <c r="AV264" s="129">
        <v>-15092739</v>
      </c>
      <c r="AW264" s="662" t="s">
        <v>385</v>
      </c>
      <c r="AX264" s="324" t="s">
        <v>543</v>
      </c>
      <c r="AY264" s="663" t="s">
        <v>542</v>
      </c>
      <c r="AZ264" s="529" t="s">
        <v>1470</v>
      </c>
    </row>
    <row r="265" spans="1:52" ht="12.75" x14ac:dyDescent="0.2">
      <c r="A265" s="664">
        <v>258</v>
      </c>
      <c r="B265" s="665" t="s">
        <v>387</v>
      </c>
      <c r="C265" s="666" t="s">
        <v>486</v>
      </c>
      <c r="D265" s="667" t="s">
        <v>1224</v>
      </c>
      <c r="E265" s="668" t="s">
        <v>569</v>
      </c>
      <c r="F265" s="129">
        <v>-48701162</v>
      </c>
      <c r="G265" s="129">
        <v>-776238</v>
      </c>
      <c r="H265" s="129">
        <v>48632066</v>
      </c>
      <c r="I265" s="129">
        <v>1537542</v>
      </c>
      <c r="J265" s="129">
        <v>47094524</v>
      </c>
      <c r="K265" s="129">
        <v>-830400</v>
      </c>
      <c r="L265" s="129">
        <v>553600</v>
      </c>
      <c r="M265" s="129">
        <v>-48147562</v>
      </c>
      <c r="N265" s="755">
        <v>0.5</v>
      </c>
      <c r="O265" s="755">
        <v>0.49</v>
      </c>
      <c r="P265" s="755">
        <v>0</v>
      </c>
      <c r="Q265" s="755">
        <v>0.01</v>
      </c>
      <c r="R265" s="755">
        <v>1</v>
      </c>
      <c r="S265" s="129">
        <v>-388119</v>
      </c>
      <c r="T265" s="129">
        <v>-380357</v>
      </c>
      <c r="U265" s="129">
        <v>0</v>
      </c>
      <c r="V265" s="129">
        <v>-7762</v>
      </c>
      <c r="W265" s="129">
        <v>-776238</v>
      </c>
      <c r="X265" s="755">
        <v>0.5</v>
      </c>
      <c r="Y265" s="755">
        <v>0.49</v>
      </c>
      <c r="Z265" s="755">
        <v>0</v>
      </c>
      <c r="AA265" s="755">
        <v>0.01</v>
      </c>
      <c r="AB265" s="755">
        <v>1</v>
      </c>
      <c r="AC265" s="129">
        <v>-23547262</v>
      </c>
      <c r="AD265" s="129">
        <v>-23076317</v>
      </c>
      <c r="AE265" s="129">
        <v>0</v>
      </c>
      <c r="AF265" s="129">
        <v>-470945</v>
      </c>
      <c r="AG265" s="129">
        <v>-47094524</v>
      </c>
      <c r="AH265" s="755">
        <v>0.5</v>
      </c>
      <c r="AI265" s="755">
        <v>0.49</v>
      </c>
      <c r="AJ265" s="755">
        <v>0</v>
      </c>
      <c r="AK265" s="755">
        <v>0.01</v>
      </c>
      <c r="AL265" s="755">
        <v>1</v>
      </c>
      <c r="AM265" s="129">
        <v>-138400</v>
      </c>
      <c r="AN265" s="129">
        <v>-135632</v>
      </c>
      <c r="AO265" s="129">
        <v>0</v>
      </c>
      <c r="AP265" s="129">
        <v>-2768</v>
      </c>
      <c r="AQ265" s="129">
        <v>-276800</v>
      </c>
      <c r="AR265" s="129">
        <v>-24073781</v>
      </c>
      <c r="AS265" s="129">
        <v>-23592305</v>
      </c>
      <c r="AT265" s="129">
        <v>0</v>
      </c>
      <c r="AU265" s="129">
        <v>-481476</v>
      </c>
      <c r="AV265" s="129">
        <v>-48147562</v>
      </c>
      <c r="AW265" s="662" t="s">
        <v>569</v>
      </c>
      <c r="AX265" s="324" t="s">
        <v>486</v>
      </c>
      <c r="AY265" s="663" t="s">
        <v>1916</v>
      </c>
      <c r="AZ265" s="529" t="s">
        <v>1471</v>
      </c>
    </row>
    <row r="266" spans="1:52" ht="12.75" x14ac:dyDescent="0.2">
      <c r="A266" s="664">
        <v>259</v>
      </c>
      <c r="B266" s="665" t="s">
        <v>389</v>
      </c>
      <c r="C266" s="666" t="s">
        <v>1217</v>
      </c>
      <c r="D266" s="667" t="s">
        <v>1204</v>
      </c>
      <c r="E266" s="668" t="s">
        <v>388</v>
      </c>
      <c r="F266" s="129">
        <v>-31671837</v>
      </c>
      <c r="G266" s="129">
        <v>173601</v>
      </c>
      <c r="H266" s="129">
        <v>28855656</v>
      </c>
      <c r="I266" s="129">
        <v>1017946</v>
      </c>
      <c r="J266" s="129">
        <v>27837710</v>
      </c>
      <c r="K266" s="129">
        <v>-4007728</v>
      </c>
      <c r="L266" s="129">
        <v>2671819</v>
      </c>
      <c r="M266" s="129">
        <v>-29000018</v>
      </c>
      <c r="N266" s="755">
        <v>0</v>
      </c>
      <c r="O266" s="755">
        <v>0.99</v>
      </c>
      <c r="P266" s="755">
        <v>0</v>
      </c>
      <c r="Q266" s="755">
        <v>0.01</v>
      </c>
      <c r="R266" s="755">
        <v>1</v>
      </c>
      <c r="S266" s="129">
        <v>0</v>
      </c>
      <c r="T266" s="129">
        <v>171865</v>
      </c>
      <c r="U266" s="129">
        <v>0</v>
      </c>
      <c r="V266" s="129">
        <v>1736</v>
      </c>
      <c r="W266" s="129">
        <v>173601</v>
      </c>
      <c r="X266" s="755">
        <v>0</v>
      </c>
      <c r="Y266" s="755">
        <v>0.99</v>
      </c>
      <c r="Z266" s="755">
        <v>0</v>
      </c>
      <c r="AA266" s="755">
        <v>0.01</v>
      </c>
      <c r="AB266" s="755">
        <v>1</v>
      </c>
      <c r="AC266" s="129">
        <v>0</v>
      </c>
      <c r="AD266" s="129">
        <v>-27559333</v>
      </c>
      <c r="AE266" s="129">
        <v>0</v>
      </c>
      <c r="AF266" s="129">
        <v>-278377</v>
      </c>
      <c r="AG266" s="129">
        <v>-27837710</v>
      </c>
      <c r="AH266" s="755">
        <v>0</v>
      </c>
      <c r="AI266" s="755">
        <v>0.99</v>
      </c>
      <c r="AJ266" s="755">
        <v>0</v>
      </c>
      <c r="AK266" s="755">
        <v>0.01</v>
      </c>
      <c r="AL266" s="755">
        <v>1</v>
      </c>
      <c r="AM266" s="129">
        <v>0</v>
      </c>
      <c r="AN266" s="129">
        <v>-1322550</v>
      </c>
      <c r="AO266" s="129">
        <v>0</v>
      </c>
      <c r="AP266" s="129">
        <v>-13359</v>
      </c>
      <c r="AQ266" s="129">
        <v>-1335909</v>
      </c>
      <c r="AR266" s="129">
        <v>0</v>
      </c>
      <c r="AS266" s="129">
        <v>-28710018</v>
      </c>
      <c r="AT266" s="129">
        <v>0</v>
      </c>
      <c r="AU266" s="129">
        <v>-290000</v>
      </c>
      <c r="AV266" s="129">
        <v>-29000018</v>
      </c>
      <c r="AW266" s="662" t="s">
        <v>388</v>
      </c>
      <c r="AX266" s="324" t="s">
        <v>570</v>
      </c>
      <c r="AY266" s="663" t="s">
        <v>1915</v>
      </c>
      <c r="AZ266" s="529" t="s">
        <v>1472</v>
      </c>
    </row>
    <row r="267" spans="1:52" ht="12.75" x14ac:dyDescent="0.2">
      <c r="A267" s="664">
        <v>260</v>
      </c>
      <c r="B267" s="665" t="s">
        <v>391</v>
      </c>
      <c r="C267" s="666" t="s">
        <v>1201</v>
      </c>
      <c r="D267" s="667" t="s">
        <v>1228</v>
      </c>
      <c r="E267" s="668" t="s">
        <v>390</v>
      </c>
      <c r="F267" s="129">
        <v>-19147174</v>
      </c>
      <c r="G267" s="129">
        <v>24478</v>
      </c>
      <c r="H267" s="129">
        <v>17692833</v>
      </c>
      <c r="I267" s="129">
        <v>477475</v>
      </c>
      <c r="J267" s="129">
        <v>17215358</v>
      </c>
      <c r="K267" s="129">
        <v>-1956294</v>
      </c>
      <c r="L267" s="129">
        <v>1304196</v>
      </c>
      <c r="M267" s="129">
        <v>-17842978</v>
      </c>
      <c r="N267" s="755">
        <v>0.25</v>
      </c>
      <c r="O267" s="755">
        <v>0.4</v>
      </c>
      <c r="P267" s="755">
        <v>0.34</v>
      </c>
      <c r="Q267" s="755">
        <v>0.01</v>
      </c>
      <c r="R267" s="755">
        <v>1</v>
      </c>
      <c r="S267" s="129">
        <v>6120</v>
      </c>
      <c r="T267" s="129">
        <v>9791</v>
      </c>
      <c r="U267" s="129">
        <v>8323</v>
      </c>
      <c r="V267" s="129">
        <v>245</v>
      </c>
      <c r="W267" s="129">
        <v>24478</v>
      </c>
      <c r="X267" s="755">
        <v>0.5</v>
      </c>
      <c r="Y267" s="755">
        <v>0.4</v>
      </c>
      <c r="Z267" s="755">
        <v>0.09</v>
      </c>
      <c r="AA267" s="755">
        <v>0.01</v>
      </c>
      <c r="AB267" s="755">
        <v>1</v>
      </c>
      <c r="AC267" s="129">
        <v>-8607679</v>
      </c>
      <c r="AD267" s="129">
        <v>-6886143</v>
      </c>
      <c r="AE267" s="129">
        <v>-1549382</v>
      </c>
      <c r="AF267" s="129">
        <v>-172154</v>
      </c>
      <c r="AG267" s="129">
        <v>-17215358</v>
      </c>
      <c r="AH267" s="755">
        <v>0.5</v>
      </c>
      <c r="AI267" s="755">
        <v>0.4</v>
      </c>
      <c r="AJ267" s="755">
        <v>0.09</v>
      </c>
      <c r="AK267" s="755">
        <v>0.01</v>
      </c>
      <c r="AL267" s="755">
        <v>1</v>
      </c>
      <c r="AM267" s="129">
        <v>-326049</v>
      </c>
      <c r="AN267" s="129">
        <v>-260839</v>
      </c>
      <c r="AO267" s="129">
        <v>-58689</v>
      </c>
      <c r="AP267" s="129">
        <v>-6521</v>
      </c>
      <c r="AQ267" s="129">
        <v>-652098</v>
      </c>
      <c r="AR267" s="129">
        <v>-8927609</v>
      </c>
      <c r="AS267" s="129">
        <v>-7137191</v>
      </c>
      <c r="AT267" s="129">
        <v>-1599749</v>
      </c>
      <c r="AU267" s="129">
        <v>-178430</v>
      </c>
      <c r="AV267" s="129">
        <v>-17842978</v>
      </c>
      <c r="AW267" s="662" t="s">
        <v>390</v>
      </c>
      <c r="AX267" s="324" t="s">
        <v>564</v>
      </c>
      <c r="AY267" s="663" t="s">
        <v>1917</v>
      </c>
      <c r="AZ267" s="529" t="s">
        <v>1473</v>
      </c>
    </row>
    <row r="268" spans="1:52" ht="12.75" x14ac:dyDescent="0.2">
      <c r="A268" s="664">
        <v>261</v>
      </c>
      <c r="B268" s="665" t="s">
        <v>393</v>
      </c>
      <c r="C268" s="666" t="s">
        <v>1201</v>
      </c>
      <c r="D268" s="667" t="s">
        <v>1202</v>
      </c>
      <c r="E268" s="668" t="s">
        <v>392</v>
      </c>
      <c r="F268" s="129">
        <v>-11974515</v>
      </c>
      <c r="G268" s="129">
        <v>36739</v>
      </c>
      <c r="H268" s="129">
        <v>12579874</v>
      </c>
      <c r="I268" s="129">
        <v>1112024</v>
      </c>
      <c r="J268" s="129">
        <v>11467850</v>
      </c>
      <c r="K268" s="129">
        <v>-543404</v>
      </c>
      <c r="L268" s="129">
        <v>362269</v>
      </c>
      <c r="M268" s="129">
        <v>-11612246</v>
      </c>
      <c r="N268" s="755">
        <v>0.5</v>
      </c>
      <c r="O268" s="755">
        <v>0.4</v>
      </c>
      <c r="P268" s="755">
        <v>0.1</v>
      </c>
      <c r="Q268" s="755">
        <v>0</v>
      </c>
      <c r="R268" s="755">
        <v>1</v>
      </c>
      <c r="S268" s="129">
        <v>18370</v>
      </c>
      <c r="T268" s="129">
        <v>14696</v>
      </c>
      <c r="U268" s="129">
        <v>3674</v>
      </c>
      <c r="V268" s="129">
        <v>0</v>
      </c>
      <c r="W268" s="129">
        <v>36739</v>
      </c>
      <c r="X268" s="755">
        <v>0.5</v>
      </c>
      <c r="Y268" s="755">
        <v>0.4</v>
      </c>
      <c r="Z268" s="755">
        <v>0.1</v>
      </c>
      <c r="AA268" s="755">
        <v>0</v>
      </c>
      <c r="AB268" s="755">
        <v>1</v>
      </c>
      <c r="AC268" s="129">
        <v>-5733925</v>
      </c>
      <c r="AD268" s="129">
        <v>-4587140</v>
      </c>
      <c r="AE268" s="129">
        <v>-1146785</v>
      </c>
      <c r="AF268" s="129">
        <v>0</v>
      </c>
      <c r="AG268" s="129">
        <v>-11467850</v>
      </c>
      <c r="AH268" s="755">
        <v>0.5</v>
      </c>
      <c r="AI268" s="755">
        <v>0.4</v>
      </c>
      <c r="AJ268" s="755">
        <v>0.1</v>
      </c>
      <c r="AK268" s="755">
        <v>0</v>
      </c>
      <c r="AL268" s="755">
        <v>1</v>
      </c>
      <c r="AM268" s="129">
        <v>-90567</v>
      </c>
      <c r="AN268" s="129">
        <v>-72454</v>
      </c>
      <c r="AO268" s="129">
        <v>-18113</v>
      </c>
      <c r="AP268" s="129">
        <v>0</v>
      </c>
      <c r="AQ268" s="129">
        <v>-181135</v>
      </c>
      <c r="AR268" s="129">
        <v>-5806123</v>
      </c>
      <c r="AS268" s="129">
        <v>-4644898</v>
      </c>
      <c r="AT268" s="129">
        <v>-1161225</v>
      </c>
      <c r="AU268" s="129">
        <v>0</v>
      </c>
      <c r="AV268" s="129">
        <v>-11612246</v>
      </c>
      <c r="AW268" s="662" t="s">
        <v>392</v>
      </c>
      <c r="AX268" s="324" t="s">
        <v>566</v>
      </c>
      <c r="AY268" s="663" t="s">
        <v>512</v>
      </c>
      <c r="AZ268" s="529" t="s">
        <v>1474</v>
      </c>
    </row>
    <row r="269" spans="1:52" ht="12.75" x14ac:dyDescent="0.2">
      <c r="A269" s="664">
        <v>262</v>
      </c>
      <c r="B269" s="665" t="s">
        <v>395</v>
      </c>
      <c r="C269" s="666" t="s">
        <v>1201</v>
      </c>
      <c r="D269" s="667" t="s">
        <v>1224</v>
      </c>
      <c r="E269" s="668" t="s">
        <v>394</v>
      </c>
      <c r="F269" s="129">
        <v>-19352521</v>
      </c>
      <c r="G269" s="129">
        <v>-400338</v>
      </c>
      <c r="H269" s="129">
        <v>17076991</v>
      </c>
      <c r="I269" s="129">
        <v>951977</v>
      </c>
      <c r="J269" s="129">
        <v>16125014</v>
      </c>
      <c r="K269" s="129">
        <v>-2827169</v>
      </c>
      <c r="L269" s="129">
        <v>1884779</v>
      </c>
      <c r="M269" s="129">
        <v>-17467742</v>
      </c>
      <c r="N269" s="755">
        <v>0.5</v>
      </c>
      <c r="O269" s="755">
        <v>0.4</v>
      </c>
      <c r="P269" s="755">
        <v>0.09</v>
      </c>
      <c r="Q269" s="755">
        <v>0.01</v>
      </c>
      <c r="R269" s="755">
        <v>1</v>
      </c>
      <c r="S269" s="129">
        <v>-200169</v>
      </c>
      <c r="T269" s="129">
        <v>-160135</v>
      </c>
      <c r="U269" s="129">
        <v>-36030</v>
      </c>
      <c r="V269" s="129">
        <v>-4003</v>
      </c>
      <c r="W269" s="129">
        <v>-400338</v>
      </c>
      <c r="X269" s="755">
        <v>0.5</v>
      </c>
      <c r="Y269" s="755">
        <v>0.4</v>
      </c>
      <c r="Z269" s="755">
        <v>0.09</v>
      </c>
      <c r="AA269" s="755">
        <v>0.01</v>
      </c>
      <c r="AB269" s="755">
        <v>1</v>
      </c>
      <c r="AC269" s="129">
        <v>-8062507</v>
      </c>
      <c r="AD269" s="129">
        <v>-6450006</v>
      </c>
      <c r="AE269" s="129">
        <v>-1451251</v>
      </c>
      <c r="AF269" s="129">
        <v>-161250</v>
      </c>
      <c r="AG269" s="129">
        <v>-16125014</v>
      </c>
      <c r="AH269" s="755">
        <v>0.5</v>
      </c>
      <c r="AI269" s="755">
        <v>0.4</v>
      </c>
      <c r="AJ269" s="755">
        <v>0.09</v>
      </c>
      <c r="AK269" s="755">
        <v>0.01</v>
      </c>
      <c r="AL269" s="755">
        <v>1</v>
      </c>
      <c r="AM269" s="129">
        <v>-471195</v>
      </c>
      <c r="AN269" s="129">
        <v>-376956</v>
      </c>
      <c r="AO269" s="129">
        <v>-84815</v>
      </c>
      <c r="AP269" s="129">
        <v>-9424</v>
      </c>
      <c r="AQ269" s="129">
        <v>-942390</v>
      </c>
      <c r="AR269" s="129">
        <v>-8733871</v>
      </c>
      <c r="AS269" s="129">
        <v>-6987097</v>
      </c>
      <c r="AT269" s="129">
        <v>-1572097</v>
      </c>
      <c r="AU269" s="129">
        <v>-174677</v>
      </c>
      <c r="AV269" s="129">
        <v>-17467742</v>
      </c>
      <c r="AW269" s="662" t="s">
        <v>394</v>
      </c>
      <c r="AX269" s="324" t="s">
        <v>521</v>
      </c>
      <c r="AY269" s="663" t="s">
        <v>519</v>
      </c>
      <c r="AZ269" s="529" t="s">
        <v>1475</v>
      </c>
    </row>
    <row r="270" spans="1:52" ht="12.75" x14ac:dyDescent="0.2">
      <c r="A270" s="664">
        <v>263</v>
      </c>
      <c r="B270" s="665" t="s">
        <v>396</v>
      </c>
      <c r="C270" s="666" t="s">
        <v>486</v>
      </c>
      <c r="D270" s="667" t="s">
        <v>1228</v>
      </c>
      <c r="E270" s="668" t="s">
        <v>827</v>
      </c>
      <c r="F270" s="129">
        <v>-35874184</v>
      </c>
      <c r="G270" s="129">
        <v>1919921</v>
      </c>
      <c r="H270" s="129">
        <v>32155150</v>
      </c>
      <c r="I270" s="129">
        <v>761861</v>
      </c>
      <c r="J270" s="129">
        <v>31393289</v>
      </c>
      <c r="K270" s="129">
        <v>-6400816</v>
      </c>
      <c r="L270" s="129">
        <v>4267211</v>
      </c>
      <c r="M270" s="129">
        <v>-31606973</v>
      </c>
      <c r="N270" s="755">
        <v>0.5</v>
      </c>
      <c r="O270" s="755">
        <v>0.49</v>
      </c>
      <c r="P270" s="755">
        <v>0</v>
      </c>
      <c r="Q270" s="755">
        <v>0.01</v>
      </c>
      <c r="R270" s="755">
        <v>1</v>
      </c>
      <c r="S270" s="129">
        <v>959961</v>
      </c>
      <c r="T270" s="129">
        <v>940761</v>
      </c>
      <c r="U270" s="129">
        <v>0</v>
      </c>
      <c r="V270" s="129">
        <v>19199</v>
      </c>
      <c r="W270" s="129">
        <v>1919921</v>
      </c>
      <c r="X270" s="755">
        <v>0.5</v>
      </c>
      <c r="Y270" s="755">
        <v>0.49</v>
      </c>
      <c r="Z270" s="755">
        <v>0</v>
      </c>
      <c r="AA270" s="755">
        <v>0.01</v>
      </c>
      <c r="AB270" s="755">
        <v>1</v>
      </c>
      <c r="AC270" s="129">
        <v>-15696645</v>
      </c>
      <c r="AD270" s="129">
        <v>-15382712</v>
      </c>
      <c r="AE270" s="129">
        <v>0</v>
      </c>
      <c r="AF270" s="129">
        <v>-313933</v>
      </c>
      <c r="AG270" s="129">
        <v>-31393289</v>
      </c>
      <c r="AH270" s="755">
        <v>0.5</v>
      </c>
      <c r="AI270" s="755">
        <v>0.49</v>
      </c>
      <c r="AJ270" s="755">
        <v>0</v>
      </c>
      <c r="AK270" s="755">
        <v>0.01</v>
      </c>
      <c r="AL270" s="755">
        <v>1</v>
      </c>
      <c r="AM270" s="129">
        <v>-1066803</v>
      </c>
      <c r="AN270" s="129">
        <v>-1045467</v>
      </c>
      <c r="AO270" s="129">
        <v>0</v>
      </c>
      <c r="AP270" s="129">
        <v>-21336</v>
      </c>
      <c r="AQ270" s="129">
        <v>-2133605</v>
      </c>
      <c r="AR270" s="129">
        <v>-15803487</v>
      </c>
      <c r="AS270" s="129">
        <v>-15487417</v>
      </c>
      <c r="AT270" s="129">
        <v>0</v>
      </c>
      <c r="AU270" s="129">
        <v>-316070</v>
      </c>
      <c r="AV270" s="129">
        <v>-31606973</v>
      </c>
      <c r="AW270" s="662" t="s">
        <v>827</v>
      </c>
      <c r="AX270" s="324" t="s">
        <v>486</v>
      </c>
      <c r="AY270" s="663" t="s">
        <v>561</v>
      </c>
      <c r="AZ270" s="529" t="s">
        <v>1476</v>
      </c>
    </row>
    <row r="271" spans="1:52" ht="12.75" x14ac:dyDescent="0.2">
      <c r="A271" s="664">
        <v>264</v>
      </c>
      <c r="B271" s="665" t="s">
        <v>398</v>
      </c>
      <c r="C271" s="666" t="s">
        <v>1201</v>
      </c>
      <c r="D271" s="667" t="s">
        <v>1211</v>
      </c>
      <c r="E271" s="668" t="s">
        <v>397</v>
      </c>
      <c r="F271" s="129">
        <v>-15931740</v>
      </c>
      <c r="G271" s="129">
        <v>958718</v>
      </c>
      <c r="H271" s="129">
        <v>16300464</v>
      </c>
      <c r="I271" s="129">
        <v>639864</v>
      </c>
      <c r="J271" s="129">
        <v>15660600</v>
      </c>
      <c r="K271" s="129">
        <v>-1229858</v>
      </c>
      <c r="L271" s="129">
        <v>819905</v>
      </c>
      <c r="M271" s="129">
        <v>-15111835</v>
      </c>
      <c r="N271" s="755">
        <v>0.5</v>
      </c>
      <c r="O271" s="755">
        <v>0.4</v>
      </c>
      <c r="P271" s="755">
        <v>0.09</v>
      </c>
      <c r="Q271" s="755">
        <v>0.01</v>
      </c>
      <c r="R271" s="755">
        <v>1</v>
      </c>
      <c r="S271" s="129">
        <v>479359</v>
      </c>
      <c r="T271" s="129">
        <v>383487</v>
      </c>
      <c r="U271" s="129">
        <v>86285</v>
      </c>
      <c r="V271" s="129">
        <v>9587</v>
      </c>
      <c r="W271" s="129">
        <v>958718</v>
      </c>
      <c r="X271" s="755">
        <v>0.5</v>
      </c>
      <c r="Y271" s="755">
        <v>0.4</v>
      </c>
      <c r="Z271" s="755">
        <v>0.09</v>
      </c>
      <c r="AA271" s="755">
        <v>0.01</v>
      </c>
      <c r="AB271" s="755">
        <v>1</v>
      </c>
      <c r="AC271" s="129">
        <v>-7830300</v>
      </c>
      <c r="AD271" s="129">
        <v>-6264240</v>
      </c>
      <c r="AE271" s="129">
        <v>-1409454</v>
      </c>
      <c r="AF271" s="129">
        <v>-156606</v>
      </c>
      <c r="AG271" s="129">
        <v>-15660600</v>
      </c>
      <c r="AH271" s="755">
        <v>0.5</v>
      </c>
      <c r="AI271" s="755">
        <v>0.4</v>
      </c>
      <c r="AJ271" s="755">
        <v>0.09</v>
      </c>
      <c r="AK271" s="755">
        <v>0.01</v>
      </c>
      <c r="AL271" s="755">
        <v>1</v>
      </c>
      <c r="AM271" s="129">
        <v>-204976</v>
      </c>
      <c r="AN271" s="129">
        <v>-163981</v>
      </c>
      <c r="AO271" s="129">
        <v>-36896</v>
      </c>
      <c r="AP271" s="129">
        <v>-4100</v>
      </c>
      <c r="AQ271" s="129">
        <v>-409953</v>
      </c>
      <c r="AR271" s="129">
        <v>-7555917</v>
      </c>
      <c r="AS271" s="129">
        <v>-6044734</v>
      </c>
      <c r="AT271" s="129">
        <v>-1360065</v>
      </c>
      <c r="AU271" s="129">
        <v>-151118</v>
      </c>
      <c r="AV271" s="129">
        <v>-15111835</v>
      </c>
      <c r="AW271" s="662" t="s">
        <v>397</v>
      </c>
      <c r="AX271" s="324" t="s">
        <v>528</v>
      </c>
      <c r="AY271" s="663" t="s">
        <v>1913</v>
      </c>
      <c r="AZ271" s="529" t="s">
        <v>1477</v>
      </c>
    </row>
    <row r="272" spans="1:52" ht="12.75" x14ac:dyDescent="0.2">
      <c r="A272" s="664">
        <v>265</v>
      </c>
      <c r="B272" s="665" t="s">
        <v>400</v>
      </c>
      <c r="C272" s="666" t="s">
        <v>1201</v>
      </c>
      <c r="D272" s="667" t="s">
        <v>1202</v>
      </c>
      <c r="E272" s="668" t="s">
        <v>399</v>
      </c>
      <c r="F272" s="129">
        <v>-17703416</v>
      </c>
      <c r="G272" s="129">
        <v>288731</v>
      </c>
      <c r="H272" s="129">
        <v>18174213</v>
      </c>
      <c r="I272" s="129">
        <v>989934</v>
      </c>
      <c r="J272" s="129">
        <v>17184279</v>
      </c>
      <c r="K272" s="129">
        <v>-807868</v>
      </c>
      <c r="L272" s="129">
        <v>538579</v>
      </c>
      <c r="M272" s="129">
        <v>-17164837</v>
      </c>
      <c r="N272" s="755">
        <v>0.5</v>
      </c>
      <c r="O272" s="755">
        <v>0.4</v>
      </c>
      <c r="P272" s="755">
        <v>0.09</v>
      </c>
      <c r="Q272" s="755">
        <v>0.01</v>
      </c>
      <c r="R272" s="755">
        <v>1</v>
      </c>
      <c r="S272" s="129">
        <v>144366</v>
      </c>
      <c r="T272" s="129">
        <v>115492</v>
      </c>
      <c r="U272" s="129">
        <v>25986</v>
      </c>
      <c r="V272" s="129">
        <v>2887</v>
      </c>
      <c r="W272" s="129">
        <v>288731</v>
      </c>
      <c r="X272" s="755">
        <v>0.5</v>
      </c>
      <c r="Y272" s="755">
        <v>0.4</v>
      </c>
      <c r="Z272" s="755">
        <v>0.09</v>
      </c>
      <c r="AA272" s="755">
        <v>0.01</v>
      </c>
      <c r="AB272" s="755">
        <v>1</v>
      </c>
      <c r="AC272" s="129">
        <v>-8592140</v>
      </c>
      <c r="AD272" s="129">
        <v>-6873712</v>
      </c>
      <c r="AE272" s="129">
        <v>-1546585</v>
      </c>
      <c r="AF272" s="129">
        <v>-171843</v>
      </c>
      <c r="AG272" s="129">
        <v>-17184279</v>
      </c>
      <c r="AH272" s="755">
        <v>0.5</v>
      </c>
      <c r="AI272" s="755">
        <v>0.4</v>
      </c>
      <c r="AJ272" s="755">
        <v>0.09</v>
      </c>
      <c r="AK272" s="755">
        <v>0.01</v>
      </c>
      <c r="AL272" s="755">
        <v>1</v>
      </c>
      <c r="AM272" s="129">
        <v>-134645</v>
      </c>
      <c r="AN272" s="129">
        <v>-107716</v>
      </c>
      <c r="AO272" s="129">
        <v>-24236</v>
      </c>
      <c r="AP272" s="129">
        <v>-2693</v>
      </c>
      <c r="AQ272" s="129">
        <v>-269289</v>
      </c>
      <c r="AR272" s="129">
        <v>-8582419</v>
      </c>
      <c r="AS272" s="129">
        <v>-6865935</v>
      </c>
      <c r="AT272" s="129">
        <v>-1544835</v>
      </c>
      <c r="AU272" s="129">
        <v>-171648</v>
      </c>
      <c r="AV272" s="129">
        <v>-17164837</v>
      </c>
      <c r="AW272" s="662" t="s">
        <v>399</v>
      </c>
      <c r="AX272" s="324" t="s">
        <v>532</v>
      </c>
      <c r="AY272" s="663" t="s">
        <v>1914</v>
      </c>
      <c r="AZ272" s="529" t="s">
        <v>1478</v>
      </c>
    </row>
    <row r="273" spans="1:52" ht="12.75" x14ac:dyDescent="0.2">
      <c r="A273" s="664">
        <v>266</v>
      </c>
      <c r="B273" s="665" t="s">
        <v>402</v>
      </c>
      <c r="C273" s="666" t="s">
        <v>1201</v>
      </c>
      <c r="D273" s="667" t="s">
        <v>1224</v>
      </c>
      <c r="E273" s="668" t="s">
        <v>401</v>
      </c>
      <c r="F273" s="129">
        <v>-11626116</v>
      </c>
      <c r="G273" s="129">
        <v>-2401092</v>
      </c>
      <c r="H273" s="129">
        <v>10701733</v>
      </c>
      <c r="I273" s="129">
        <v>324784</v>
      </c>
      <c r="J273" s="129">
        <v>10376949</v>
      </c>
      <c r="K273" s="129">
        <v>1151925</v>
      </c>
      <c r="L273" s="129">
        <v>0</v>
      </c>
      <c r="M273" s="129">
        <v>-11626116</v>
      </c>
      <c r="N273" s="755">
        <v>0.5</v>
      </c>
      <c r="O273" s="755">
        <v>0.4</v>
      </c>
      <c r="P273" s="755">
        <v>0.1</v>
      </c>
      <c r="Q273" s="755">
        <v>0</v>
      </c>
      <c r="R273" s="755">
        <v>1</v>
      </c>
      <c r="S273" s="129">
        <v>-1200546</v>
      </c>
      <c r="T273" s="129">
        <v>-960437</v>
      </c>
      <c r="U273" s="129">
        <v>-240109</v>
      </c>
      <c r="V273" s="129">
        <v>0</v>
      </c>
      <c r="W273" s="129">
        <v>-2401092</v>
      </c>
      <c r="X273" s="755">
        <v>0.5</v>
      </c>
      <c r="Y273" s="755">
        <v>0.4</v>
      </c>
      <c r="Z273" s="755">
        <v>0.1</v>
      </c>
      <c r="AA273" s="755">
        <v>0</v>
      </c>
      <c r="AB273" s="755">
        <v>1</v>
      </c>
      <c r="AC273" s="129">
        <v>-4612512</v>
      </c>
      <c r="AD273" s="129">
        <v>-3690010</v>
      </c>
      <c r="AE273" s="129">
        <v>-922502</v>
      </c>
      <c r="AF273" s="129">
        <v>0</v>
      </c>
      <c r="AG273" s="129">
        <v>-9225024</v>
      </c>
      <c r="AH273" s="755">
        <v>0.5</v>
      </c>
      <c r="AI273" s="755">
        <v>0.4</v>
      </c>
      <c r="AJ273" s="755">
        <v>0.1</v>
      </c>
      <c r="AK273" s="755">
        <v>0</v>
      </c>
      <c r="AL273" s="755">
        <v>1</v>
      </c>
      <c r="AM273" s="129">
        <v>0</v>
      </c>
      <c r="AN273" s="129">
        <v>0</v>
      </c>
      <c r="AO273" s="129">
        <v>0</v>
      </c>
      <c r="AP273" s="129">
        <v>0</v>
      </c>
      <c r="AQ273" s="129">
        <v>0</v>
      </c>
      <c r="AR273" s="129">
        <v>-5813058</v>
      </c>
      <c r="AS273" s="129">
        <v>-4650446</v>
      </c>
      <c r="AT273" s="129">
        <v>-1162612</v>
      </c>
      <c r="AU273" s="129">
        <v>0</v>
      </c>
      <c r="AV273" s="129">
        <v>-11626116</v>
      </c>
      <c r="AW273" s="662" t="s">
        <v>401</v>
      </c>
      <c r="AX273" s="324" t="s">
        <v>529</v>
      </c>
      <c r="AY273" s="663" t="s">
        <v>512</v>
      </c>
      <c r="AZ273" s="529" t="s">
        <v>1479</v>
      </c>
    </row>
    <row r="274" spans="1:52" ht="12.75" x14ac:dyDescent="0.2">
      <c r="A274" s="664">
        <v>267</v>
      </c>
      <c r="B274" s="665" t="s">
        <v>404</v>
      </c>
      <c r="C274" s="666" t="s">
        <v>1201</v>
      </c>
      <c r="D274" s="667" t="s">
        <v>1202</v>
      </c>
      <c r="E274" s="668" t="s">
        <v>403</v>
      </c>
      <c r="F274" s="129">
        <v>-23494252</v>
      </c>
      <c r="G274" s="129">
        <v>-854100</v>
      </c>
      <c r="H274" s="129">
        <v>21981269</v>
      </c>
      <c r="I274" s="129">
        <v>833859</v>
      </c>
      <c r="J274" s="129">
        <v>21147410</v>
      </c>
      <c r="K274" s="129">
        <v>-1492742</v>
      </c>
      <c r="L274" s="129">
        <v>995161</v>
      </c>
      <c r="M274" s="129">
        <v>-22499091</v>
      </c>
      <c r="N274" s="755">
        <v>0.5</v>
      </c>
      <c r="O274" s="755">
        <v>0.4</v>
      </c>
      <c r="P274" s="755">
        <v>0.09</v>
      </c>
      <c r="Q274" s="755">
        <v>0.01</v>
      </c>
      <c r="R274" s="755">
        <v>1</v>
      </c>
      <c r="S274" s="129">
        <v>-427050</v>
      </c>
      <c r="T274" s="129">
        <v>-341640</v>
      </c>
      <c r="U274" s="129">
        <v>-76869</v>
      </c>
      <c r="V274" s="129">
        <v>-8541</v>
      </c>
      <c r="W274" s="129">
        <v>-854100</v>
      </c>
      <c r="X274" s="755">
        <v>0.5</v>
      </c>
      <c r="Y274" s="755">
        <v>0.4</v>
      </c>
      <c r="Z274" s="755">
        <v>0.09</v>
      </c>
      <c r="AA274" s="755">
        <v>0.01</v>
      </c>
      <c r="AB274" s="755">
        <v>1</v>
      </c>
      <c r="AC274" s="129">
        <v>-10573705</v>
      </c>
      <c r="AD274" s="129">
        <v>-8458964</v>
      </c>
      <c r="AE274" s="129">
        <v>-1903267</v>
      </c>
      <c r="AF274" s="129">
        <v>-211474</v>
      </c>
      <c r="AG274" s="129">
        <v>-21147410</v>
      </c>
      <c r="AH274" s="755">
        <v>0.5</v>
      </c>
      <c r="AI274" s="755">
        <v>0.4</v>
      </c>
      <c r="AJ274" s="755">
        <v>0.09</v>
      </c>
      <c r="AK274" s="755">
        <v>0.01</v>
      </c>
      <c r="AL274" s="755">
        <v>1</v>
      </c>
      <c r="AM274" s="129">
        <v>-248790</v>
      </c>
      <c r="AN274" s="129">
        <v>-199032</v>
      </c>
      <c r="AO274" s="129">
        <v>-44782</v>
      </c>
      <c r="AP274" s="129">
        <v>-4976</v>
      </c>
      <c r="AQ274" s="129">
        <v>-497581</v>
      </c>
      <c r="AR274" s="129">
        <v>-11249545</v>
      </c>
      <c r="AS274" s="129">
        <v>-8999636</v>
      </c>
      <c r="AT274" s="129">
        <v>-2024918</v>
      </c>
      <c r="AU274" s="129">
        <v>-224991</v>
      </c>
      <c r="AV274" s="129">
        <v>-22499091</v>
      </c>
      <c r="AW274" s="662" t="s">
        <v>403</v>
      </c>
      <c r="AX274" s="324" t="s">
        <v>543</v>
      </c>
      <c r="AY274" s="663" t="s">
        <v>542</v>
      </c>
      <c r="AZ274" s="529" t="s">
        <v>1480</v>
      </c>
    </row>
    <row r="275" spans="1:52" ht="12.75" x14ac:dyDescent="0.2">
      <c r="A275" s="664">
        <v>268</v>
      </c>
      <c r="B275" s="665" t="s">
        <v>406</v>
      </c>
      <c r="C275" s="666" t="s">
        <v>1201</v>
      </c>
      <c r="D275" s="667" t="s">
        <v>1211</v>
      </c>
      <c r="E275" s="668" t="s">
        <v>405</v>
      </c>
      <c r="F275" s="129">
        <v>-9504582</v>
      </c>
      <c r="G275" s="129">
        <v>-363505</v>
      </c>
      <c r="H275" s="129">
        <v>6957361</v>
      </c>
      <c r="I275" s="129">
        <v>617268</v>
      </c>
      <c r="J275" s="129">
        <v>6340093</v>
      </c>
      <c r="K275" s="129">
        <v>-2800984</v>
      </c>
      <c r="L275" s="129">
        <v>1867323</v>
      </c>
      <c r="M275" s="129">
        <v>-7637259</v>
      </c>
      <c r="N275" s="755">
        <v>0.25</v>
      </c>
      <c r="O275" s="755">
        <v>0.35</v>
      </c>
      <c r="P275" s="755">
        <v>0.4</v>
      </c>
      <c r="Q275" s="755">
        <v>0</v>
      </c>
      <c r="R275" s="755">
        <v>1</v>
      </c>
      <c r="S275" s="129">
        <v>-90876</v>
      </c>
      <c r="T275" s="129">
        <v>-127227</v>
      </c>
      <c r="U275" s="129">
        <v>-145402</v>
      </c>
      <c r="V275" s="129">
        <v>0</v>
      </c>
      <c r="W275" s="129">
        <v>-363505</v>
      </c>
      <c r="X275" s="755">
        <v>0.5</v>
      </c>
      <c r="Y275" s="755">
        <v>0.4</v>
      </c>
      <c r="Z275" s="755">
        <v>0.1</v>
      </c>
      <c r="AA275" s="755">
        <v>0</v>
      </c>
      <c r="AB275" s="755">
        <v>1</v>
      </c>
      <c r="AC275" s="129">
        <v>-3170047</v>
      </c>
      <c r="AD275" s="129">
        <v>-2536037</v>
      </c>
      <c r="AE275" s="129">
        <v>-634009</v>
      </c>
      <c r="AF275" s="129">
        <v>0</v>
      </c>
      <c r="AG275" s="129">
        <v>-6340093</v>
      </c>
      <c r="AH275" s="755">
        <v>0.5</v>
      </c>
      <c r="AI275" s="755">
        <v>0.4</v>
      </c>
      <c r="AJ275" s="755">
        <v>0.1</v>
      </c>
      <c r="AK275" s="755">
        <v>0</v>
      </c>
      <c r="AL275" s="755">
        <v>1</v>
      </c>
      <c r="AM275" s="129">
        <v>-466831</v>
      </c>
      <c r="AN275" s="129">
        <v>-373465</v>
      </c>
      <c r="AO275" s="129">
        <v>-93366</v>
      </c>
      <c r="AP275" s="129">
        <v>0</v>
      </c>
      <c r="AQ275" s="129">
        <v>-933661</v>
      </c>
      <c r="AR275" s="129">
        <v>-3727753</v>
      </c>
      <c r="AS275" s="129">
        <v>-3036728</v>
      </c>
      <c r="AT275" s="129">
        <v>-872777</v>
      </c>
      <c r="AU275" s="129">
        <v>0</v>
      </c>
      <c r="AV275" s="129">
        <v>-7637259</v>
      </c>
      <c r="AW275" s="662" t="s">
        <v>405</v>
      </c>
      <c r="AX275" s="324" t="s">
        <v>536</v>
      </c>
      <c r="AY275" s="663" t="s">
        <v>512</v>
      </c>
      <c r="AZ275" s="529" t="s">
        <v>1481</v>
      </c>
    </row>
    <row r="276" spans="1:52" ht="14.25" x14ac:dyDescent="0.2">
      <c r="A276" s="664">
        <v>269</v>
      </c>
      <c r="B276" s="665" t="s">
        <v>407</v>
      </c>
      <c r="C276" s="666" t="s">
        <v>486</v>
      </c>
      <c r="D276" s="667" t="s">
        <v>1211</v>
      </c>
      <c r="E276" s="668" t="s">
        <v>1924</v>
      </c>
      <c r="F276" s="129">
        <v>-51135987</v>
      </c>
      <c r="G276" s="129">
        <v>1029243</v>
      </c>
      <c r="H276" s="129">
        <v>53260832</v>
      </c>
      <c r="I276" s="129">
        <v>974378</v>
      </c>
      <c r="J276" s="129">
        <v>52286454</v>
      </c>
      <c r="K276" s="129">
        <v>121224</v>
      </c>
      <c r="L276" s="129">
        <v>0</v>
      </c>
      <c r="M276" s="129">
        <v>-51135987</v>
      </c>
      <c r="N276" s="755">
        <v>0.5</v>
      </c>
      <c r="O276" s="755">
        <v>0.49</v>
      </c>
      <c r="P276" s="755">
        <v>0</v>
      </c>
      <c r="Q276" s="755">
        <v>0.01</v>
      </c>
      <c r="R276" s="755">
        <v>1</v>
      </c>
      <c r="S276" s="129">
        <v>514622</v>
      </c>
      <c r="T276" s="129">
        <v>504329</v>
      </c>
      <c r="U276" s="129">
        <v>0</v>
      </c>
      <c r="V276" s="129">
        <v>10292</v>
      </c>
      <c r="W276" s="129">
        <v>1029243</v>
      </c>
      <c r="X276" s="755">
        <v>0.5</v>
      </c>
      <c r="Y276" s="755">
        <v>0.49</v>
      </c>
      <c r="Z276" s="755">
        <v>0</v>
      </c>
      <c r="AA276" s="755">
        <v>0.01</v>
      </c>
      <c r="AB276" s="755">
        <v>1</v>
      </c>
      <c r="AC276" s="129">
        <v>-26082615</v>
      </c>
      <c r="AD276" s="129">
        <v>-25560963</v>
      </c>
      <c r="AE276" s="129">
        <v>0</v>
      </c>
      <c r="AF276" s="129">
        <v>-521652</v>
      </c>
      <c r="AG276" s="129">
        <v>-52165230</v>
      </c>
      <c r="AH276" s="755">
        <v>0.5</v>
      </c>
      <c r="AI276" s="755">
        <v>0.49</v>
      </c>
      <c r="AJ276" s="755">
        <v>0</v>
      </c>
      <c r="AK276" s="755">
        <v>0.01</v>
      </c>
      <c r="AL276" s="755">
        <v>1</v>
      </c>
      <c r="AM276" s="129">
        <v>0</v>
      </c>
      <c r="AN276" s="129">
        <v>0</v>
      </c>
      <c r="AO276" s="129">
        <v>0</v>
      </c>
      <c r="AP276" s="129">
        <v>0</v>
      </c>
      <c r="AQ276" s="129">
        <v>0</v>
      </c>
      <c r="AR276" s="129">
        <v>-25567994</v>
      </c>
      <c r="AS276" s="129">
        <v>-25056634</v>
      </c>
      <c r="AT276" s="129">
        <v>0</v>
      </c>
      <c r="AU276" s="129">
        <v>-511360</v>
      </c>
      <c r="AV276" s="129">
        <v>-51135987</v>
      </c>
      <c r="AW276" s="662" t="s">
        <v>527</v>
      </c>
      <c r="AX276" s="324" t="s">
        <v>486</v>
      </c>
      <c r="AY276" s="663" t="s">
        <v>1923</v>
      </c>
      <c r="AZ276" s="529" t="s">
        <v>1482</v>
      </c>
    </row>
    <row r="277" spans="1:52" ht="12.75" x14ac:dyDescent="0.2">
      <c r="A277" s="664">
        <v>270</v>
      </c>
      <c r="B277" s="665" t="s">
        <v>409</v>
      </c>
      <c r="C277" s="666" t="s">
        <v>1201</v>
      </c>
      <c r="D277" s="667" t="s">
        <v>1202</v>
      </c>
      <c r="E277" s="668" t="s">
        <v>408</v>
      </c>
      <c r="F277" s="129">
        <v>-23361739</v>
      </c>
      <c r="G277" s="129">
        <v>-253371</v>
      </c>
      <c r="H277" s="129">
        <v>20438864</v>
      </c>
      <c r="I277" s="129">
        <v>704498</v>
      </c>
      <c r="J277" s="129">
        <v>19734366</v>
      </c>
      <c r="K277" s="129">
        <v>-3374002</v>
      </c>
      <c r="L277" s="129">
        <v>2249335</v>
      </c>
      <c r="M277" s="129">
        <v>-21112404</v>
      </c>
      <c r="N277" s="755">
        <v>0.5</v>
      </c>
      <c r="O277" s="755">
        <v>0.4</v>
      </c>
      <c r="P277" s="755">
        <v>0.09</v>
      </c>
      <c r="Q277" s="755">
        <v>0.01</v>
      </c>
      <c r="R277" s="755">
        <v>1</v>
      </c>
      <c r="S277" s="129">
        <v>-126686</v>
      </c>
      <c r="T277" s="129">
        <v>-101348</v>
      </c>
      <c r="U277" s="129">
        <v>-22803</v>
      </c>
      <c r="V277" s="129">
        <v>-2534</v>
      </c>
      <c r="W277" s="129">
        <v>-253371</v>
      </c>
      <c r="X277" s="755">
        <v>0.5</v>
      </c>
      <c r="Y277" s="755">
        <v>0.4</v>
      </c>
      <c r="Z277" s="755">
        <v>0.09</v>
      </c>
      <c r="AA277" s="755">
        <v>0.01</v>
      </c>
      <c r="AB277" s="755">
        <v>1</v>
      </c>
      <c r="AC277" s="129">
        <v>-9867183</v>
      </c>
      <c r="AD277" s="129">
        <v>-7893746</v>
      </c>
      <c r="AE277" s="129">
        <v>-1776093</v>
      </c>
      <c r="AF277" s="129">
        <v>-197344</v>
      </c>
      <c r="AG277" s="129">
        <v>-19734366</v>
      </c>
      <c r="AH277" s="755">
        <v>0.5</v>
      </c>
      <c r="AI277" s="755">
        <v>0.4</v>
      </c>
      <c r="AJ277" s="755">
        <v>0.09</v>
      </c>
      <c r="AK277" s="755">
        <v>0.01</v>
      </c>
      <c r="AL277" s="755">
        <v>1</v>
      </c>
      <c r="AM277" s="129">
        <v>-562334</v>
      </c>
      <c r="AN277" s="129">
        <v>-449867</v>
      </c>
      <c r="AO277" s="129">
        <v>-101220</v>
      </c>
      <c r="AP277" s="129">
        <v>-11247</v>
      </c>
      <c r="AQ277" s="129">
        <v>-1124667</v>
      </c>
      <c r="AR277" s="129">
        <v>-10556202</v>
      </c>
      <c r="AS277" s="129">
        <v>-8444962</v>
      </c>
      <c r="AT277" s="129">
        <v>-1900116</v>
      </c>
      <c r="AU277" s="129">
        <v>-211124</v>
      </c>
      <c r="AV277" s="129">
        <v>-21112404</v>
      </c>
      <c r="AW277" s="662" t="s">
        <v>408</v>
      </c>
      <c r="AX277" s="324" t="s">
        <v>543</v>
      </c>
      <c r="AY277" s="663" t="s">
        <v>542</v>
      </c>
      <c r="AZ277" s="529" t="s">
        <v>1483</v>
      </c>
    </row>
    <row r="278" spans="1:52" ht="12.75" x14ac:dyDescent="0.2">
      <c r="A278" s="664">
        <v>271</v>
      </c>
      <c r="B278" s="665" t="s">
        <v>410</v>
      </c>
      <c r="C278" s="666" t="s">
        <v>486</v>
      </c>
      <c r="D278" s="667" t="s">
        <v>1224</v>
      </c>
      <c r="E278" s="668" t="s">
        <v>520</v>
      </c>
      <c r="F278" s="129">
        <v>-23517362</v>
      </c>
      <c r="G278" s="129">
        <v>-395527</v>
      </c>
      <c r="H278" s="129">
        <v>24070363</v>
      </c>
      <c r="I278" s="129">
        <v>745173</v>
      </c>
      <c r="J278" s="129">
        <v>23325190</v>
      </c>
      <c r="K278" s="129">
        <v>203355</v>
      </c>
      <c r="L278" s="129">
        <v>0</v>
      </c>
      <c r="M278" s="129">
        <v>-23517362</v>
      </c>
      <c r="N278" s="755">
        <v>0.5</v>
      </c>
      <c r="O278" s="755">
        <v>0.49</v>
      </c>
      <c r="P278" s="755">
        <v>0</v>
      </c>
      <c r="Q278" s="755">
        <v>0.01</v>
      </c>
      <c r="R278" s="755">
        <v>1</v>
      </c>
      <c r="S278" s="129">
        <v>-197764</v>
      </c>
      <c r="T278" s="129">
        <v>-193808</v>
      </c>
      <c r="U278" s="129">
        <v>0</v>
      </c>
      <c r="V278" s="129">
        <v>-3955</v>
      </c>
      <c r="W278" s="129">
        <v>-395527</v>
      </c>
      <c r="X278" s="755">
        <v>0.5</v>
      </c>
      <c r="Y278" s="755">
        <v>0.49</v>
      </c>
      <c r="Z278" s="755">
        <v>0</v>
      </c>
      <c r="AA278" s="755">
        <v>0.01</v>
      </c>
      <c r="AB278" s="755">
        <v>1</v>
      </c>
      <c r="AC278" s="129">
        <v>-11560918</v>
      </c>
      <c r="AD278" s="129">
        <v>-11329699</v>
      </c>
      <c r="AE278" s="129">
        <v>0</v>
      </c>
      <c r="AF278" s="129">
        <v>-231218</v>
      </c>
      <c r="AG278" s="129">
        <v>-23121835</v>
      </c>
      <c r="AH278" s="755">
        <v>0.5</v>
      </c>
      <c r="AI278" s="755">
        <v>0.49</v>
      </c>
      <c r="AJ278" s="755">
        <v>0</v>
      </c>
      <c r="AK278" s="755">
        <v>0.01</v>
      </c>
      <c r="AL278" s="755">
        <v>1</v>
      </c>
      <c r="AM278" s="129">
        <v>0</v>
      </c>
      <c r="AN278" s="129">
        <v>0</v>
      </c>
      <c r="AO278" s="129">
        <v>0</v>
      </c>
      <c r="AP278" s="129">
        <v>0</v>
      </c>
      <c r="AQ278" s="129">
        <v>0</v>
      </c>
      <c r="AR278" s="129">
        <v>-11758681</v>
      </c>
      <c r="AS278" s="129">
        <v>-11523507</v>
      </c>
      <c r="AT278" s="129">
        <v>0</v>
      </c>
      <c r="AU278" s="129">
        <v>-235174</v>
      </c>
      <c r="AV278" s="129">
        <v>-23517362</v>
      </c>
      <c r="AW278" s="662" t="s">
        <v>520</v>
      </c>
      <c r="AX278" s="324" t="s">
        <v>486</v>
      </c>
      <c r="AY278" s="663" t="s">
        <v>519</v>
      </c>
      <c r="AZ278" s="529" t="s">
        <v>1484</v>
      </c>
    </row>
    <row r="279" spans="1:52" ht="12.75" x14ac:dyDescent="0.2">
      <c r="A279" s="664">
        <v>272</v>
      </c>
      <c r="B279" s="665" t="s">
        <v>412</v>
      </c>
      <c r="C279" s="666" t="s">
        <v>1201</v>
      </c>
      <c r="D279" s="667" t="s">
        <v>1224</v>
      </c>
      <c r="E279" s="668" t="s">
        <v>411</v>
      </c>
      <c r="F279" s="129">
        <v>-8207744</v>
      </c>
      <c r="G279" s="129">
        <v>-401051</v>
      </c>
      <c r="H279" s="129">
        <v>7058576</v>
      </c>
      <c r="I279" s="129">
        <v>359095</v>
      </c>
      <c r="J279" s="129">
        <v>6699481</v>
      </c>
      <c r="K279" s="129">
        <v>-1107212</v>
      </c>
      <c r="L279" s="129">
        <v>738141</v>
      </c>
      <c r="M279" s="129">
        <v>-7469603</v>
      </c>
      <c r="N279" s="755">
        <v>0.5</v>
      </c>
      <c r="O279" s="755">
        <v>0.4</v>
      </c>
      <c r="P279" s="755">
        <v>0.09</v>
      </c>
      <c r="Q279" s="755">
        <v>0.01</v>
      </c>
      <c r="R279" s="755">
        <v>1</v>
      </c>
      <c r="S279" s="129">
        <v>-200526</v>
      </c>
      <c r="T279" s="129">
        <v>-160420</v>
      </c>
      <c r="U279" s="129">
        <v>-36095</v>
      </c>
      <c r="V279" s="129">
        <v>-4011</v>
      </c>
      <c r="W279" s="129">
        <v>-401051</v>
      </c>
      <c r="X279" s="755">
        <v>0.5</v>
      </c>
      <c r="Y279" s="755">
        <v>0.4</v>
      </c>
      <c r="Z279" s="755">
        <v>0.09</v>
      </c>
      <c r="AA279" s="755">
        <v>0.01</v>
      </c>
      <c r="AB279" s="755">
        <v>1</v>
      </c>
      <c r="AC279" s="129">
        <v>-3349741</v>
      </c>
      <c r="AD279" s="129">
        <v>-2679792</v>
      </c>
      <c r="AE279" s="129">
        <v>-602953</v>
      </c>
      <c r="AF279" s="129">
        <v>-66995</v>
      </c>
      <c r="AG279" s="129">
        <v>-6699481</v>
      </c>
      <c r="AH279" s="755">
        <v>0.5</v>
      </c>
      <c r="AI279" s="755">
        <v>0.4</v>
      </c>
      <c r="AJ279" s="755">
        <v>0.09</v>
      </c>
      <c r="AK279" s="755">
        <v>0.01</v>
      </c>
      <c r="AL279" s="755">
        <v>1</v>
      </c>
      <c r="AM279" s="129">
        <v>-184535</v>
      </c>
      <c r="AN279" s="129">
        <v>-147628</v>
      </c>
      <c r="AO279" s="129">
        <v>-33216</v>
      </c>
      <c r="AP279" s="129">
        <v>-3691</v>
      </c>
      <c r="AQ279" s="129">
        <v>-369071</v>
      </c>
      <c r="AR279" s="129">
        <v>-3734801</v>
      </c>
      <c r="AS279" s="129">
        <v>-2987841</v>
      </c>
      <c r="AT279" s="129">
        <v>-672264</v>
      </c>
      <c r="AU279" s="129">
        <v>-74696</v>
      </c>
      <c r="AV279" s="129">
        <v>-7469603</v>
      </c>
      <c r="AW279" s="662" t="s">
        <v>411</v>
      </c>
      <c r="AX279" s="324" t="s">
        <v>521</v>
      </c>
      <c r="AY279" s="663" t="s">
        <v>519</v>
      </c>
      <c r="AZ279" s="529" t="s">
        <v>1485</v>
      </c>
    </row>
    <row r="280" spans="1:52" ht="12.75" x14ac:dyDescent="0.2">
      <c r="A280" s="664">
        <v>273</v>
      </c>
      <c r="B280" s="665" t="s">
        <v>414</v>
      </c>
      <c r="C280" s="666" t="s">
        <v>1257</v>
      </c>
      <c r="D280" s="667" t="s">
        <v>1214</v>
      </c>
      <c r="E280" s="668" t="s">
        <v>413</v>
      </c>
      <c r="F280" s="129">
        <v>-135478119</v>
      </c>
      <c r="G280" s="129">
        <v>-9570869</v>
      </c>
      <c r="H280" s="129">
        <v>102974302</v>
      </c>
      <c r="I280" s="129">
        <v>6281225</v>
      </c>
      <c r="J280" s="129">
        <v>96693077</v>
      </c>
      <c r="K280" s="129">
        <v>-29214173</v>
      </c>
      <c r="L280" s="129">
        <v>19476115</v>
      </c>
      <c r="M280" s="129">
        <v>-116002004</v>
      </c>
      <c r="N280" s="755">
        <v>0.25</v>
      </c>
      <c r="O280" s="755">
        <v>0.48</v>
      </c>
      <c r="P280" s="755">
        <v>0.27</v>
      </c>
      <c r="Q280" s="755">
        <v>0</v>
      </c>
      <c r="R280" s="755">
        <v>1</v>
      </c>
      <c r="S280" s="129">
        <v>-2392717</v>
      </c>
      <c r="T280" s="129">
        <v>-4594017</v>
      </c>
      <c r="U280" s="129">
        <v>-2584135</v>
      </c>
      <c r="V280" s="129">
        <v>0</v>
      </c>
      <c r="W280" s="129">
        <v>-9570869</v>
      </c>
      <c r="X280" s="755">
        <v>0.33</v>
      </c>
      <c r="Y280" s="755">
        <v>0.3</v>
      </c>
      <c r="Z280" s="755">
        <v>0.37</v>
      </c>
      <c r="AA280" s="755">
        <v>0</v>
      </c>
      <c r="AB280" s="755">
        <v>1</v>
      </c>
      <c r="AC280" s="129">
        <v>-31908715</v>
      </c>
      <c r="AD280" s="129">
        <v>-29007923</v>
      </c>
      <c r="AE280" s="129">
        <v>-35776438</v>
      </c>
      <c r="AF280" s="129">
        <v>0</v>
      </c>
      <c r="AG280" s="129">
        <v>-96693077</v>
      </c>
      <c r="AH280" s="755">
        <v>0.33</v>
      </c>
      <c r="AI280" s="755">
        <v>0.3</v>
      </c>
      <c r="AJ280" s="755">
        <v>0.37</v>
      </c>
      <c r="AK280" s="755">
        <v>0</v>
      </c>
      <c r="AL280" s="755">
        <v>1</v>
      </c>
      <c r="AM280" s="129">
        <v>-3213559</v>
      </c>
      <c r="AN280" s="129">
        <v>-2921417</v>
      </c>
      <c r="AO280" s="129">
        <v>-3603081</v>
      </c>
      <c r="AP280" s="129">
        <v>0</v>
      </c>
      <c r="AQ280" s="129">
        <v>-9738058</v>
      </c>
      <c r="AR280" s="129">
        <v>-37514992</v>
      </c>
      <c r="AS280" s="129">
        <v>-36523358</v>
      </c>
      <c r="AT280" s="129">
        <v>-41963654</v>
      </c>
      <c r="AU280" s="129">
        <v>0</v>
      </c>
      <c r="AV280" s="129">
        <v>-116002004</v>
      </c>
      <c r="AW280" s="662" t="s">
        <v>413</v>
      </c>
      <c r="AX280" s="324" t="s">
        <v>576</v>
      </c>
      <c r="AY280" s="669" t="s">
        <v>485</v>
      </c>
      <c r="AZ280" s="529" t="s">
        <v>1486</v>
      </c>
    </row>
    <row r="281" spans="1:52" ht="12.75" x14ac:dyDescent="0.2">
      <c r="A281" s="664">
        <v>274</v>
      </c>
      <c r="B281" s="665" t="s">
        <v>416</v>
      </c>
      <c r="C281" s="666" t="s">
        <v>1217</v>
      </c>
      <c r="D281" s="667" t="s">
        <v>1204</v>
      </c>
      <c r="E281" s="668" t="s">
        <v>415</v>
      </c>
      <c r="F281" s="129">
        <v>-89685409</v>
      </c>
      <c r="G281" s="129">
        <v>4164514</v>
      </c>
      <c r="H281" s="129">
        <v>90754802</v>
      </c>
      <c r="I281" s="129">
        <v>2278582</v>
      </c>
      <c r="J281" s="129">
        <v>88476220</v>
      </c>
      <c r="K281" s="129">
        <v>-5373703</v>
      </c>
      <c r="L281" s="129">
        <v>3582469</v>
      </c>
      <c r="M281" s="129">
        <v>-86102940</v>
      </c>
      <c r="N281" s="755">
        <v>0</v>
      </c>
      <c r="O281" s="755">
        <v>0.99</v>
      </c>
      <c r="P281" s="755">
        <v>0</v>
      </c>
      <c r="Q281" s="755">
        <v>0.01</v>
      </c>
      <c r="R281" s="755">
        <v>1</v>
      </c>
      <c r="S281" s="129">
        <v>0</v>
      </c>
      <c r="T281" s="129">
        <v>4122869</v>
      </c>
      <c r="U281" s="129">
        <v>0</v>
      </c>
      <c r="V281" s="129">
        <v>41645</v>
      </c>
      <c r="W281" s="129">
        <v>4164514</v>
      </c>
      <c r="X281" s="755">
        <v>0</v>
      </c>
      <c r="Y281" s="755">
        <v>0.99</v>
      </c>
      <c r="Z281" s="755">
        <v>0</v>
      </c>
      <c r="AA281" s="755">
        <v>0.01</v>
      </c>
      <c r="AB281" s="755">
        <v>1</v>
      </c>
      <c r="AC281" s="129">
        <v>0</v>
      </c>
      <c r="AD281" s="129">
        <v>-87591458</v>
      </c>
      <c r="AE281" s="129">
        <v>0</v>
      </c>
      <c r="AF281" s="129">
        <v>-884762</v>
      </c>
      <c r="AG281" s="129">
        <v>-88476220</v>
      </c>
      <c r="AH281" s="755">
        <v>0</v>
      </c>
      <c r="AI281" s="755">
        <v>0.99</v>
      </c>
      <c r="AJ281" s="755">
        <v>0</v>
      </c>
      <c r="AK281" s="755">
        <v>0.01</v>
      </c>
      <c r="AL281" s="755">
        <v>1</v>
      </c>
      <c r="AM281" s="129">
        <v>0</v>
      </c>
      <c r="AN281" s="129">
        <v>-1773322</v>
      </c>
      <c r="AO281" s="129">
        <v>0</v>
      </c>
      <c r="AP281" s="129">
        <v>-17912</v>
      </c>
      <c r="AQ281" s="129">
        <v>-1791234</v>
      </c>
      <c r="AR281" s="129">
        <v>0</v>
      </c>
      <c r="AS281" s="129">
        <v>-85241911</v>
      </c>
      <c r="AT281" s="129">
        <v>0</v>
      </c>
      <c r="AU281" s="129">
        <v>-861029</v>
      </c>
      <c r="AV281" s="129">
        <v>-86102940</v>
      </c>
      <c r="AW281" s="662" t="s">
        <v>415</v>
      </c>
      <c r="AX281" s="324" t="s">
        <v>570</v>
      </c>
      <c r="AY281" s="663" t="s">
        <v>1915</v>
      </c>
      <c r="AZ281" s="529" t="s">
        <v>1487</v>
      </c>
    </row>
    <row r="282" spans="1:52" ht="12.75" x14ac:dyDescent="0.2">
      <c r="A282" s="664">
        <v>275</v>
      </c>
      <c r="B282" s="665" t="s">
        <v>418</v>
      </c>
      <c r="C282" s="666" t="s">
        <v>1201</v>
      </c>
      <c r="D282" s="667" t="s">
        <v>1202</v>
      </c>
      <c r="E282" s="668" t="s">
        <v>417</v>
      </c>
      <c r="F282" s="129">
        <v>-37848805</v>
      </c>
      <c r="G282" s="129">
        <v>-156234</v>
      </c>
      <c r="H282" s="129">
        <v>30295817</v>
      </c>
      <c r="I282" s="129">
        <v>1635387</v>
      </c>
      <c r="J282" s="129">
        <v>28660430</v>
      </c>
      <c r="K282" s="129">
        <v>-9032141</v>
      </c>
      <c r="L282" s="129">
        <v>6021427</v>
      </c>
      <c r="M282" s="129">
        <v>-31827377</v>
      </c>
      <c r="N282" s="755">
        <v>0.5</v>
      </c>
      <c r="O282" s="755">
        <v>0.4</v>
      </c>
      <c r="P282" s="755">
        <v>0.09</v>
      </c>
      <c r="Q282" s="755">
        <v>0.01</v>
      </c>
      <c r="R282" s="755">
        <v>1</v>
      </c>
      <c r="S282" s="129">
        <v>-78117</v>
      </c>
      <c r="T282" s="129">
        <v>-62493</v>
      </c>
      <c r="U282" s="129">
        <v>-14061</v>
      </c>
      <c r="V282" s="129">
        <v>-1562</v>
      </c>
      <c r="W282" s="129">
        <v>-156234</v>
      </c>
      <c r="X282" s="755">
        <v>0.5</v>
      </c>
      <c r="Y282" s="755">
        <v>0.4</v>
      </c>
      <c r="Z282" s="755">
        <v>0.09</v>
      </c>
      <c r="AA282" s="755">
        <v>0.01</v>
      </c>
      <c r="AB282" s="755">
        <v>1</v>
      </c>
      <c r="AC282" s="129">
        <v>-14330215</v>
      </c>
      <c r="AD282" s="129">
        <v>-11464172</v>
      </c>
      <c r="AE282" s="129">
        <v>-2579439</v>
      </c>
      <c r="AF282" s="129">
        <v>-286604</v>
      </c>
      <c r="AG282" s="129">
        <v>-28660430</v>
      </c>
      <c r="AH282" s="755">
        <v>0.5</v>
      </c>
      <c r="AI282" s="755">
        <v>0.4</v>
      </c>
      <c r="AJ282" s="755">
        <v>0.09</v>
      </c>
      <c r="AK282" s="755">
        <v>0.01</v>
      </c>
      <c r="AL282" s="755">
        <v>1</v>
      </c>
      <c r="AM282" s="129">
        <v>-1505357</v>
      </c>
      <c r="AN282" s="129">
        <v>-1204285</v>
      </c>
      <c r="AO282" s="129">
        <v>-270964</v>
      </c>
      <c r="AP282" s="129">
        <v>-30107</v>
      </c>
      <c r="AQ282" s="129">
        <v>-3010714</v>
      </c>
      <c r="AR282" s="129">
        <v>-15913689</v>
      </c>
      <c r="AS282" s="129">
        <v>-12730951</v>
      </c>
      <c r="AT282" s="129">
        <v>-2864464</v>
      </c>
      <c r="AU282" s="129">
        <v>-318274</v>
      </c>
      <c r="AV282" s="129">
        <v>-31827377</v>
      </c>
      <c r="AW282" s="662" t="s">
        <v>417</v>
      </c>
      <c r="AX282" s="324" t="s">
        <v>543</v>
      </c>
      <c r="AY282" s="663" t="s">
        <v>542</v>
      </c>
      <c r="AZ282" s="529" t="s">
        <v>1488</v>
      </c>
    </row>
    <row r="283" spans="1:52" ht="12.75" x14ac:dyDescent="0.2">
      <c r="A283" s="664">
        <v>276</v>
      </c>
      <c r="B283" s="665" t="s">
        <v>420</v>
      </c>
      <c r="C283" s="666" t="s">
        <v>1201</v>
      </c>
      <c r="D283" s="667" t="s">
        <v>1211</v>
      </c>
      <c r="E283" s="668" t="s">
        <v>419</v>
      </c>
      <c r="F283" s="129">
        <v>-14305084</v>
      </c>
      <c r="G283" s="129">
        <v>-358518</v>
      </c>
      <c r="H283" s="129">
        <v>11254281</v>
      </c>
      <c r="I283" s="129">
        <v>626165</v>
      </c>
      <c r="J283" s="129">
        <v>10628116</v>
      </c>
      <c r="K283" s="129">
        <v>-3318450</v>
      </c>
      <c r="L283" s="129">
        <v>2212300</v>
      </c>
      <c r="M283" s="129">
        <v>-12092784</v>
      </c>
      <c r="N283" s="755">
        <v>0.5</v>
      </c>
      <c r="O283" s="755">
        <v>0.4</v>
      </c>
      <c r="P283" s="755">
        <v>0.09</v>
      </c>
      <c r="Q283" s="755">
        <v>0.01</v>
      </c>
      <c r="R283" s="755">
        <v>1</v>
      </c>
      <c r="S283" s="129">
        <v>-179259</v>
      </c>
      <c r="T283" s="129">
        <v>-143407</v>
      </c>
      <c r="U283" s="129">
        <v>-32267</v>
      </c>
      <c r="V283" s="129">
        <v>-3585</v>
      </c>
      <c r="W283" s="129">
        <v>-358518</v>
      </c>
      <c r="X283" s="755">
        <v>0.5</v>
      </c>
      <c r="Y283" s="755">
        <v>0.4</v>
      </c>
      <c r="Z283" s="755">
        <v>0.09</v>
      </c>
      <c r="AA283" s="755">
        <v>0.01</v>
      </c>
      <c r="AB283" s="755">
        <v>1</v>
      </c>
      <c r="AC283" s="129">
        <v>-5314058</v>
      </c>
      <c r="AD283" s="129">
        <v>-4251246</v>
      </c>
      <c r="AE283" s="129">
        <v>-956530</v>
      </c>
      <c r="AF283" s="129">
        <v>-106281</v>
      </c>
      <c r="AG283" s="129">
        <v>-10628116</v>
      </c>
      <c r="AH283" s="755">
        <v>0.5</v>
      </c>
      <c r="AI283" s="755">
        <v>0.4</v>
      </c>
      <c r="AJ283" s="755">
        <v>0.09</v>
      </c>
      <c r="AK283" s="755">
        <v>0.01</v>
      </c>
      <c r="AL283" s="755">
        <v>1</v>
      </c>
      <c r="AM283" s="129">
        <v>-553075</v>
      </c>
      <c r="AN283" s="129">
        <v>-442460</v>
      </c>
      <c r="AO283" s="129">
        <v>-99554</v>
      </c>
      <c r="AP283" s="129">
        <v>-11062</v>
      </c>
      <c r="AQ283" s="129">
        <v>-1106150</v>
      </c>
      <c r="AR283" s="129">
        <v>-6046392</v>
      </c>
      <c r="AS283" s="129">
        <v>-4837114</v>
      </c>
      <c r="AT283" s="129">
        <v>-1088351</v>
      </c>
      <c r="AU283" s="129">
        <v>-120928</v>
      </c>
      <c r="AV283" s="129">
        <v>-12092784</v>
      </c>
      <c r="AW283" s="662" t="s">
        <v>419</v>
      </c>
      <c r="AX283" s="324" t="s">
        <v>528</v>
      </c>
      <c r="AY283" s="663" t="s">
        <v>1913</v>
      </c>
      <c r="AZ283" s="529" t="s">
        <v>1489</v>
      </c>
    </row>
    <row r="284" spans="1:52" ht="12.75" x14ac:dyDescent="0.2">
      <c r="A284" s="664">
        <v>277</v>
      </c>
      <c r="B284" s="665" t="s">
        <v>422</v>
      </c>
      <c r="C284" s="666" t="s">
        <v>1201</v>
      </c>
      <c r="D284" s="667" t="s">
        <v>1202</v>
      </c>
      <c r="E284" s="668" t="s">
        <v>421</v>
      </c>
      <c r="F284" s="129">
        <v>-21668041</v>
      </c>
      <c r="G284" s="129">
        <v>-1755931</v>
      </c>
      <c r="H284" s="129">
        <v>16409152</v>
      </c>
      <c r="I284" s="129">
        <v>644062</v>
      </c>
      <c r="J284" s="129">
        <v>15765090</v>
      </c>
      <c r="K284" s="129">
        <v>-4147020</v>
      </c>
      <c r="L284" s="129">
        <v>2764680</v>
      </c>
      <c r="M284" s="129">
        <v>-18903361</v>
      </c>
      <c r="N284" s="755">
        <v>0.5</v>
      </c>
      <c r="O284" s="755">
        <v>0.4</v>
      </c>
      <c r="P284" s="755">
        <v>0.1</v>
      </c>
      <c r="Q284" s="755">
        <v>0</v>
      </c>
      <c r="R284" s="755">
        <v>1</v>
      </c>
      <c r="S284" s="129">
        <v>-877966</v>
      </c>
      <c r="T284" s="129">
        <v>-702372</v>
      </c>
      <c r="U284" s="129">
        <v>-175593</v>
      </c>
      <c r="V284" s="129">
        <v>0</v>
      </c>
      <c r="W284" s="129">
        <v>-1755931</v>
      </c>
      <c r="X284" s="755">
        <v>0.5</v>
      </c>
      <c r="Y284" s="755">
        <v>0.4</v>
      </c>
      <c r="Z284" s="755">
        <v>0.1</v>
      </c>
      <c r="AA284" s="755">
        <v>0</v>
      </c>
      <c r="AB284" s="755">
        <v>1</v>
      </c>
      <c r="AC284" s="129">
        <v>-7882545</v>
      </c>
      <c r="AD284" s="129">
        <v>-6306036</v>
      </c>
      <c r="AE284" s="129">
        <v>-1576509</v>
      </c>
      <c r="AF284" s="129">
        <v>0</v>
      </c>
      <c r="AG284" s="129">
        <v>-15765090</v>
      </c>
      <c r="AH284" s="755">
        <v>0.5</v>
      </c>
      <c r="AI284" s="755">
        <v>0.4</v>
      </c>
      <c r="AJ284" s="755">
        <v>0.1</v>
      </c>
      <c r="AK284" s="755">
        <v>0</v>
      </c>
      <c r="AL284" s="755">
        <v>1</v>
      </c>
      <c r="AM284" s="129">
        <v>-691170</v>
      </c>
      <c r="AN284" s="129">
        <v>-552936</v>
      </c>
      <c r="AO284" s="129">
        <v>-138234</v>
      </c>
      <c r="AP284" s="129">
        <v>0</v>
      </c>
      <c r="AQ284" s="129">
        <v>-1382340</v>
      </c>
      <c r="AR284" s="129">
        <v>-9451681</v>
      </c>
      <c r="AS284" s="129">
        <v>-7561344</v>
      </c>
      <c r="AT284" s="129">
        <v>-1890336</v>
      </c>
      <c r="AU284" s="129">
        <v>0</v>
      </c>
      <c r="AV284" s="129">
        <v>-18903361</v>
      </c>
      <c r="AW284" s="662" t="s">
        <v>421</v>
      </c>
      <c r="AX284" s="324" t="s">
        <v>560</v>
      </c>
      <c r="AY284" s="663" t="s">
        <v>512</v>
      </c>
      <c r="AZ284" s="529" t="s">
        <v>1490</v>
      </c>
    </row>
    <row r="285" spans="1:52" ht="12.75" x14ac:dyDescent="0.2">
      <c r="A285" s="664">
        <v>278</v>
      </c>
      <c r="B285" s="665" t="s">
        <v>424</v>
      </c>
      <c r="C285" s="666" t="s">
        <v>1217</v>
      </c>
      <c r="D285" s="667" t="s">
        <v>1218</v>
      </c>
      <c r="E285" s="668" t="s">
        <v>423</v>
      </c>
      <c r="F285" s="129">
        <v>-43210373</v>
      </c>
      <c r="G285" s="129">
        <v>5665640</v>
      </c>
      <c r="H285" s="129">
        <v>45573077</v>
      </c>
      <c r="I285" s="129">
        <v>2029922</v>
      </c>
      <c r="J285" s="129">
        <v>43543155</v>
      </c>
      <c r="K285" s="129">
        <v>-5332858</v>
      </c>
      <c r="L285" s="129">
        <v>3555239</v>
      </c>
      <c r="M285" s="129">
        <v>-39655134</v>
      </c>
      <c r="N285" s="755">
        <v>0.25</v>
      </c>
      <c r="O285" s="755">
        <v>0.74</v>
      </c>
      <c r="P285" s="755">
        <v>0</v>
      </c>
      <c r="Q285" s="755">
        <v>0.01</v>
      </c>
      <c r="R285" s="755">
        <v>1</v>
      </c>
      <c r="S285" s="129">
        <v>1416410</v>
      </c>
      <c r="T285" s="129">
        <v>4192574</v>
      </c>
      <c r="U285" s="129">
        <v>0</v>
      </c>
      <c r="V285" s="129">
        <v>56656</v>
      </c>
      <c r="W285" s="129">
        <v>5665640</v>
      </c>
      <c r="X285" s="755">
        <v>0.5</v>
      </c>
      <c r="Y285" s="755">
        <v>0.49</v>
      </c>
      <c r="Z285" s="755">
        <v>0</v>
      </c>
      <c r="AA285" s="755">
        <v>0.01</v>
      </c>
      <c r="AB285" s="755">
        <v>1</v>
      </c>
      <c r="AC285" s="129">
        <v>-21771578</v>
      </c>
      <c r="AD285" s="129">
        <v>-21336146</v>
      </c>
      <c r="AE285" s="129">
        <v>0</v>
      </c>
      <c r="AF285" s="129">
        <v>-435432</v>
      </c>
      <c r="AG285" s="129">
        <v>-43543155</v>
      </c>
      <c r="AH285" s="755">
        <v>0.5</v>
      </c>
      <c r="AI285" s="755">
        <v>0.49</v>
      </c>
      <c r="AJ285" s="755">
        <v>0</v>
      </c>
      <c r="AK285" s="755">
        <v>0.01</v>
      </c>
      <c r="AL285" s="755">
        <v>1</v>
      </c>
      <c r="AM285" s="129">
        <v>-888810</v>
      </c>
      <c r="AN285" s="129">
        <v>-871033</v>
      </c>
      <c r="AO285" s="129">
        <v>0</v>
      </c>
      <c r="AP285" s="129">
        <v>-17776</v>
      </c>
      <c r="AQ285" s="129">
        <v>-1777619</v>
      </c>
      <c r="AR285" s="129">
        <v>-21243977</v>
      </c>
      <c r="AS285" s="129">
        <v>-18014606</v>
      </c>
      <c r="AT285" s="129">
        <v>0</v>
      </c>
      <c r="AU285" s="129">
        <v>-396551</v>
      </c>
      <c r="AV285" s="129">
        <v>-39655134</v>
      </c>
      <c r="AW285" s="662" t="s">
        <v>423</v>
      </c>
      <c r="AX285" s="324" t="s">
        <v>570</v>
      </c>
      <c r="AY285" s="663" t="s">
        <v>575</v>
      </c>
      <c r="AZ285" s="529" t="s">
        <v>1491</v>
      </c>
    </row>
    <row r="286" spans="1:52" ht="12.75" x14ac:dyDescent="0.2">
      <c r="A286" s="664">
        <v>279</v>
      </c>
      <c r="B286" s="665" t="s">
        <v>426</v>
      </c>
      <c r="C286" s="666" t="s">
        <v>1217</v>
      </c>
      <c r="D286" s="667" t="s">
        <v>1228</v>
      </c>
      <c r="E286" s="668" t="s">
        <v>425</v>
      </c>
      <c r="F286" s="129">
        <v>-31499705</v>
      </c>
      <c r="G286" s="129">
        <v>-189551</v>
      </c>
      <c r="H286" s="129">
        <v>28282640</v>
      </c>
      <c r="I286" s="129">
        <v>924722</v>
      </c>
      <c r="J286" s="129">
        <v>27357918</v>
      </c>
      <c r="K286" s="129">
        <v>-3952236</v>
      </c>
      <c r="L286" s="129">
        <v>2634824</v>
      </c>
      <c r="M286" s="129">
        <v>-28864881</v>
      </c>
      <c r="N286" s="755">
        <v>0</v>
      </c>
      <c r="O286" s="755">
        <v>0.99</v>
      </c>
      <c r="P286" s="755">
        <v>0</v>
      </c>
      <c r="Q286" s="755">
        <v>0.01</v>
      </c>
      <c r="R286" s="755">
        <v>1</v>
      </c>
      <c r="S286" s="129">
        <v>0</v>
      </c>
      <c r="T286" s="129">
        <v>-187655</v>
      </c>
      <c r="U286" s="129">
        <v>0</v>
      </c>
      <c r="V286" s="129">
        <v>-1896</v>
      </c>
      <c r="W286" s="129">
        <v>-189551</v>
      </c>
      <c r="X286" s="755">
        <v>0</v>
      </c>
      <c r="Y286" s="755">
        <v>0.99</v>
      </c>
      <c r="Z286" s="755">
        <v>0</v>
      </c>
      <c r="AA286" s="755">
        <v>0.01</v>
      </c>
      <c r="AB286" s="755">
        <v>1</v>
      </c>
      <c r="AC286" s="129">
        <v>0</v>
      </c>
      <c r="AD286" s="129">
        <v>-27084339</v>
      </c>
      <c r="AE286" s="129">
        <v>0</v>
      </c>
      <c r="AF286" s="129">
        <v>-273579</v>
      </c>
      <c r="AG286" s="129">
        <v>-27357918</v>
      </c>
      <c r="AH286" s="755">
        <v>0</v>
      </c>
      <c r="AI286" s="755">
        <v>0.99</v>
      </c>
      <c r="AJ286" s="755">
        <v>0</v>
      </c>
      <c r="AK286" s="755">
        <v>0.01</v>
      </c>
      <c r="AL286" s="755">
        <v>1</v>
      </c>
      <c r="AM286" s="129">
        <v>0</v>
      </c>
      <c r="AN286" s="129">
        <v>-1304238</v>
      </c>
      <c r="AO286" s="129">
        <v>0</v>
      </c>
      <c r="AP286" s="129">
        <v>-13174</v>
      </c>
      <c r="AQ286" s="129">
        <v>-1317412</v>
      </c>
      <c r="AR286" s="129">
        <v>0</v>
      </c>
      <c r="AS286" s="129">
        <v>-28576232</v>
      </c>
      <c r="AT286" s="129">
        <v>0</v>
      </c>
      <c r="AU286" s="129">
        <v>-288649</v>
      </c>
      <c r="AV286" s="129">
        <v>-28864881</v>
      </c>
      <c r="AW286" s="662" t="s">
        <v>425</v>
      </c>
      <c r="AX286" s="324" t="s">
        <v>570</v>
      </c>
      <c r="AY286" s="663" t="s">
        <v>574</v>
      </c>
      <c r="AZ286" s="529" t="s">
        <v>1492</v>
      </c>
    </row>
    <row r="287" spans="1:52" ht="12.75" x14ac:dyDescent="0.2">
      <c r="A287" s="664">
        <v>280</v>
      </c>
      <c r="B287" s="665" t="s">
        <v>428</v>
      </c>
      <c r="C287" s="666" t="s">
        <v>1213</v>
      </c>
      <c r="D287" s="667" t="s">
        <v>1214</v>
      </c>
      <c r="E287" s="668" t="s">
        <v>427</v>
      </c>
      <c r="F287" s="129">
        <v>-33736827</v>
      </c>
      <c r="G287" s="129">
        <v>2611171</v>
      </c>
      <c r="H287" s="129">
        <v>32160875</v>
      </c>
      <c r="I287" s="129">
        <v>2454286</v>
      </c>
      <c r="J287" s="129">
        <v>29706589</v>
      </c>
      <c r="K287" s="129">
        <v>-6641409</v>
      </c>
      <c r="L287" s="129">
        <v>4427606</v>
      </c>
      <c r="M287" s="129">
        <v>-29309221</v>
      </c>
      <c r="N287" s="755">
        <v>0.25</v>
      </c>
      <c r="O287" s="755">
        <v>0.48</v>
      </c>
      <c r="P287" s="755">
        <v>0.27</v>
      </c>
      <c r="Q287" s="755">
        <v>0</v>
      </c>
      <c r="R287" s="755">
        <v>1</v>
      </c>
      <c r="S287" s="129">
        <v>652793</v>
      </c>
      <c r="T287" s="129">
        <v>1253362</v>
      </c>
      <c r="U287" s="129">
        <v>705016</v>
      </c>
      <c r="V287" s="129">
        <v>0</v>
      </c>
      <c r="W287" s="129">
        <v>2611171</v>
      </c>
      <c r="X287" s="755">
        <v>0.33</v>
      </c>
      <c r="Y287" s="755">
        <v>0.3</v>
      </c>
      <c r="Z287" s="755">
        <v>0.37</v>
      </c>
      <c r="AA287" s="755">
        <v>0</v>
      </c>
      <c r="AB287" s="755">
        <v>1</v>
      </c>
      <c r="AC287" s="129">
        <v>-9803174</v>
      </c>
      <c r="AD287" s="129">
        <v>-8911977</v>
      </c>
      <c r="AE287" s="129">
        <v>-10991438</v>
      </c>
      <c r="AF287" s="129">
        <v>0</v>
      </c>
      <c r="AG287" s="129">
        <v>-29706589</v>
      </c>
      <c r="AH287" s="755">
        <v>0.33</v>
      </c>
      <c r="AI287" s="755">
        <v>0.3</v>
      </c>
      <c r="AJ287" s="755">
        <v>0.37</v>
      </c>
      <c r="AK287" s="755">
        <v>0</v>
      </c>
      <c r="AL287" s="755">
        <v>1</v>
      </c>
      <c r="AM287" s="129">
        <v>-730555</v>
      </c>
      <c r="AN287" s="129">
        <v>-664141</v>
      </c>
      <c r="AO287" s="129">
        <v>-819107</v>
      </c>
      <c r="AP287" s="129">
        <v>0</v>
      </c>
      <c r="AQ287" s="129">
        <v>-2213803</v>
      </c>
      <c r="AR287" s="129">
        <v>-9880937</v>
      </c>
      <c r="AS287" s="129">
        <v>-8322756</v>
      </c>
      <c r="AT287" s="129">
        <v>-11105529</v>
      </c>
      <c r="AU287" s="129">
        <v>0</v>
      </c>
      <c r="AV287" s="129">
        <v>-29309221</v>
      </c>
      <c r="AW287" s="662" t="s">
        <v>427</v>
      </c>
      <c r="AX287" s="324" t="s">
        <v>576</v>
      </c>
      <c r="AY287" s="669" t="s">
        <v>485</v>
      </c>
      <c r="AZ287" s="529" t="s">
        <v>1493</v>
      </c>
    </row>
    <row r="288" spans="1:52" ht="12.75" x14ac:dyDescent="0.2">
      <c r="A288" s="664">
        <v>281</v>
      </c>
      <c r="B288" s="665" t="s">
        <v>430</v>
      </c>
      <c r="C288" s="666" t="s">
        <v>1257</v>
      </c>
      <c r="D288" s="667" t="s">
        <v>1214</v>
      </c>
      <c r="E288" s="668" t="s">
        <v>429</v>
      </c>
      <c r="F288" s="129">
        <v>-75129000</v>
      </c>
      <c r="G288" s="129">
        <v>-2426839</v>
      </c>
      <c r="H288" s="129">
        <v>68973032</v>
      </c>
      <c r="I288" s="129">
        <v>3424396</v>
      </c>
      <c r="J288" s="129">
        <v>65548636</v>
      </c>
      <c r="K288" s="129">
        <v>-7153525</v>
      </c>
      <c r="L288" s="129">
        <v>4769017</v>
      </c>
      <c r="M288" s="129">
        <v>-70359983</v>
      </c>
      <c r="N288" s="755">
        <v>0.25</v>
      </c>
      <c r="O288" s="755">
        <v>0.48</v>
      </c>
      <c r="P288" s="755">
        <v>0.27</v>
      </c>
      <c r="Q288" s="755">
        <v>0</v>
      </c>
      <c r="R288" s="755">
        <v>1</v>
      </c>
      <c r="S288" s="129">
        <v>-606710</v>
      </c>
      <c r="T288" s="129">
        <v>-1164883</v>
      </c>
      <c r="U288" s="129">
        <v>-655247</v>
      </c>
      <c r="V288" s="129">
        <v>0</v>
      </c>
      <c r="W288" s="129">
        <v>-2426839</v>
      </c>
      <c r="X288" s="755">
        <v>0.33</v>
      </c>
      <c r="Y288" s="755">
        <v>0.3</v>
      </c>
      <c r="Z288" s="755">
        <v>0.37</v>
      </c>
      <c r="AA288" s="755">
        <v>0</v>
      </c>
      <c r="AB288" s="755">
        <v>1</v>
      </c>
      <c r="AC288" s="129">
        <v>-21631050</v>
      </c>
      <c r="AD288" s="129">
        <v>-19664591</v>
      </c>
      <c r="AE288" s="129">
        <v>-24252995</v>
      </c>
      <c r="AF288" s="129">
        <v>0</v>
      </c>
      <c r="AG288" s="129">
        <v>-65548636</v>
      </c>
      <c r="AH288" s="755">
        <v>0.33</v>
      </c>
      <c r="AI288" s="755">
        <v>0.3</v>
      </c>
      <c r="AJ288" s="755">
        <v>0.37</v>
      </c>
      <c r="AK288" s="755">
        <v>0</v>
      </c>
      <c r="AL288" s="755">
        <v>1</v>
      </c>
      <c r="AM288" s="129">
        <v>-786888</v>
      </c>
      <c r="AN288" s="129">
        <v>-715353</v>
      </c>
      <c r="AO288" s="129">
        <v>-882268</v>
      </c>
      <c r="AP288" s="129">
        <v>0</v>
      </c>
      <c r="AQ288" s="129">
        <v>-2384508</v>
      </c>
      <c r="AR288" s="129">
        <v>-23024647</v>
      </c>
      <c r="AS288" s="129">
        <v>-21544826</v>
      </c>
      <c r="AT288" s="129">
        <v>-25790510</v>
      </c>
      <c r="AU288" s="129">
        <v>0</v>
      </c>
      <c r="AV288" s="129">
        <v>-70359983</v>
      </c>
      <c r="AW288" s="662" t="s">
        <v>429</v>
      </c>
      <c r="AX288" s="324" t="s">
        <v>576</v>
      </c>
      <c r="AY288" s="669" t="s">
        <v>485</v>
      </c>
      <c r="AZ288" s="529" t="s">
        <v>1494</v>
      </c>
    </row>
    <row r="289" spans="1:52" ht="12.75" x14ac:dyDescent="0.2">
      <c r="A289" s="664">
        <v>282</v>
      </c>
      <c r="B289" s="665" t="s">
        <v>432</v>
      </c>
      <c r="C289" s="666" t="s">
        <v>486</v>
      </c>
      <c r="D289" s="667" t="s">
        <v>1204</v>
      </c>
      <c r="E289" s="668" t="s">
        <v>506</v>
      </c>
      <c r="F289" s="129">
        <v>-50582864</v>
      </c>
      <c r="G289" s="129">
        <v>1751595</v>
      </c>
      <c r="H289" s="129">
        <v>45000000</v>
      </c>
      <c r="I289" s="129">
        <v>1817068</v>
      </c>
      <c r="J289" s="129">
        <v>43182932</v>
      </c>
      <c r="K289" s="129">
        <v>-9151527</v>
      </c>
      <c r="L289" s="129">
        <v>6101018</v>
      </c>
      <c r="M289" s="129">
        <v>-44481846</v>
      </c>
      <c r="N289" s="755">
        <v>0.5</v>
      </c>
      <c r="O289" s="755">
        <v>0.49</v>
      </c>
      <c r="P289" s="755">
        <v>0</v>
      </c>
      <c r="Q289" s="755">
        <v>0.01</v>
      </c>
      <c r="R289" s="755">
        <v>1</v>
      </c>
      <c r="S289" s="129">
        <v>875798</v>
      </c>
      <c r="T289" s="129">
        <v>858282</v>
      </c>
      <c r="U289" s="129">
        <v>0</v>
      </c>
      <c r="V289" s="129">
        <v>17516</v>
      </c>
      <c r="W289" s="129">
        <v>1751595</v>
      </c>
      <c r="X289" s="755">
        <v>0.5</v>
      </c>
      <c r="Y289" s="755">
        <v>0.49</v>
      </c>
      <c r="Z289" s="755">
        <v>0</v>
      </c>
      <c r="AA289" s="755">
        <v>0.01</v>
      </c>
      <c r="AB289" s="755">
        <v>1</v>
      </c>
      <c r="AC289" s="129">
        <v>-21591466</v>
      </c>
      <c r="AD289" s="129">
        <v>-21159637</v>
      </c>
      <c r="AE289" s="129">
        <v>0</v>
      </c>
      <c r="AF289" s="129">
        <v>-431829</v>
      </c>
      <c r="AG289" s="129">
        <v>-43182932</v>
      </c>
      <c r="AH289" s="755">
        <v>0.5</v>
      </c>
      <c r="AI289" s="755">
        <v>0.49</v>
      </c>
      <c r="AJ289" s="755">
        <v>0</v>
      </c>
      <c r="AK289" s="755">
        <v>0.01</v>
      </c>
      <c r="AL289" s="755">
        <v>1</v>
      </c>
      <c r="AM289" s="129">
        <v>-1525255</v>
      </c>
      <c r="AN289" s="129">
        <v>-1494749</v>
      </c>
      <c r="AO289" s="129">
        <v>0</v>
      </c>
      <c r="AP289" s="129">
        <v>-30505</v>
      </c>
      <c r="AQ289" s="129">
        <v>-3050509</v>
      </c>
      <c r="AR289" s="129">
        <v>-22240923</v>
      </c>
      <c r="AS289" s="129">
        <v>-21796105</v>
      </c>
      <c r="AT289" s="129">
        <v>0</v>
      </c>
      <c r="AU289" s="129">
        <v>-444818</v>
      </c>
      <c r="AV289" s="129">
        <v>-44481846</v>
      </c>
      <c r="AW289" s="662" t="s">
        <v>506</v>
      </c>
      <c r="AX289" s="324" t="s">
        <v>486</v>
      </c>
      <c r="AY289" s="663" t="s">
        <v>505</v>
      </c>
      <c r="AZ289" s="529" t="s">
        <v>1495</v>
      </c>
    </row>
    <row r="290" spans="1:52" ht="12.75" x14ac:dyDescent="0.2">
      <c r="A290" s="664">
        <v>283</v>
      </c>
      <c r="B290" s="665" t="s">
        <v>434</v>
      </c>
      <c r="C290" s="666" t="s">
        <v>1201</v>
      </c>
      <c r="D290" s="667" t="s">
        <v>1228</v>
      </c>
      <c r="E290" s="668" t="s">
        <v>433</v>
      </c>
      <c r="F290" s="129">
        <v>-26623523</v>
      </c>
      <c r="G290" s="129">
        <v>-622310</v>
      </c>
      <c r="H290" s="129">
        <v>28953297</v>
      </c>
      <c r="I290" s="129">
        <v>2134074</v>
      </c>
      <c r="J290" s="129">
        <v>26819223</v>
      </c>
      <c r="K290" s="129">
        <v>818010</v>
      </c>
      <c r="L290" s="129">
        <v>0</v>
      </c>
      <c r="M290" s="129">
        <v>-26623523</v>
      </c>
      <c r="N290" s="755">
        <v>0.5</v>
      </c>
      <c r="O290" s="755">
        <v>0.4</v>
      </c>
      <c r="P290" s="755">
        <v>0.1</v>
      </c>
      <c r="Q290" s="755">
        <v>0</v>
      </c>
      <c r="R290" s="755">
        <v>1</v>
      </c>
      <c r="S290" s="129">
        <v>-311155</v>
      </c>
      <c r="T290" s="129">
        <v>-248924</v>
      </c>
      <c r="U290" s="129">
        <v>-62231</v>
      </c>
      <c r="V290" s="129">
        <v>0</v>
      </c>
      <c r="W290" s="129">
        <v>-622310</v>
      </c>
      <c r="X290" s="755">
        <v>0.5</v>
      </c>
      <c r="Y290" s="755">
        <v>0.4</v>
      </c>
      <c r="Z290" s="755">
        <v>0.1</v>
      </c>
      <c r="AA290" s="755">
        <v>0</v>
      </c>
      <c r="AB290" s="755">
        <v>1</v>
      </c>
      <c r="AC290" s="129">
        <v>-13000607</v>
      </c>
      <c r="AD290" s="129">
        <v>-10400485</v>
      </c>
      <c r="AE290" s="129">
        <v>-2600121</v>
      </c>
      <c r="AF290" s="129">
        <v>0</v>
      </c>
      <c r="AG290" s="129">
        <v>-26001213</v>
      </c>
      <c r="AH290" s="755">
        <v>0.5</v>
      </c>
      <c r="AI290" s="755">
        <v>0.4</v>
      </c>
      <c r="AJ290" s="755">
        <v>0.1</v>
      </c>
      <c r="AK290" s="755">
        <v>0</v>
      </c>
      <c r="AL290" s="755">
        <v>1</v>
      </c>
      <c r="AM290" s="129">
        <v>0</v>
      </c>
      <c r="AN290" s="129">
        <v>0</v>
      </c>
      <c r="AO290" s="129">
        <v>0</v>
      </c>
      <c r="AP290" s="129">
        <v>0</v>
      </c>
      <c r="AQ290" s="129">
        <v>0</v>
      </c>
      <c r="AR290" s="129">
        <v>-13311762</v>
      </c>
      <c r="AS290" s="129">
        <v>-10649409</v>
      </c>
      <c r="AT290" s="129">
        <v>-2662352</v>
      </c>
      <c r="AU290" s="129">
        <v>0</v>
      </c>
      <c r="AV290" s="129">
        <v>-26623523</v>
      </c>
      <c r="AW290" s="662" t="s">
        <v>433</v>
      </c>
      <c r="AX290" s="324" t="s">
        <v>567</v>
      </c>
      <c r="AY290" s="663" t="s">
        <v>512</v>
      </c>
      <c r="AZ290" s="529" t="s">
        <v>1496</v>
      </c>
    </row>
    <row r="291" spans="1:52" ht="12.75" x14ac:dyDescent="0.2">
      <c r="A291" s="664">
        <v>284</v>
      </c>
      <c r="B291" s="665" t="s">
        <v>436</v>
      </c>
      <c r="C291" s="666" t="s">
        <v>1201</v>
      </c>
      <c r="D291" s="667" t="s">
        <v>1211</v>
      </c>
      <c r="E291" s="668" t="s">
        <v>435</v>
      </c>
      <c r="F291" s="129">
        <v>-35529907</v>
      </c>
      <c r="G291" s="129">
        <v>-926588</v>
      </c>
      <c r="H291" s="129">
        <v>32922281</v>
      </c>
      <c r="I291" s="129">
        <v>980430</v>
      </c>
      <c r="J291" s="129">
        <v>31941851</v>
      </c>
      <c r="K291" s="129">
        <v>-2661468</v>
      </c>
      <c r="L291" s="129">
        <v>1774312</v>
      </c>
      <c r="M291" s="129">
        <v>-33755595</v>
      </c>
      <c r="N291" s="755">
        <v>0.25</v>
      </c>
      <c r="O291" s="755">
        <v>0.35</v>
      </c>
      <c r="P291" s="755">
        <v>0.4</v>
      </c>
      <c r="Q291" s="755">
        <v>0</v>
      </c>
      <c r="R291" s="755">
        <v>1</v>
      </c>
      <c r="S291" s="129">
        <v>-231647</v>
      </c>
      <c r="T291" s="129">
        <v>-324306</v>
      </c>
      <c r="U291" s="129">
        <v>-370635</v>
      </c>
      <c r="V291" s="129">
        <v>0</v>
      </c>
      <c r="W291" s="129">
        <v>-926588</v>
      </c>
      <c r="X291" s="755">
        <v>0.5</v>
      </c>
      <c r="Y291" s="755">
        <v>0.4</v>
      </c>
      <c r="Z291" s="755">
        <v>0.1</v>
      </c>
      <c r="AA291" s="755">
        <v>0</v>
      </c>
      <c r="AB291" s="755">
        <v>1</v>
      </c>
      <c r="AC291" s="129">
        <v>-15970926</v>
      </c>
      <c r="AD291" s="129">
        <v>-12776740</v>
      </c>
      <c r="AE291" s="129">
        <v>-3194185</v>
      </c>
      <c r="AF291" s="129">
        <v>0</v>
      </c>
      <c r="AG291" s="129">
        <v>-31941851</v>
      </c>
      <c r="AH291" s="755">
        <v>0.5</v>
      </c>
      <c r="AI291" s="755">
        <v>0.4</v>
      </c>
      <c r="AJ291" s="755">
        <v>0.1</v>
      </c>
      <c r="AK291" s="755">
        <v>0</v>
      </c>
      <c r="AL291" s="755">
        <v>1</v>
      </c>
      <c r="AM291" s="129">
        <v>-443578</v>
      </c>
      <c r="AN291" s="129">
        <v>-354862</v>
      </c>
      <c r="AO291" s="129">
        <v>-88716</v>
      </c>
      <c r="AP291" s="129">
        <v>0</v>
      </c>
      <c r="AQ291" s="129">
        <v>-887156</v>
      </c>
      <c r="AR291" s="129">
        <v>-16646151</v>
      </c>
      <c r="AS291" s="129">
        <v>-13455909</v>
      </c>
      <c r="AT291" s="129">
        <v>-3653536</v>
      </c>
      <c r="AU291" s="129">
        <v>0</v>
      </c>
      <c r="AV291" s="129">
        <v>-33755595</v>
      </c>
      <c r="AW291" s="662" t="s">
        <v>435</v>
      </c>
      <c r="AX291" s="324" t="s">
        <v>536</v>
      </c>
      <c r="AY291" s="663" t="s">
        <v>512</v>
      </c>
      <c r="AZ291" s="529" t="s">
        <v>1497</v>
      </c>
    </row>
    <row r="292" spans="1:52" ht="12.75" x14ac:dyDescent="0.2">
      <c r="A292" s="664">
        <v>285</v>
      </c>
      <c r="B292" s="665" t="s">
        <v>438</v>
      </c>
      <c r="C292" s="666" t="s">
        <v>1201</v>
      </c>
      <c r="D292" s="667" t="s">
        <v>1202</v>
      </c>
      <c r="E292" s="668" t="s">
        <v>437</v>
      </c>
      <c r="F292" s="129">
        <v>-26334225</v>
      </c>
      <c r="G292" s="129">
        <v>383557</v>
      </c>
      <c r="H292" s="129">
        <v>22805534</v>
      </c>
      <c r="I292" s="129">
        <v>1851478</v>
      </c>
      <c r="J292" s="129">
        <v>20954056</v>
      </c>
      <c r="K292" s="129">
        <v>-5763726</v>
      </c>
      <c r="L292" s="129">
        <v>3842484</v>
      </c>
      <c r="M292" s="129">
        <v>-22491741</v>
      </c>
      <c r="N292" s="755">
        <v>0.5</v>
      </c>
      <c r="O292" s="755">
        <v>0.4</v>
      </c>
      <c r="P292" s="755">
        <v>0.1</v>
      </c>
      <c r="Q292" s="755">
        <v>0</v>
      </c>
      <c r="R292" s="755">
        <v>1</v>
      </c>
      <c r="S292" s="129">
        <v>191779</v>
      </c>
      <c r="T292" s="129">
        <v>153423</v>
      </c>
      <c r="U292" s="129">
        <v>38356</v>
      </c>
      <c r="V292" s="129">
        <v>0</v>
      </c>
      <c r="W292" s="129">
        <v>383557</v>
      </c>
      <c r="X292" s="755">
        <v>0.5</v>
      </c>
      <c r="Y292" s="755">
        <v>0.4</v>
      </c>
      <c r="Z292" s="755">
        <v>0.1</v>
      </c>
      <c r="AA292" s="755">
        <v>0</v>
      </c>
      <c r="AB292" s="755">
        <v>1</v>
      </c>
      <c r="AC292" s="129">
        <v>-10477028</v>
      </c>
      <c r="AD292" s="129">
        <v>-8381622</v>
      </c>
      <c r="AE292" s="129">
        <v>-2095406</v>
      </c>
      <c r="AF292" s="129">
        <v>0</v>
      </c>
      <c r="AG292" s="129">
        <v>-20954056</v>
      </c>
      <c r="AH292" s="755">
        <v>0.5</v>
      </c>
      <c r="AI292" s="755">
        <v>0.4</v>
      </c>
      <c r="AJ292" s="755">
        <v>0.1</v>
      </c>
      <c r="AK292" s="755">
        <v>0</v>
      </c>
      <c r="AL292" s="755">
        <v>1</v>
      </c>
      <c r="AM292" s="129">
        <v>-960621</v>
      </c>
      <c r="AN292" s="129">
        <v>-768497</v>
      </c>
      <c r="AO292" s="129">
        <v>-192124</v>
      </c>
      <c r="AP292" s="129">
        <v>0</v>
      </c>
      <c r="AQ292" s="129">
        <v>-1921242</v>
      </c>
      <c r="AR292" s="129">
        <v>-11245870</v>
      </c>
      <c r="AS292" s="129">
        <v>-8996696</v>
      </c>
      <c r="AT292" s="129">
        <v>-2249174</v>
      </c>
      <c r="AU292" s="129">
        <v>0</v>
      </c>
      <c r="AV292" s="129">
        <v>-22491741</v>
      </c>
      <c r="AW292" s="662" t="s">
        <v>437</v>
      </c>
      <c r="AX292" s="324" t="s">
        <v>566</v>
      </c>
      <c r="AY292" s="663" t="s">
        <v>512</v>
      </c>
      <c r="AZ292" s="529" t="s">
        <v>1498</v>
      </c>
    </row>
    <row r="293" spans="1:52" ht="12.75" x14ac:dyDescent="0.2">
      <c r="A293" s="664">
        <v>286</v>
      </c>
      <c r="B293" s="665" t="s">
        <v>440</v>
      </c>
      <c r="C293" s="666" t="s">
        <v>1201</v>
      </c>
      <c r="D293" s="667" t="s">
        <v>1202</v>
      </c>
      <c r="E293" s="668" t="s">
        <v>439</v>
      </c>
      <c r="F293" s="129">
        <v>-17119951</v>
      </c>
      <c r="G293" s="129">
        <v>-116469</v>
      </c>
      <c r="H293" s="129">
        <v>16539861</v>
      </c>
      <c r="I293" s="129">
        <v>1084309</v>
      </c>
      <c r="J293" s="129">
        <v>15455552</v>
      </c>
      <c r="K293" s="129">
        <v>-1547930</v>
      </c>
      <c r="L293" s="129">
        <v>1031953</v>
      </c>
      <c r="M293" s="129">
        <v>-16087998</v>
      </c>
      <c r="N293" s="755">
        <v>0.25</v>
      </c>
      <c r="O293" s="755">
        <v>0.44</v>
      </c>
      <c r="P293" s="755">
        <v>0.26</v>
      </c>
      <c r="Q293" s="755">
        <v>0.05</v>
      </c>
      <c r="R293" s="755">
        <v>1</v>
      </c>
      <c r="S293" s="129">
        <v>-29117</v>
      </c>
      <c r="T293" s="129">
        <v>-51246</v>
      </c>
      <c r="U293" s="129">
        <v>-30282</v>
      </c>
      <c r="V293" s="129">
        <v>-5823</v>
      </c>
      <c r="W293" s="129">
        <v>-116469</v>
      </c>
      <c r="X293" s="755">
        <v>0.5</v>
      </c>
      <c r="Y293" s="755">
        <v>0.4</v>
      </c>
      <c r="Z293" s="755">
        <v>0.09</v>
      </c>
      <c r="AA293" s="755">
        <v>0.01</v>
      </c>
      <c r="AB293" s="755">
        <v>1</v>
      </c>
      <c r="AC293" s="129">
        <v>-7727776</v>
      </c>
      <c r="AD293" s="129">
        <v>-6182221</v>
      </c>
      <c r="AE293" s="129">
        <v>-1391000</v>
      </c>
      <c r="AF293" s="129">
        <v>-154556</v>
      </c>
      <c r="AG293" s="129">
        <v>-15455552</v>
      </c>
      <c r="AH293" s="755">
        <v>0.5</v>
      </c>
      <c r="AI293" s="755">
        <v>0.4</v>
      </c>
      <c r="AJ293" s="755">
        <v>0.09</v>
      </c>
      <c r="AK293" s="755">
        <v>0.01</v>
      </c>
      <c r="AL293" s="755">
        <v>1</v>
      </c>
      <c r="AM293" s="129">
        <v>-257988</v>
      </c>
      <c r="AN293" s="129">
        <v>-206391</v>
      </c>
      <c r="AO293" s="129">
        <v>-46438</v>
      </c>
      <c r="AP293" s="129">
        <v>-5160</v>
      </c>
      <c r="AQ293" s="129">
        <v>-515977</v>
      </c>
      <c r="AR293" s="129">
        <v>-8014882</v>
      </c>
      <c r="AS293" s="129">
        <v>-6439858</v>
      </c>
      <c r="AT293" s="129">
        <v>-1467720</v>
      </c>
      <c r="AU293" s="129">
        <v>-165539</v>
      </c>
      <c r="AV293" s="129">
        <v>-16087998</v>
      </c>
      <c r="AW293" s="662" t="s">
        <v>439</v>
      </c>
      <c r="AX293" s="324" t="s">
        <v>525</v>
      </c>
      <c r="AY293" s="663" t="s">
        <v>524</v>
      </c>
      <c r="AZ293" s="529" t="s">
        <v>1499</v>
      </c>
    </row>
    <row r="294" spans="1:52" ht="12.75" x14ac:dyDescent="0.2">
      <c r="A294" s="664">
        <v>287</v>
      </c>
      <c r="B294" s="665" t="s">
        <v>442</v>
      </c>
      <c r="C294" s="666" t="s">
        <v>1201</v>
      </c>
      <c r="D294" s="667" t="s">
        <v>1211</v>
      </c>
      <c r="E294" s="668" t="s">
        <v>441</v>
      </c>
      <c r="F294" s="129">
        <v>-33363663</v>
      </c>
      <c r="G294" s="129">
        <v>-63858</v>
      </c>
      <c r="H294" s="129">
        <v>20154899</v>
      </c>
      <c r="I294" s="129">
        <v>1353661</v>
      </c>
      <c r="J294" s="129">
        <v>18801238</v>
      </c>
      <c r="K294" s="129">
        <v>-14498567</v>
      </c>
      <c r="L294" s="129">
        <v>9665711</v>
      </c>
      <c r="M294" s="129">
        <v>-23697952</v>
      </c>
      <c r="N294" s="755">
        <v>0.25</v>
      </c>
      <c r="O294" s="755">
        <v>0.35</v>
      </c>
      <c r="P294" s="755">
        <v>0.4</v>
      </c>
      <c r="Q294" s="755">
        <v>0</v>
      </c>
      <c r="R294" s="755">
        <v>1</v>
      </c>
      <c r="S294" s="129">
        <v>-15964</v>
      </c>
      <c r="T294" s="129">
        <v>-22350</v>
      </c>
      <c r="U294" s="129">
        <v>-25543</v>
      </c>
      <c r="V294" s="129">
        <v>0</v>
      </c>
      <c r="W294" s="129">
        <v>-63858</v>
      </c>
      <c r="X294" s="755">
        <v>0.5</v>
      </c>
      <c r="Y294" s="755">
        <v>0.4</v>
      </c>
      <c r="Z294" s="755">
        <v>0.1</v>
      </c>
      <c r="AA294" s="755">
        <v>0</v>
      </c>
      <c r="AB294" s="755">
        <v>1</v>
      </c>
      <c r="AC294" s="129">
        <v>-9400619</v>
      </c>
      <c r="AD294" s="129">
        <v>-7520495</v>
      </c>
      <c r="AE294" s="129">
        <v>-1880124</v>
      </c>
      <c r="AF294" s="129">
        <v>0</v>
      </c>
      <c r="AG294" s="129">
        <v>-18801238</v>
      </c>
      <c r="AH294" s="755">
        <v>0.5</v>
      </c>
      <c r="AI294" s="755">
        <v>0.4</v>
      </c>
      <c r="AJ294" s="755">
        <v>0.1</v>
      </c>
      <c r="AK294" s="755">
        <v>0</v>
      </c>
      <c r="AL294" s="755">
        <v>1</v>
      </c>
      <c r="AM294" s="129">
        <v>-2416428</v>
      </c>
      <c r="AN294" s="129">
        <v>-1933142</v>
      </c>
      <c r="AO294" s="129">
        <v>-483286</v>
      </c>
      <c r="AP294" s="129">
        <v>0</v>
      </c>
      <c r="AQ294" s="129">
        <v>-4832856</v>
      </c>
      <c r="AR294" s="129">
        <v>-11833011</v>
      </c>
      <c r="AS294" s="129">
        <v>-9475988</v>
      </c>
      <c r="AT294" s="129">
        <v>-2388953</v>
      </c>
      <c r="AU294" s="129">
        <v>0</v>
      </c>
      <c r="AV294" s="129">
        <v>-23697952</v>
      </c>
      <c r="AW294" s="662" t="s">
        <v>441</v>
      </c>
      <c r="AX294" s="324" t="s">
        <v>536</v>
      </c>
      <c r="AY294" s="663" t="s">
        <v>512</v>
      </c>
      <c r="AZ294" s="529" t="s">
        <v>1500</v>
      </c>
    </row>
    <row r="295" spans="1:52" ht="12.75" x14ac:dyDescent="0.2">
      <c r="A295" s="664">
        <v>288</v>
      </c>
      <c r="B295" s="665" t="s">
        <v>443</v>
      </c>
      <c r="C295" s="666" t="s">
        <v>486</v>
      </c>
      <c r="D295" s="667" t="s">
        <v>1202</v>
      </c>
      <c r="E295" s="668" t="s">
        <v>495</v>
      </c>
      <c r="F295" s="129">
        <v>-41654528</v>
      </c>
      <c r="G295" s="129">
        <v>-2197104</v>
      </c>
      <c r="H295" s="129">
        <v>38446000</v>
      </c>
      <c r="I295" s="129">
        <v>967860</v>
      </c>
      <c r="J295" s="129">
        <v>37478140</v>
      </c>
      <c r="K295" s="129">
        <v>-1979284</v>
      </c>
      <c r="L295" s="129">
        <v>1319523</v>
      </c>
      <c r="M295" s="129">
        <v>-40335005</v>
      </c>
      <c r="N295" s="755">
        <v>0.25</v>
      </c>
      <c r="O295" s="755">
        <v>0.74</v>
      </c>
      <c r="P295" s="755">
        <v>0</v>
      </c>
      <c r="Q295" s="755">
        <v>0.01</v>
      </c>
      <c r="R295" s="755">
        <v>1</v>
      </c>
      <c r="S295" s="129">
        <v>-549276</v>
      </c>
      <c r="T295" s="129">
        <v>-1625857</v>
      </c>
      <c r="U295" s="129">
        <v>0</v>
      </c>
      <c r="V295" s="129">
        <v>-21971</v>
      </c>
      <c r="W295" s="129">
        <v>-2197104</v>
      </c>
      <c r="X295" s="755">
        <v>0.5</v>
      </c>
      <c r="Y295" s="755">
        <v>0.49</v>
      </c>
      <c r="Z295" s="755">
        <v>0</v>
      </c>
      <c r="AA295" s="755">
        <v>0.01</v>
      </c>
      <c r="AB295" s="755">
        <v>1</v>
      </c>
      <c r="AC295" s="129">
        <v>-18739070</v>
      </c>
      <c r="AD295" s="129">
        <v>-18364289</v>
      </c>
      <c r="AE295" s="129">
        <v>0</v>
      </c>
      <c r="AF295" s="129">
        <v>-374781</v>
      </c>
      <c r="AG295" s="129">
        <v>-37478140</v>
      </c>
      <c r="AH295" s="755">
        <v>0.5</v>
      </c>
      <c r="AI295" s="755">
        <v>0.49</v>
      </c>
      <c r="AJ295" s="755">
        <v>0</v>
      </c>
      <c r="AK295" s="755">
        <v>0.01</v>
      </c>
      <c r="AL295" s="755">
        <v>1</v>
      </c>
      <c r="AM295" s="129">
        <v>-329881</v>
      </c>
      <c r="AN295" s="129">
        <v>-323283</v>
      </c>
      <c r="AO295" s="129">
        <v>0</v>
      </c>
      <c r="AP295" s="129">
        <v>-6598</v>
      </c>
      <c r="AQ295" s="129">
        <v>-659761</v>
      </c>
      <c r="AR295" s="129">
        <v>-19618227</v>
      </c>
      <c r="AS295" s="129">
        <v>-20313429</v>
      </c>
      <c r="AT295" s="129">
        <v>0</v>
      </c>
      <c r="AU295" s="129">
        <v>-403350</v>
      </c>
      <c r="AV295" s="129">
        <v>-40335005</v>
      </c>
      <c r="AW295" s="662" t="s">
        <v>495</v>
      </c>
      <c r="AX295" s="324" t="s">
        <v>486</v>
      </c>
      <c r="AY295" s="663" t="s">
        <v>494</v>
      </c>
      <c r="AZ295" s="529" t="s">
        <v>1501</v>
      </c>
    </row>
    <row r="296" spans="1:52" ht="12.75" x14ac:dyDescent="0.2">
      <c r="A296" s="664">
        <v>289</v>
      </c>
      <c r="B296" s="665" t="s">
        <v>445</v>
      </c>
      <c r="C296" s="666" t="s">
        <v>1201</v>
      </c>
      <c r="D296" s="667" t="s">
        <v>1224</v>
      </c>
      <c r="E296" s="668" t="s">
        <v>444</v>
      </c>
      <c r="F296" s="129">
        <v>-6392051</v>
      </c>
      <c r="G296" s="129">
        <v>-720847</v>
      </c>
      <c r="H296" s="129">
        <v>6439077</v>
      </c>
      <c r="I296" s="129">
        <v>515834</v>
      </c>
      <c r="J296" s="129">
        <v>5923243</v>
      </c>
      <c r="K296" s="129">
        <v>252039</v>
      </c>
      <c r="L296" s="129">
        <v>0</v>
      </c>
      <c r="M296" s="129">
        <v>-6392051</v>
      </c>
      <c r="N296" s="755">
        <v>0.5</v>
      </c>
      <c r="O296" s="755">
        <v>0.4</v>
      </c>
      <c r="P296" s="755">
        <v>0.09</v>
      </c>
      <c r="Q296" s="755">
        <v>0.01</v>
      </c>
      <c r="R296" s="755">
        <v>1</v>
      </c>
      <c r="S296" s="129">
        <v>-360424</v>
      </c>
      <c r="T296" s="129">
        <v>-288339</v>
      </c>
      <c r="U296" s="129">
        <v>-64876</v>
      </c>
      <c r="V296" s="129">
        <v>-7208</v>
      </c>
      <c r="W296" s="129">
        <v>-720847</v>
      </c>
      <c r="X296" s="755">
        <v>0.5</v>
      </c>
      <c r="Y296" s="755">
        <v>0.4</v>
      </c>
      <c r="Z296" s="755">
        <v>0.09</v>
      </c>
      <c r="AA296" s="755">
        <v>0.01</v>
      </c>
      <c r="AB296" s="755">
        <v>1</v>
      </c>
      <c r="AC296" s="129">
        <v>-2835602</v>
      </c>
      <c r="AD296" s="129">
        <v>-2268482</v>
      </c>
      <c r="AE296" s="129">
        <v>-510408</v>
      </c>
      <c r="AF296" s="129">
        <v>-56712</v>
      </c>
      <c r="AG296" s="129">
        <v>-5671204</v>
      </c>
      <c r="AH296" s="755">
        <v>0.5</v>
      </c>
      <c r="AI296" s="755">
        <v>0.4</v>
      </c>
      <c r="AJ296" s="755">
        <v>0.09</v>
      </c>
      <c r="AK296" s="755">
        <v>0.01</v>
      </c>
      <c r="AL296" s="755">
        <v>1</v>
      </c>
      <c r="AM296" s="129">
        <v>0</v>
      </c>
      <c r="AN296" s="129">
        <v>0</v>
      </c>
      <c r="AO296" s="129">
        <v>0</v>
      </c>
      <c r="AP296" s="129">
        <v>0</v>
      </c>
      <c r="AQ296" s="129">
        <v>0</v>
      </c>
      <c r="AR296" s="129">
        <v>-3196026</v>
      </c>
      <c r="AS296" s="129">
        <v>-2556820</v>
      </c>
      <c r="AT296" s="129">
        <v>-575285</v>
      </c>
      <c r="AU296" s="129">
        <v>-63921</v>
      </c>
      <c r="AV296" s="129">
        <v>-6392051</v>
      </c>
      <c r="AW296" s="662" t="s">
        <v>444</v>
      </c>
      <c r="AX296" s="324" t="s">
        <v>521</v>
      </c>
      <c r="AY296" s="663" t="s">
        <v>519</v>
      </c>
      <c r="AZ296" s="529" t="s">
        <v>1502</v>
      </c>
    </row>
    <row r="297" spans="1:52" ht="12.75" x14ac:dyDescent="0.2">
      <c r="A297" s="664">
        <v>290</v>
      </c>
      <c r="B297" s="665" t="s">
        <v>447</v>
      </c>
      <c r="C297" s="666" t="s">
        <v>1201</v>
      </c>
      <c r="D297" s="667" t="s">
        <v>1204</v>
      </c>
      <c r="E297" s="668" t="s">
        <v>446</v>
      </c>
      <c r="F297" s="129">
        <v>-8101498</v>
      </c>
      <c r="G297" s="129">
        <v>2451231</v>
      </c>
      <c r="H297" s="129">
        <v>10315181</v>
      </c>
      <c r="I297" s="129">
        <v>534221</v>
      </c>
      <c r="J297" s="129">
        <v>9780960</v>
      </c>
      <c r="K297" s="129">
        <v>-771769</v>
      </c>
      <c r="L297" s="129">
        <v>514513</v>
      </c>
      <c r="M297" s="129">
        <v>-7586985</v>
      </c>
      <c r="N297" s="755">
        <v>0.25</v>
      </c>
      <c r="O297" s="755">
        <v>0.56000000000000005</v>
      </c>
      <c r="P297" s="755">
        <v>0.17499999999999999</v>
      </c>
      <c r="Q297" s="755">
        <v>1.4999999999999999E-2</v>
      </c>
      <c r="R297" s="755">
        <v>1</v>
      </c>
      <c r="S297" s="129">
        <v>612808</v>
      </c>
      <c r="T297" s="129">
        <v>1372689</v>
      </c>
      <c r="U297" s="129">
        <v>428965</v>
      </c>
      <c r="V297" s="129">
        <v>36768</v>
      </c>
      <c r="W297" s="129">
        <v>2451231</v>
      </c>
      <c r="X297" s="755">
        <v>0.5</v>
      </c>
      <c r="Y297" s="755">
        <v>0.4</v>
      </c>
      <c r="Z297" s="755">
        <v>0.09</v>
      </c>
      <c r="AA297" s="755">
        <v>0.01</v>
      </c>
      <c r="AB297" s="755">
        <v>1</v>
      </c>
      <c r="AC297" s="129">
        <v>-4890480</v>
      </c>
      <c r="AD297" s="129">
        <v>-3912384</v>
      </c>
      <c r="AE297" s="129">
        <v>-880286</v>
      </c>
      <c r="AF297" s="129">
        <v>-97810</v>
      </c>
      <c r="AG297" s="129">
        <v>-9780960</v>
      </c>
      <c r="AH297" s="755">
        <v>0.5</v>
      </c>
      <c r="AI297" s="755">
        <v>0.4</v>
      </c>
      <c r="AJ297" s="755">
        <v>0.09</v>
      </c>
      <c r="AK297" s="755">
        <v>0.01</v>
      </c>
      <c r="AL297" s="755">
        <v>1</v>
      </c>
      <c r="AM297" s="129">
        <v>-128628</v>
      </c>
      <c r="AN297" s="129">
        <v>-102903</v>
      </c>
      <c r="AO297" s="129">
        <v>-23153</v>
      </c>
      <c r="AP297" s="129">
        <v>-2573</v>
      </c>
      <c r="AQ297" s="129">
        <v>-257256</v>
      </c>
      <c r="AR297" s="129">
        <v>-4406300</v>
      </c>
      <c r="AS297" s="129">
        <v>-2642597</v>
      </c>
      <c r="AT297" s="129">
        <v>-474474</v>
      </c>
      <c r="AU297" s="129">
        <v>-63614</v>
      </c>
      <c r="AV297" s="129">
        <v>-7586985</v>
      </c>
      <c r="AW297" s="662" t="s">
        <v>446</v>
      </c>
      <c r="AX297" s="324" t="s">
        <v>547</v>
      </c>
      <c r="AY297" s="663" t="s">
        <v>545</v>
      </c>
      <c r="AZ297" s="529" t="s">
        <v>1503</v>
      </c>
    </row>
    <row r="298" spans="1:52" ht="12.75" x14ac:dyDescent="0.2">
      <c r="A298" s="664">
        <v>291</v>
      </c>
      <c r="B298" s="665" t="s">
        <v>449</v>
      </c>
      <c r="C298" s="666" t="s">
        <v>1201</v>
      </c>
      <c r="D298" s="667" t="s">
        <v>1206</v>
      </c>
      <c r="E298" s="668" t="s">
        <v>448</v>
      </c>
      <c r="F298" s="129">
        <v>-8206448</v>
      </c>
      <c r="G298" s="129">
        <v>-128525</v>
      </c>
      <c r="H298" s="129">
        <v>6856435</v>
      </c>
      <c r="I298" s="129">
        <v>196227</v>
      </c>
      <c r="J298" s="129">
        <v>6660208</v>
      </c>
      <c r="K298" s="129">
        <v>-1417715</v>
      </c>
      <c r="L298" s="129">
        <v>945143</v>
      </c>
      <c r="M298" s="129">
        <v>-7261305</v>
      </c>
      <c r="N298" s="755">
        <v>0.5</v>
      </c>
      <c r="O298" s="755">
        <v>0.4</v>
      </c>
      <c r="P298" s="755">
        <v>0.1</v>
      </c>
      <c r="Q298" s="755">
        <v>0</v>
      </c>
      <c r="R298" s="755">
        <v>1</v>
      </c>
      <c r="S298" s="129">
        <v>-64263</v>
      </c>
      <c r="T298" s="129">
        <v>-51410</v>
      </c>
      <c r="U298" s="129">
        <v>-12853</v>
      </c>
      <c r="V298" s="129">
        <v>0</v>
      </c>
      <c r="W298" s="129">
        <v>-128525</v>
      </c>
      <c r="X298" s="755">
        <v>0.5</v>
      </c>
      <c r="Y298" s="755">
        <v>0.4</v>
      </c>
      <c r="Z298" s="755">
        <v>0.1</v>
      </c>
      <c r="AA298" s="755">
        <v>0</v>
      </c>
      <c r="AB298" s="755">
        <v>1</v>
      </c>
      <c r="AC298" s="129">
        <v>-3330104</v>
      </c>
      <c r="AD298" s="129">
        <v>-2664083</v>
      </c>
      <c r="AE298" s="129">
        <v>-666021</v>
      </c>
      <c r="AF298" s="129">
        <v>0</v>
      </c>
      <c r="AG298" s="129">
        <v>-6660208</v>
      </c>
      <c r="AH298" s="755">
        <v>0.5</v>
      </c>
      <c r="AI298" s="755">
        <v>0.4</v>
      </c>
      <c r="AJ298" s="755">
        <v>0.1</v>
      </c>
      <c r="AK298" s="755">
        <v>0</v>
      </c>
      <c r="AL298" s="755">
        <v>1</v>
      </c>
      <c r="AM298" s="129">
        <v>-236286</v>
      </c>
      <c r="AN298" s="129">
        <v>-189029</v>
      </c>
      <c r="AO298" s="129">
        <v>-47257</v>
      </c>
      <c r="AP298" s="129">
        <v>0</v>
      </c>
      <c r="AQ298" s="129">
        <v>-472572</v>
      </c>
      <c r="AR298" s="129">
        <v>-3630652</v>
      </c>
      <c r="AS298" s="129">
        <v>-2904522</v>
      </c>
      <c r="AT298" s="129">
        <v>-726130</v>
      </c>
      <c r="AU298" s="129">
        <v>0</v>
      </c>
      <c r="AV298" s="129">
        <v>-7261305</v>
      </c>
      <c r="AW298" s="662" t="s">
        <v>448</v>
      </c>
      <c r="AX298" s="324" t="s">
        <v>552</v>
      </c>
      <c r="AY298" s="663" t="s">
        <v>512</v>
      </c>
      <c r="AZ298" s="529" t="s">
        <v>1504</v>
      </c>
    </row>
    <row r="299" spans="1:52" ht="12.75" x14ac:dyDescent="0.2">
      <c r="A299" s="664">
        <v>292</v>
      </c>
      <c r="B299" s="665" t="s">
        <v>1126</v>
      </c>
      <c r="C299" s="666" t="s">
        <v>486</v>
      </c>
      <c r="D299" s="667" t="s">
        <v>1206</v>
      </c>
      <c r="E299" s="668" t="s">
        <v>1093</v>
      </c>
      <c r="F299" s="129">
        <v>-68101070</v>
      </c>
      <c r="G299" s="129">
        <v>-4887253</v>
      </c>
      <c r="H299" s="129">
        <v>56885438</v>
      </c>
      <c r="I299" s="129">
        <v>2293009</v>
      </c>
      <c r="J299" s="129">
        <v>54592429</v>
      </c>
      <c r="K299" s="129">
        <v>-8621388</v>
      </c>
      <c r="L299" s="129">
        <v>5747592</v>
      </c>
      <c r="M299" s="129">
        <v>-62353478</v>
      </c>
      <c r="N299" s="755">
        <v>0.25</v>
      </c>
      <c r="O299" s="755">
        <v>0.74</v>
      </c>
      <c r="P299" s="755">
        <v>0</v>
      </c>
      <c r="Q299" s="755">
        <v>0.01</v>
      </c>
      <c r="R299" s="755">
        <v>1</v>
      </c>
      <c r="S299" s="129">
        <v>-1221813</v>
      </c>
      <c r="T299" s="129">
        <v>-3616567</v>
      </c>
      <c r="U299" s="129">
        <v>0</v>
      </c>
      <c r="V299" s="129">
        <v>-48873</v>
      </c>
      <c r="W299" s="129">
        <v>-4887253</v>
      </c>
      <c r="X299" s="755">
        <v>0.5</v>
      </c>
      <c r="Y299" s="755">
        <v>0.49</v>
      </c>
      <c r="Z299" s="755">
        <v>0</v>
      </c>
      <c r="AA299" s="755">
        <v>0.01</v>
      </c>
      <c r="AB299" s="755">
        <v>1</v>
      </c>
      <c r="AC299" s="129">
        <v>-27296215</v>
      </c>
      <c r="AD299" s="129">
        <v>-26750290</v>
      </c>
      <c r="AE299" s="129">
        <v>0</v>
      </c>
      <c r="AF299" s="129">
        <v>-545924</v>
      </c>
      <c r="AG299" s="129">
        <v>-54592429</v>
      </c>
      <c r="AH299" s="755">
        <v>0.5</v>
      </c>
      <c r="AI299" s="755">
        <v>0.49</v>
      </c>
      <c r="AJ299" s="755">
        <v>0</v>
      </c>
      <c r="AK299" s="755">
        <v>0.01</v>
      </c>
      <c r="AL299" s="755">
        <v>1</v>
      </c>
      <c r="AM299" s="129">
        <v>-1436898</v>
      </c>
      <c r="AN299" s="129">
        <v>-1408160</v>
      </c>
      <c r="AO299" s="129">
        <v>0</v>
      </c>
      <c r="AP299" s="129">
        <v>-28738</v>
      </c>
      <c r="AQ299" s="129">
        <v>-2873796</v>
      </c>
      <c r="AR299" s="129">
        <v>-29954926</v>
      </c>
      <c r="AS299" s="129">
        <v>-31775017</v>
      </c>
      <c r="AT299" s="129">
        <v>0</v>
      </c>
      <c r="AU299" s="129">
        <v>-623535</v>
      </c>
      <c r="AV299" s="129">
        <v>-62353478</v>
      </c>
      <c r="AW299" s="662" t="s">
        <v>1093</v>
      </c>
      <c r="AX299" s="324" t="s">
        <v>486</v>
      </c>
      <c r="AY299" s="663" t="s">
        <v>1026</v>
      </c>
      <c r="AZ299" s="529" t="s">
        <v>1541</v>
      </c>
    </row>
    <row r="300" spans="1:52" ht="12.75" x14ac:dyDescent="0.2">
      <c r="A300" s="664">
        <v>293</v>
      </c>
      <c r="B300" s="665" t="s">
        <v>451</v>
      </c>
      <c r="C300" s="666" t="s">
        <v>1201</v>
      </c>
      <c r="D300" s="667" t="s">
        <v>1202</v>
      </c>
      <c r="E300" s="668" t="s">
        <v>450</v>
      </c>
      <c r="F300" s="129">
        <v>-17193291</v>
      </c>
      <c r="G300" s="129">
        <v>-815425</v>
      </c>
      <c r="H300" s="129">
        <v>17754406</v>
      </c>
      <c r="I300" s="129">
        <v>1101714</v>
      </c>
      <c r="J300" s="129">
        <v>16652692</v>
      </c>
      <c r="K300" s="129">
        <v>274826</v>
      </c>
      <c r="L300" s="129">
        <v>0</v>
      </c>
      <c r="M300" s="129">
        <v>-17193291</v>
      </c>
      <c r="N300" s="755">
        <v>0.5</v>
      </c>
      <c r="O300" s="755">
        <v>0.4</v>
      </c>
      <c r="P300" s="755">
        <v>0.1</v>
      </c>
      <c r="Q300" s="755">
        <v>0</v>
      </c>
      <c r="R300" s="755">
        <v>1</v>
      </c>
      <c r="S300" s="129">
        <v>-407713</v>
      </c>
      <c r="T300" s="129">
        <v>-326170</v>
      </c>
      <c r="U300" s="129">
        <v>-81543</v>
      </c>
      <c r="V300" s="129">
        <v>0</v>
      </c>
      <c r="W300" s="129">
        <v>-815425</v>
      </c>
      <c r="X300" s="755">
        <v>0.5</v>
      </c>
      <c r="Y300" s="755">
        <v>0.4</v>
      </c>
      <c r="Z300" s="755">
        <v>0.1</v>
      </c>
      <c r="AA300" s="755">
        <v>0</v>
      </c>
      <c r="AB300" s="755">
        <v>1</v>
      </c>
      <c r="AC300" s="129">
        <v>-8188933</v>
      </c>
      <c r="AD300" s="129">
        <v>-6551146</v>
      </c>
      <c r="AE300" s="129">
        <v>-1637787</v>
      </c>
      <c r="AF300" s="129">
        <v>0</v>
      </c>
      <c r="AG300" s="129">
        <v>-16377866</v>
      </c>
      <c r="AH300" s="755">
        <v>0.5</v>
      </c>
      <c r="AI300" s="755">
        <v>0.4</v>
      </c>
      <c r="AJ300" s="755">
        <v>0.1</v>
      </c>
      <c r="AK300" s="755">
        <v>0</v>
      </c>
      <c r="AL300" s="755">
        <v>1</v>
      </c>
      <c r="AM300" s="129">
        <v>0</v>
      </c>
      <c r="AN300" s="129">
        <v>0</v>
      </c>
      <c r="AO300" s="129">
        <v>0</v>
      </c>
      <c r="AP300" s="129">
        <v>0</v>
      </c>
      <c r="AQ300" s="129">
        <v>0</v>
      </c>
      <c r="AR300" s="129">
        <v>-8596646</v>
      </c>
      <c r="AS300" s="129">
        <v>-6877316</v>
      </c>
      <c r="AT300" s="129">
        <v>-1719329</v>
      </c>
      <c r="AU300" s="129">
        <v>0</v>
      </c>
      <c r="AV300" s="129">
        <v>-17193291</v>
      </c>
      <c r="AW300" s="662" t="s">
        <v>450</v>
      </c>
      <c r="AX300" s="324" t="s">
        <v>560</v>
      </c>
      <c r="AY300" s="663" t="s">
        <v>512</v>
      </c>
      <c r="AZ300" s="529" t="s">
        <v>1505</v>
      </c>
    </row>
    <row r="301" spans="1:52" ht="12.75" x14ac:dyDescent="0.2">
      <c r="A301" s="664">
        <v>294</v>
      </c>
      <c r="B301" s="665" t="s">
        <v>1025</v>
      </c>
      <c r="C301" s="666" t="s">
        <v>1201</v>
      </c>
      <c r="D301" s="667" t="s">
        <v>1224</v>
      </c>
      <c r="E301" s="668" t="s">
        <v>1024</v>
      </c>
      <c r="F301" s="129">
        <v>-43709131</v>
      </c>
      <c r="G301" s="129">
        <v>-483259</v>
      </c>
      <c r="H301" s="129">
        <v>38910255</v>
      </c>
      <c r="I301" s="129">
        <v>1548263</v>
      </c>
      <c r="J301" s="129">
        <v>37361992</v>
      </c>
      <c r="K301" s="129">
        <v>-5863880</v>
      </c>
      <c r="L301" s="129">
        <v>3909253</v>
      </c>
      <c r="M301" s="129">
        <v>-39799878</v>
      </c>
      <c r="N301" s="755">
        <v>0.5</v>
      </c>
      <c r="O301" s="755">
        <v>0.4</v>
      </c>
      <c r="P301" s="755">
        <v>0.1</v>
      </c>
      <c r="Q301" s="755">
        <v>0</v>
      </c>
      <c r="R301" s="755">
        <v>1</v>
      </c>
      <c r="S301" s="129">
        <v>-241629</v>
      </c>
      <c r="T301" s="129">
        <v>-193304</v>
      </c>
      <c r="U301" s="129">
        <v>-48326</v>
      </c>
      <c r="V301" s="129">
        <v>0</v>
      </c>
      <c r="W301" s="129">
        <v>-483259</v>
      </c>
      <c r="X301" s="755">
        <v>0.5</v>
      </c>
      <c r="Y301" s="755">
        <v>0.4</v>
      </c>
      <c r="Z301" s="755">
        <v>0.1</v>
      </c>
      <c r="AA301" s="755">
        <v>0</v>
      </c>
      <c r="AB301" s="755">
        <v>1</v>
      </c>
      <c r="AC301" s="129">
        <v>-18680996</v>
      </c>
      <c r="AD301" s="129">
        <v>-14944797</v>
      </c>
      <c r="AE301" s="129">
        <v>-3736199</v>
      </c>
      <c r="AF301" s="129">
        <v>0</v>
      </c>
      <c r="AG301" s="129">
        <v>-37361992</v>
      </c>
      <c r="AH301" s="755">
        <v>0.5</v>
      </c>
      <c r="AI301" s="755">
        <v>0.4</v>
      </c>
      <c r="AJ301" s="755">
        <v>0.1</v>
      </c>
      <c r="AK301" s="755">
        <v>0</v>
      </c>
      <c r="AL301" s="755">
        <v>1</v>
      </c>
      <c r="AM301" s="129">
        <v>-977313</v>
      </c>
      <c r="AN301" s="129">
        <v>-781851</v>
      </c>
      <c r="AO301" s="129">
        <v>-195463</v>
      </c>
      <c r="AP301" s="129">
        <v>0</v>
      </c>
      <c r="AQ301" s="129">
        <v>-1954627</v>
      </c>
      <c r="AR301" s="129">
        <v>-19899939</v>
      </c>
      <c r="AS301" s="129">
        <v>-15919951</v>
      </c>
      <c r="AT301" s="129">
        <v>-3979988</v>
      </c>
      <c r="AU301" s="129">
        <v>0</v>
      </c>
      <c r="AV301" s="129">
        <v>-39799878</v>
      </c>
      <c r="AW301" s="662" t="s">
        <v>1024</v>
      </c>
      <c r="AX301" s="324" t="s">
        <v>562</v>
      </c>
      <c r="AY301" s="663" t="s">
        <v>512</v>
      </c>
      <c r="AZ301" s="529" t="s">
        <v>1506</v>
      </c>
    </row>
    <row r="302" spans="1:52" ht="12.75" x14ac:dyDescent="0.2">
      <c r="A302" s="664">
        <v>295</v>
      </c>
      <c r="B302" s="665" t="s">
        <v>453</v>
      </c>
      <c r="C302" s="666" t="s">
        <v>1257</v>
      </c>
      <c r="D302" s="667" t="s">
        <v>1214</v>
      </c>
      <c r="E302" s="668" t="s">
        <v>452</v>
      </c>
      <c r="F302" s="129">
        <v>-1234121516</v>
      </c>
      <c r="G302" s="129">
        <v>-53683460</v>
      </c>
      <c r="H302" s="129">
        <v>955922824</v>
      </c>
      <c r="I302" s="129">
        <v>7391462</v>
      </c>
      <c r="J302" s="129">
        <v>948531362</v>
      </c>
      <c r="K302" s="129">
        <v>-231906694</v>
      </c>
      <c r="L302" s="129">
        <v>154604463</v>
      </c>
      <c r="M302" s="129">
        <v>-1079517053</v>
      </c>
      <c r="N302" s="755">
        <v>0.25</v>
      </c>
      <c r="O302" s="755">
        <v>0.48</v>
      </c>
      <c r="P302" s="755">
        <v>0.27</v>
      </c>
      <c r="Q302" s="755">
        <v>0</v>
      </c>
      <c r="R302" s="755">
        <v>1</v>
      </c>
      <c r="S302" s="129">
        <v>-13420865</v>
      </c>
      <c r="T302" s="129">
        <v>-25768061</v>
      </c>
      <c r="U302" s="129">
        <v>-14494534</v>
      </c>
      <c r="V302" s="129">
        <v>0</v>
      </c>
      <c r="W302" s="129">
        <v>-53683460</v>
      </c>
      <c r="X302" s="755">
        <v>0.33</v>
      </c>
      <c r="Y302" s="755">
        <v>0.3</v>
      </c>
      <c r="Z302" s="755">
        <v>0.37</v>
      </c>
      <c r="AA302" s="755">
        <v>0</v>
      </c>
      <c r="AB302" s="755">
        <v>1</v>
      </c>
      <c r="AC302" s="129">
        <v>-313015349</v>
      </c>
      <c r="AD302" s="129">
        <v>-284559409</v>
      </c>
      <c r="AE302" s="129">
        <v>-350956604</v>
      </c>
      <c r="AF302" s="129">
        <v>0</v>
      </c>
      <c r="AG302" s="129">
        <v>-948531362</v>
      </c>
      <c r="AH302" s="755">
        <v>0.33</v>
      </c>
      <c r="AI302" s="755">
        <v>0.3</v>
      </c>
      <c r="AJ302" s="755">
        <v>0.37</v>
      </c>
      <c r="AK302" s="755">
        <v>0</v>
      </c>
      <c r="AL302" s="755">
        <v>1</v>
      </c>
      <c r="AM302" s="129">
        <v>-25509736</v>
      </c>
      <c r="AN302" s="129">
        <v>-23190669</v>
      </c>
      <c r="AO302" s="129">
        <v>-28601826</v>
      </c>
      <c r="AP302" s="129">
        <v>0</v>
      </c>
      <c r="AQ302" s="129">
        <v>-77302231</v>
      </c>
      <c r="AR302" s="129">
        <v>-351945951</v>
      </c>
      <c r="AS302" s="129">
        <v>-333518139</v>
      </c>
      <c r="AT302" s="129">
        <v>-394052964</v>
      </c>
      <c r="AU302" s="129">
        <v>0</v>
      </c>
      <c r="AV302" s="129">
        <v>-1079517053</v>
      </c>
      <c r="AW302" s="662" t="s">
        <v>452</v>
      </c>
      <c r="AX302" s="324" t="s">
        <v>576</v>
      </c>
      <c r="AY302" s="669" t="s">
        <v>485</v>
      </c>
      <c r="AZ302" s="529" t="s">
        <v>1507</v>
      </c>
    </row>
    <row r="303" spans="1:52" ht="12.75" x14ac:dyDescent="0.2">
      <c r="A303" s="664">
        <v>296</v>
      </c>
      <c r="B303" s="665" t="s">
        <v>455</v>
      </c>
      <c r="C303" s="671" t="s">
        <v>1217</v>
      </c>
      <c r="D303" s="672" t="s">
        <v>1204</v>
      </c>
      <c r="E303" s="668" t="s">
        <v>454</v>
      </c>
      <c r="F303" s="129">
        <v>-48407231</v>
      </c>
      <c r="G303" s="129">
        <v>1380</v>
      </c>
      <c r="H303" s="129">
        <v>41081134</v>
      </c>
      <c r="I303" s="129">
        <v>1795914</v>
      </c>
      <c r="J303" s="129">
        <v>39285220</v>
      </c>
      <c r="K303" s="129">
        <v>-9123391</v>
      </c>
      <c r="L303" s="129">
        <v>6082261</v>
      </c>
      <c r="M303" s="129">
        <v>-42324971</v>
      </c>
      <c r="N303" s="755">
        <v>0</v>
      </c>
      <c r="O303" s="755">
        <v>0.99</v>
      </c>
      <c r="P303" s="755">
        <v>0</v>
      </c>
      <c r="Q303" s="755">
        <v>0.01</v>
      </c>
      <c r="R303" s="755">
        <v>1</v>
      </c>
      <c r="S303" s="129">
        <v>0</v>
      </c>
      <c r="T303" s="129">
        <v>1366</v>
      </c>
      <c r="U303" s="129">
        <v>0</v>
      </c>
      <c r="V303" s="129">
        <v>14</v>
      </c>
      <c r="W303" s="129">
        <v>1380</v>
      </c>
      <c r="X303" s="755">
        <v>0</v>
      </c>
      <c r="Y303" s="755">
        <v>0.99</v>
      </c>
      <c r="Z303" s="755">
        <v>0</v>
      </c>
      <c r="AA303" s="755">
        <v>0.01</v>
      </c>
      <c r="AB303" s="755">
        <v>1</v>
      </c>
      <c r="AC303" s="129">
        <v>0</v>
      </c>
      <c r="AD303" s="129">
        <v>-38892368</v>
      </c>
      <c r="AE303" s="129">
        <v>0</v>
      </c>
      <c r="AF303" s="129">
        <v>-392852</v>
      </c>
      <c r="AG303" s="129">
        <v>-39285220</v>
      </c>
      <c r="AH303" s="755">
        <v>0</v>
      </c>
      <c r="AI303" s="755">
        <v>0.99</v>
      </c>
      <c r="AJ303" s="755">
        <v>0</v>
      </c>
      <c r="AK303" s="755">
        <v>0.01</v>
      </c>
      <c r="AL303" s="755">
        <v>1</v>
      </c>
      <c r="AM303" s="129">
        <v>0</v>
      </c>
      <c r="AN303" s="129">
        <v>-3010719</v>
      </c>
      <c r="AO303" s="129">
        <v>0</v>
      </c>
      <c r="AP303" s="129">
        <v>-30411</v>
      </c>
      <c r="AQ303" s="129">
        <v>-3041130</v>
      </c>
      <c r="AR303" s="129">
        <v>0</v>
      </c>
      <c r="AS303" s="129">
        <v>-41901721</v>
      </c>
      <c r="AT303" s="129">
        <v>0</v>
      </c>
      <c r="AU303" s="129">
        <v>-423250</v>
      </c>
      <c r="AV303" s="129">
        <v>-42324971</v>
      </c>
      <c r="AW303" s="662" t="s">
        <v>454</v>
      </c>
      <c r="AX303" s="324" t="s">
        <v>570</v>
      </c>
      <c r="AY303" s="663" t="s">
        <v>1915</v>
      </c>
      <c r="AZ303" s="529" t="s">
        <v>1508</v>
      </c>
    </row>
    <row r="304" spans="1:52" ht="12.75" x14ac:dyDescent="0.2">
      <c r="A304" s="664">
        <v>297</v>
      </c>
      <c r="B304" s="665" t="s">
        <v>457</v>
      </c>
      <c r="C304" s="666" t="s">
        <v>486</v>
      </c>
      <c r="D304" s="667" t="s">
        <v>1224</v>
      </c>
      <c r="E304" s="668" t="s">
        <v>456</v>
      </c>
      <c r="F304" s="129">
        <v>-70044511</v>
      </c>
      <c r="G304" s="129">
        <v>-4545</v>
      </c>
      <c r="H304" s="129">
        <v>72470791</v>
      </c>
      <c r="I304" s="129">
        <v>2693565</v>
      </c>
      <c r="J304" s="129">
        <v>69777226</v>
      </c>
      <c r="K304" s="129">
        <v>-262740</v>
      </c>
      <c r="L304" s="129">
        <v>175160</v>
      </c>
      <c r="M304" s="129">
        <v>-69869351</v>
      </c>
      <c r="N304" s="755">
        <v>0.5</v>
      </c>
      <c r="O304" s="755">
        <v>0.49</v>
      </c>
      <c r="P304" s="755">
        <v>0</v>
      </c>
      <c r="Q304" s="755">
        <v>0.01</v>
      </c>
      <c r="R304" s="755">
        <v>1</v>
      </c>
      <c r="S304" s="129">
        <v>-2273</v>
      </c>
      <c r="T304" s="129">
        <v>-2227</v>
      </c>
      <c r="U304" s="129">
        <v>0</v>
      </c>
      <c r="V304" s="129">
        <v>-45</v>
      </c>
      <c r="W304" s="129">
        <v>-4545</v>
      </c>
      <c r="X304" s="755">
        <v>0.5</v>
      </c>
      <c r="Y304" s="755">
        <v>0.49</v>
      </c>
      <c r="Z304" s="755">
        <v>0</v>
      </c>
      <c r="AA304" s="755">
        <v>0.01</v>
      </c>
      <c r="AB304" s="755">
        <v>1</v>
      </c>
      <c r="AC304" s="129">
        <v>-34888613</v>
      </c>
      <c r="AD304" s="129">
        <v>-34190841</v>
      </c>
      <c r="AE304" s="129">
        <v>0</v>
      </c>
      <c r="AF304" s="129">
        <v>-697772</v>
      </c>
      <c r="AG304" s="129">
        <v>-69777226</v>
      </c>
      <c r="AH304" s="755">
        <v>0.5</v>
      </c>
      <c r="AI304" s="755">
        <v>0.49</v>
      </c>
      <c r="AJ304" s="755">
        <v>0</v>
      </c>
      <c r="AK304" s="755">
        <v>0.01</v>
      </c>
      <c r="AL304" s="755">
        <v>1</v>
      </c>
      <c r="AM304" s="129">
        <v>-43790</v>
      </c>
      <c r="AN304" s="129">
        <v>-42914</v>
      </c>
      <c r="AO304" s="129">
        <v>0</v>
      </c>
      <c r="AP304" s="129">
        <v>-876</v>
      </c>
      <c r="AQ304" s="129">
        <v>-87580</v>
      </c>
      <c r="AR304" s="129">
        <v>-34934676</v>
      </c>
      <c r="AS304" s="129">
        <v>-34235982</v>
      </c>
      <c r="AT304" s="129">
        <v>0</v>
      </c>
      <c r="AU304" s="129">
        <v>-698694</v>
      </c>
      <c r="AV304" s="129">
        <v>-69869351</v>
      </c>
      <c r="AW304" s="662" t="s">
        <v>456</v>
      </c>
      <c r="AX304" s="324" t="s">
        <v>486</v>
      </c>
      <c r="AY304" s="663" t="s">
        <v>1916</v>
      </c>
      <c r="AZ304" s="529" t="s">
        <v>1509</v>
      </c>
    </row>
    <row r="305" spans="1:52" ht="12.75" x14ac:dyDescent="0.2">
      <c r="A305" s="664">
        <v>298</v>
      </c>
      <c r="B305" s="665" t="s">
        <v>459</v>
      </c>
      <c r="C305" s="666" t="s">
        <v>1201</v>
      </c>
      <c r="D305" s="667" t="s">
        <v>1202</v>
      </c>
      <c r="E305" s="668" t="s">
        <v>458</v>
      </c>
      <c r="F305" s="129">
        <v>-26235158</v>
      </c>
      <c r="G305" s="129">
        <v>-1048474</v>
      </c>
      <c r="H305" s="129">
        <v>28196258</v>
      </c>
      <c r="I305" s="129">
        <v>1460000</v>
      </c>
      <c r="J305" s="129">
        <v>26736258</v>
      </c>
      <c r="K305" s="129">
        <v>1549574</v>
      </c>
      <c r="L305" s="129">
        <v>0</v>
      </c>
      <c r="M305" s="129">
        <v>-26235158</v>
      </c>
      <c r="N305" s="755">
        <v>0.5</v>
      </c>
      <c r="O305" s="755">
        <v>0.4</v>
      </c>
      <c r="P305" s="755">
        <v>0.09</v>
      </c>
      <c r="Q305" s="755">
        <v>0.01</v>
      </c>
      <c r="R305" s="755">
        <v>1</v>
      </c>
      <c r="S305" s="129">
        <v>-524237</v>
      </c>
      <c r="T305" s="129">
        <v>-419390</v>
      </c>
      <c r="U305" s="129">
        <v>-94363</v>
      </c>
      <c r="V305" s="129">
        <v>-10485</v>
      </c>
      <c r="W305" s="129">
        <v>-1048474</v>
      </c>
      <c r="X305" s="755">
        <v>0.5</v>
      </c>
      <c r="Y305" s="755">
        <v>0.4</v>
      </c>
      <c r="Z305" s="755">
        <v>0.09</v>
      </c>
      <c r="AA305" s="755">
        <v>0.01</v>
      </c>
      <c r="AB305" s="755">
        <v>1</v>
      </c>
      <c r="AC305" s="129">
        <v>-12593342</v>
      </c>
      <c r="AD305" s="129">
        <v>-10074674</v>
      </c>
      <c r="AE305" s="129">
        <v>-2266802</v>
      </c>
      <c r="AF305" s="129">
        <v>-251867</v>
      </c>
      <c r="AG305" s="129">
        <v>-25186684</v>
      </c>
      <c r="AH305" s="755">
        <v>0.5</v>
      </c>
      <c r="AI305" s="755">
        <v>0.4</v>
      </c>
      <c r="AJ305" s="755">
        <v>0.09</v>
      </c>
      <c r="AK305" s="755">
        <v>0.01</v>
      </c>
      <c r="AL305" s="755">
        <v>1</v>
      </c>
      <c r="AM305" s="129">
        <v>0</v>
      </c>
      <c r="AN305" s="129">
        <v>0</v>
      </c>
      <c r="AO305" s="129">
        <v>0</v>
      </c>
      <c r="AP305" s="129">
        <v>0</v>
      </c>
      <c r="AQ305" s="129">
        <v>0</v>
      </c>
      <c r="AR305" s="129">
        <v>-13117579</v>
      </c>
      <c r="AS305" s="129">
        <v>-10494063</v>
      </c>
      <c r="AT305" s="129">
        <v>-2361164</v>
      </c>
      <c r="AU305" s="129">
        <v>-262352</v>
      </c>
      <c r="AV305" s="129">
        <v>-26235158</v>
      </c>
      <c r="AW305" s="662" t="s">
        <v>458</v>
      </c>
      <c r="AX305" s="324" t="s">
        <v>532</v>
      </c>
      <c r="AY305" s="663" t="s">
        <v>1914</v>
      </c>
      <c r="AZ305" s="529" t="s">
        <v>1510</v>
      </c>
    </row>
    <row r="306" spans="1:52" s="129" customFormat="1" ht="14.25" x14ac:dyDescent="0.2">
      <c r="A306" s="784">
        <v>299</v>
      </c>
      <c r="B306" s="785" t="s">
        <v>460</v>
      </c>
      <c r="C306" s="786" t="s">
        <v>486</v>
      </c>
      <c r="D306" s="787" t="s">
        <v>1202</v>
      </c>
      <c r="E306" s="788" t="s">
        <v>1866</v>
      </c>
      <c r="F306" s="129">
        <v>-59512451</v>
      </c>
      <c r="G306" s="129">
        <v>-6860713</v>
      </c>
      <c r="H306" s="129">
        <v>39309650</v>
      </c>
      <c r="I306" s="129">
        <v>2174487</v>
      </c>
      <c r="J306" s="129">
        <v>37135163</v>
      </c>
      <c r="K306" s="129">
        <v>-15516575</v>
      </c>
      <c r="L306" s="129">
        <v>10344383</v>
      </c>
      <c r="M306" s="129">
        <v>-49168068</v>
      </c>
      <c r="N306" s="755">
        <v>0.25</v>
      </c>
      <c r="O306" s="755">
        <v>0.74</v>
      </c>
      <c r="P306" s="755">
        <v>0</v>
      </c>
      <c r="Q306" s="755">
        <v>0.01</v>
      </c>
      <c r="R306" s="755">
        <v>1</v>
      </c>
      <c r="S306" s="129">
        <v>-1715178</v>
      </c>
      <c r="T306" s="129">
        <v>-5076928</v>
      </c>
      <c r="U306" s="129">
        <v>0</v>
      </c>
      <c r="V306" s="129">
        <v>-68607</v>
      </c>
      <c r="W306" s="129">
        <v>-6860713</v>
      </c>
      <c r="X306" s="755">
        <v>0.5</v>
      </c>
      <c r="Y306" s="755">
        <v>0.49</v>
      </c>
      <c r="Z306" s="755">
        <v>0</v>
      </c>
      <c r="AA306" s="755">
        <v>0.01</v>
      </c>
      <c r="AB306" s="755">
        <v>1</v>
      </c>
      <c r="AC306" s="129">
        <v>-18567582</v>
      </c>
      <c r="AD306" s="129">
        <v>-18196230</v>
      </c>
      <c r="AE306" s="129">
        <v>0</v>
      </c>
      <c r="AF306" s="129">
        <v>-371352</v>
      </c>
      <c r="AG306" s="129">
        <v>-37135163</v>
      </c>
      <c r="AH306" s="755">
        <v>0.5</v>
      </c>
      <c r="AI306" s="755">
        <v>0.49</v>
      </c>
      <c r="AJ306" s="755">
        <v>0</v>
      </c>
      <c r="AK306" s="755">
        <v>0.01</v>
      </c>
      <c r="AL306" s="755">
        <v>1</v>
      </c>
      <c r="AM306" s="129">
        <v>-2586096</v>
      </c>
      <c r="AN306" s="129">
        <v>-2534374</v>
      </c>
      <c r="AO306" s="129">
        <v>0</v>
      </c>
      <c r="AP306" s="129">
        <v>-51722</v>
      </c>
      <c r="AQ306" s="129">
        <v>-5172192</v>
      </c>
      <c r="AR306" s="129">
        <v>-22868856</v>
      </c>
      <c r="AS306" s="129">
        <v>-25807531</v>
      </c>
      <c r="AT306" s="129">
        <v>0</v>
      </c>
      <c r="AU306" s="129">
        <v>-491681</v>
      </c>
      <c r="AV306" s="129">
        <v>-49168068</v>
      </c>
      <c r="AW306" s="789" t="s">
        <v>816</v>
      </c>
      <c r="AX306" s="790" t="s">
        <v>486</v>
      </c>
      <c r="AY306" s="791" t="s">
        <v>494</v>
      </c>
      <c r="AZ306" s="792" t="s">
        <v>1511</v>
      </c>
    </row>
    <row r="307" spans="1:52" ht="12.75" x14ac:dyDescent="0.2">
      <c r="A307" s="664">
        <v>300</v>
      </c>
      <c r="B307" s="665" t="s">
        <v>462</v>
      </c>
      <c r="C307" s="666" t="s">
        <v>1217</v>
      </c>
      <c r="D307" s="667" t="s">
        <v>1204</v>
      </c>
      <c r="E307" s="668" t="s">
        <v>461</v>
      </c>
      <c r="F307" s="129">
        <v>-41177111</v>
      </c>
      <c r="G307" s="129">
        <v>-462371</v>
      </c>
      <c r="H307" s="129">
        <v>35775500</v>
      </c>
      <c r="I307" s="129">
        <v>2299773</v>
      </c>
      <c r="J307" s="129">
        <v>33475727</v>
      </c>
      <c r="K307" s="129">
        <v>-7239013</v>
      </c>
      <c r="L307" s="129">
        <v>4826009</v>
      </c>
      <c r="M307" s="129">
        <v>-36351102</v>
      </c>
      <c r="N307" s="755">
        <v>0</v>
      </c>
      <c r="O307" s="755">
        <v>0.99</v>
      </c>
      <c r="P307" s="755">
        <v>0</v>
      </c>
      <c r="Q307" s="755">
        <v>0.01</v>
      </c>
      <c r="R307" s="755">
        <v>1</v>
      </c>
      <c r="S307" s="129">
        <v>0</v>
      </c>
      <c r="T307" s="129">
        <v>-457747</v>
      </c>
      <c r="U307" s="129">
        <v>0</v>
      </c>
      <c r="V307" s="129">
        <v>-4624</v>
      </c>
      <c r="W307" s="129">
        <v>-462371</v>
      </c>
      <c r="X307" s="755">
        <v>0</v>
      </c>
      <c r="Y307" s="755">
        <v>0.99</v>
      </c>
      <c r="Z307" s="755">
        <v>0</v>
      </c>
      <c r="AA307" s="755">
        <v>0.01</v>
      </c>
      <c r="AB307" s="755">
        <v>1</v>
      </c>
      <c r="AC307" s="129">
        <v>0</v>
      </c>
      <c r="AD307" s="129">
        <v>-33140970</v>
      </c>
      <c r="AE307" s="129">
        <v>0</v>
      </c>
      <c r="AF307" s="129">
        <v>-334757</v>
      </c>
      <c r="AG307" s="129">
        <v>-33475727</v>
      </c>
      <c r="AH307" s="755">
        <v>0</v>
      </c>
      <c r="AI307" s="755">
        <v>0.99</v>
      </c>
      <c r="AJ307" s="755">
        <v>0</v>
      </c>
      <c r="AK307" s="755">
        <v>0.01</v>
      </c>
      <c r="AL307" s="755">
        <v>1</v>
      </c>
      <c r="AM307" s="129">
        <v>0</v>
      </c>
      <c r="AN307" s="129">
        <v>-2388874</v>
      </c>
      <c r="AO307" s="129">
        <v>0</v>
      </c>
      <c r="AP307" s="129">
        <v>-24130</v>
      </c>
      <c r="AQ307" s="129">
        <v>-2413004</v>
      </c>
      <c r="AR307" s="129">
        <v>0</v>
      </c>
      <c r="AS307" s="129">
        <v>-35987591</v>
      </c>
      <c r="AT307" s="129">
        <v>0</v>
      </c>
      <c r="AU307" s="129">
        <v>-363511</v>
      </c>
      <c r="AV307" s="129">
        <v>-36351102</v>
      </c>
      <c r="AW307" s="662" t="s">
        <v>461</v>
      </c>
      <c r="AX307" s="324" t="s">
        <v>570</v>
      </c>
      <c r="AY307" s="663" t="s">
        <v>571</v>
      </c>
      <c r="AZ307" s="529" t="s">
        <v>1512</v>
      </c>
    </row>
    <row r="308" spans="1:52" ht="12.75" x14ac:dyDescent="0.2">
      <c r="A308" s="664">
        <v>301</v>
      </c>
      <c r="B308" s="665" t="s">
        <v>464</v>
      </c>
      <c r="C308" s="666" t="s">
        <v>1201</v>
      </c>
      <c r="D308" s="667" t="s">
        <v>1202</v>
      </c>
      <c r="E308" s="668" t="s">
        <v>463</v>
      </c>
      <c r="F308" s="129">
        <v>-19513345</v>
      </c>
      <c r="G308" s="129">
        <v>-3437613</v>
      </c>
      <c r="H308" s="129">
        <v>19363538</v>
      </c>
      <c r="I308" s="129">
        <v>954227</v>
      </c>
      <c r="J308" s="129">
        <v>18409311</v>
      </c>
      <c r="K308" s="129">
        <v>2333579</v>
      </c>
      <c r="L308" s="129">
        <v>0</v>
      </c>
      <c r="M308" s="129">
        <v>-19513345</v>
      </c>
      <c r="N308" s="755">
        <v>0.5</v>
      </c>
      <c r="O308" s="755">
        <v>0.4</v>
      </c>
      <c r="P308" s="755">
        <v>0.1</v>
      </c>
      <c r="Q308" s="755">
        <v>0</v>
      </c>
      <c r="R308" s="755">
        <v>1</v>
      </c>
      <c r="S308" s="129">
        <v>-1718807</v>
      </c>
      <c r="T308" s="129">
        <v>-1375045</v>
      </c>
      <c r="U308" s="129">
        <v>-343761</v>
      </c>
      <c r="V308" s="129">
        <v>0</v>
      </c>
      <c r="W308" s="129">
        <v>-3437613</v>
      </c>
      <c r="X308" s="755">
        <v>0.5</v>
      </c>
      <c r="Y308" s="755">
        <v>0.4</v>
      </c>
      <c r="Z308" s="755">
        <v>0.1</v>
      </c>
      <c r="AA308" s="755">
        <v>0</v>
      </c>
      <c r="AB308" s="755">
        <v>1</v>
      </c>
      <c r="AC308" s="129">
        <v>-8037866</v>
      </c>
      <c r="AD308" s="129">
        <v>-6430293</v>
      </c>
      <c r="AE308" s="129">
        <v>-1607573</v>
      </c>
      <c r="AF308" s="129">
        <v>0</v>
      </c>
      <c r="AG308" s="129">
        <v>-16075732</v>
      </c>
      <c r="AH308" s="755">
        <v>0.5</v>
      </c>
      <c r="AI308" s="755">
        <v>0.4</v>
      </c>
      <c r="AJ308" s="755">
        <v>0.1</v>
      </c>
      <c r="AK308" s="755">
        <v>0</v>
      </c>
      <c r="AL308" s="755">
        <v>1</v>
      </c>
      <c r="AM308" s="129">
        <v>0</v>
      </c>
      <c r="AN308" s="129">
        <v>0</v>
      </c>
      <c r="AO308" s="129">
        <v>0</v>
      </c>
      <c r="AP308" s="129">
        <v>0</v>
      </c>
      <c r="AQ308" s="129">
        <v>0</v>
      </c>
      <c r="AR308" s="129">
        <v>-9756673</v>
      </c>
      <c r="AS308" s="129">
        <v>-7805338</v>
      </c>
      <c r="AT308" s="129">
        <v>-1951335</v>
      </c>
      <c r="AU308" s="129">
        <v>0</v>
      </c>
      <c r="AV308" s="129">
        <v>-19513345</v>
      </c>
      <c r="AW308" s="662" t="s">
        <v>463</v>
      </c>
      <c r="AX308" s="324" t="s">
        <v>566</v>
      </c>
      <c r="AY308" s="663" t="s">
        <v>512</v>
      </c>
      <c r="AZ308" s="529" t="s">
        <v>1513</v>
      </c>
    </row>
    <row r="309" spans="1:52" ht="12.75" x14ac:dyDescent="0.2">
      <c r="A309" s="664">
        <v>302</v>
      </c>
      <c r="B309" s="665" t="s">
        <v>465</v>
      </c>
      <c r="C309" s="666" t="s">
        <v>486</v>
      </c>
      <c r="D309" s="667" t="s">
        <v>1202</v>
      </c>
      <c r="E309" s="668" t="s">
        <v>498</v>
      </c>
      <c r="F309" s="129">
        <v>-23186438</v>
      </c>
      <c r="G309" s="129">
        <v>-556569</v>
      </c>
      <c r="H309" s="129">
        <v>20853521</v>
      </c>
      <c r="I309" s="129">
        <v>721629</v>
      </c>
      <c r="J309" s="129">
        <v>20131892</v>
      </c>
      <c r="K309" s="129">
        <v>-2497977</v>
      </c>
      <c r="L309" s="129">
        <v>1665318</v>
      </c>
      <c r="M309" s="129">
        <v>-21521120</v>
      </c>
      <c r="N309" s="755">
        <v>0.25</v>
      </c>
      <c r="O309" s="755">
        <v>0.74</v>
      </c>
      <c r="P309" s="755">
        <v>0</v>
      </c>
      <c r="Q309" s="755">
        <v>0.01</v>
      </c>
      <c r="R309" s="755">
        <v>1</v>
      </c>
      <c r="S309" s="129">
        <v>-139142</v>
      </c>
      <c r="T309" s="129">
        <v>-411861</v>
      </c>
      <c r="U309" s="129">
        <v>0</v>
      </c>
      <c r="V309" s="129">
        <v>-5566</v>
      </c>
      <c r="W309" s="129">
        <v>-556569</v>
      </c>
      <c r="X309" s="755">
        <v>0.5</v>
      </c>
      <c r="Y309" s="755">
        <v>0.49</v>
      </c>
      <c r="Z309" s="755">
        <v>0</v>
      </c>
      <c r="AA309" s="755">
        <v>0.01</v>
      </c>
      <c r="AB309" s="755">
        <v>1</v>
      </c>
      <c r="AC309" s="129">
        <v>-10065946</v>
      </c>
      <c r="AD309" s="129">
        <v>-9864627</v>
      </c>
      <c r="AE309" s="129">
        <v>0</v>
      </c>
      <c r="AF309" s="129">
        <v>-201319</v>
      </c>
      <c r="AG309" s="129">
        <v>-20131892</v>
      </c>
      <c r="AH309" s="755">
        <v>0.5</v>
      </c>
      <c r="AI309" s="755">
        <v>0.49</v>
      </c>
      <c r="AJ309" s="755">
        <v>0</v>
      </c>
      <c r="AK309" s="755">
        <v>0.01</v>
      </c>
      <c r="AL309" s="755">
        <v>1</v>
      </c>
      <c r="AM309" s="129">
        <v>-416330</v>
      </c>
      <c r="AN309" s="129">
        <v>-408003</v>
      </c>
      <c r="AO309" s="129">
        <v>0</v>
      </c>
      <c r="AP309" s="129">
        <v>-8327</v>
      </c>
      <c r="AQ309" s="129">
        <v>-832659</v>
      </c>
      <c r="AR309" s="129">
        <v>-10621418</v>
      </c>
      <c r="AS309" s="129">
        <v>-10684491</v>
      </c>
      <c r="AT309" s="129">
        <v>0</v>
      </c>
      <c r="AU309" s="129">
        <v>-215211</v>
      </c>
      <c r="AV309" s="129">
        <v>-21521120</v>
      </c>
      <c r="AW309" s="662" t="s">
        <v>498</v>
      </c>
      <c r="AX309" s="673" t="s">
        <v>486</v>
      </c>
      <c r="AY309" s="674" t="s">
        <v>494</v>
      </c>
      <c r="AZ309" s="529" t="s">
        <v>1514</v>
      </c>
    </row>
    <row r="310" spans="1:52" ht="12.75" x14ac:dyDescent="0.2">
      <c r="A310" s="664">
        <v>303</v>
      </c>
      <c r="B310" s="665" t="s">
        <v>467</v>
      </c>
      <c r="C310" s="666" t="s">
        <v>1217</v>
      </c>
      <c r="D310" s="667" t="s">
        <v>1228</v>
      </c>
      <c r="E310" s="668" t="s">
        <v>466</v>
      </c>
      <c r="F310" s="129">
        <v>-39663352</v>
      </c>
      <c r="G310" s="129">
        <v>-817362</v>
      </c>
      <c r="H310" s="129">
        <v>32110425</v>
      </c>
      <c r="I310" s="129">
        <v>1449315</v>
      </c>
      <c r="J310" s="129">
        <v>30661110</v>
      </c>
      <c r="K310" s="129">
        <v>-8184880</v>
      </c>
      <c r="L310" s="129">
        <v>5456587</v>
      </c>
      <c r="M310" s="129">
        <v>-34206765</v>
      </c>
      <c r="N310" s="755">
        <v>0</v>
      </c>
      <c r="O310" s="755">
        <v>0.99</v>
      </c>
      <c r="P310" s="755">
        <v>0</v>
      </c>
      <c r="Q310" s="755">
        <v>0.01</v>
      </c>
      <c r="R310" s="755">
        <v>1</v>
      </c>
      <c r="S310" s="129">
        <v>0</v>
      </c>
      <c r="T310" s="129">
        <v>-809188</v>
      </c>
      <c r="U310" s="129">
        <v>0</v>
      </c>
      <c r="V310" s="129">
        <v>-8174</v>
      </c>
      <c r="W310" s="129">
        <v>-817362</v>
      </c>
      <c r="X310" s="755">
        <v>0</v>
      </c>
      <c r="Y310" s="755">
        <v>0.99</v>
      </c>
      <c r="Z310" s="755">
        <v>0</v>
      </c>
      <c r="AA310" s="755">
        <v>0.01</v>
      </c>
      <c r="AB310" s="755">
        <v>1</v>
      </c>
      <c r="AC310" s="129">
        <v>0</v>
      </c>
      <c r="AD310" s="129">
        <v>-30354499</v>
      </c>
      <c r="AE310" s="129">
        <v>0</v>
      </c>
      <c r="AF310" s="129">
        <v>-306611</v>
      </c>
      <c r="AG310" s="129">
        <v>-30661110</v>
      </c>
      <c r="AH310" s="755">
        <v>0</v>
      </c>
      <c r="AI310" s="755">
        <v>0.99</v>
      </c>
      <c r="AJ310" s="755">
        <v>0</v>
      </c>
      <c r="AK310" s="755">
        <v>0.01</v>
      </c>
      <c r="AL310" s="755">
        <v>1</v>
      </c>
      <c r="AM310" s="129">
        <v>0</v>
      </c>
      <c r="AN310" s="129">
        <v>-2701010</v>
      </c>
      <c r="AO310" s="129">
        <v>0</v>
      </c>
      <c r="AP310" s="129">
        <v>-27283</v>
      </c>
      <c r="AQ310" s="129">
        <v>-2728293</v>
      </c>
      <c r="AR310" s="129">
        <v>0</v>
      </c>
      <c r="AS310" s="129">
        <v>-33864698</v>
      </c>
      <c r="AT310" s="129">
        <v>0</v>
      </c>
      <c r="AU310" s="129">
        <v>-342068</v>
      </c>
      <c r="AV310" s="129">
        <v>-34206765</v>
      </c>
      <c r="AW310" s="662" t="s">
        <v>466</v>
      </c>
      <c r="AX310" s="673" t="s">
        <v>570</v>
      </c>
      <c r="AY310" s="674" t="s">
        <v>574</v>
      </c>
      <c r="AZ310" s="529" t="s">
        <v>1515</v>
      </c>
    </row>
    <row r="311" spans="1:52" ht="12.75" x14ac:dyDescent="0.2">
      <c r="A311" s="664">
        <v>304</v>
      </c>
      <c r="B311" s="665" t="s">
        <v>469</v>
      </c>
      <c r="C311" s="666" t="s">
        <v>1201</v>
      </c>
      <c r="D311" s="667" t="s">
        <v>1228</v>
      </c>
      <c r="E311" s="668" t="s">
        <v>468</v>
      </c>
      <c r="F311" s="129">
        <v>-20688022</v>
      </c>
      <c r="G311" s="129">
        <v>3830183</v>
      </c>
      <c r="H311" s="129">
        <v>22750175</v>
      </c>
      <c r="I311" s="129">
        <v>1308163</v>
      </c>
      <c r="J311" s="129">
        <v>21442012</v>
      </c>
      <c r="K311" s="129">
        <v>-3076192</v>
      </c>
      <c r="L311" s="129">
        <v>2050795</v>
      </c>
      <c r="M311" s="129">
        <v>-18637227</v>
      </c>
      <c r="N311" s="755">
        <v>0.25</v>
      </c>
      <c r="O311" s="755">
        <v>0</v>
      </c>
      <c r="P311" s="755">
        <v>0.74</v>
      </c>
      <c r="Q311" s="755">
        <v>0.01</v>
      </c>
      <c r="R311" s="755">
        <v>1</v>
      </c>
      <c r="S311" s="129">
        <v>957546</v>
      </c>
      <c r="T311" s="129">
        <v>0</v>
      </c>
      <c r="U311" s="129">
        <v>2834335</v>
      </c>
      <c r="V311" s="129">
        <v>38302</v>
      </c>
      <c r="W311" s="129">
        <v>3830183</v>
      </c>
      <c r="X311" s="755">
        <v>0.5</v>
      </c>
      <c r="Y311" s="755">
        <v>0.4</v>
      </c>
      <c r="Z311" s="755">
        <v>0.09</v>
      </c>
      <c r="AA311" s="755">
        <v>0.01</v>
      </c>
      <c r="AB311" s="755">
        <v>1</v>
      </c>
      <c r="AC311" s="129">
        <v>-10721006</v>
      </c>
      <c r="AD311" s="129">
        <v>-8576805</v>
      </c>
      <c r="AE311" s="129">
        <v>-1929781</v>
      </c>
      <c r="AF311" s="129">
        <v>-214420</v>
      </c>
      <c r="AG311" s="129">
        <v>-21442012</v>
      </c>
      <c r="AH311" s="755">
        <v>0.5</v>
      </c>
      <c r="AI311" s="755">
        <v>0.4</v>
      </c>
      <c r="AJ311" s="755">
        <v>0.09</v>
      </c>
      <c r="AK311" s="755">
        <v>0.01</v>
      </c>
      <c r="AL311" s="755">
        <v>1</v>
      </c>
      <c r="AM311" s="129">
        <v>-512699</v>
      </c>
      <c r="AN311" s="129">
        <v>-410159</v>
      </c>
      <c r="AO311" s="129">
        <v>-92286</v>
      </c>
      <c r="AP311" s="129">
        <v>-10254</v>
      </c>
      <c r="AQ311" s="129">
        <v>-1025397</v>
      </c>
      <c r="AR311" s="129">
        <v>-10276159</v>
      </c>
      <c r="AS311" s="129">
        <v>-8986964</v>
      </c>
      <c r="AT311" s="129">
        <v>812268</v>
      </c>
      <c r="AU311" s="129">
        <v>-186372</v>
      </c>
      <c r="AV311" s="129">
        <v>-18637227</v>
      </c>
      <c r="AW311" s="662" t="s">
        <v>468</v>
      </c>
      <c r="AX311" s="673" t="s">
        <v>535</v>
      </c>
      <c r="AY311" s="674" t="s">
        <v>534</v>
      </c>
      <c r="AZ311" s="529" t="s">
        <v>1516</v>
      </c>
    </row>
    <row r="312" spans="1:52" ht="12.75" x14ac:dyDescent="0.2">
      <c r="A312" s="664">
        <v>305</v>
      </c>
      <c r="B312" s="675" t="s">
        <v>471</v>
      </c>
      <c r="C312" s="666" t="s">
        <v>1201</v>
      </c>
      <c r="D312" s="667" t="s">
        <v>1202</v>
      </c>
      <c r="E312" s="668" t="s">
        <v>470</v>
      </c>
      <c r="F312" s="129">
        <v>-18970144</v>
      </c>
      <c r="G312" s="129">
        <v>-1708152</v>
      </c>
      <c r="H312" s="129">
        <v>16257780</v>
      </c>
      <c r="I312" s="129">
        <v>917410</v>
      </c>
      <c r="J312" s="129">
        <v>15340370</v>
      </c>
      <c r="K312" s="129">
        <v>-1921622</v>
      </c>
      <c r="L312" s="129">
        <v>1281081</v>
      </c>
      <c r="M312" s="129">
        <v>-17689063</v>
      </c>
      <c r="N312" s="755">
        <v>0.25</v>
      </c>
      <c r="O312" s="755">
        <v>0.2</v>
      </c>
      <c r="P312" s="755">
        <v>0.55000000000000004</v>
      </c>
      <c r="Q312" s="755">
        <v>0</v>
      </c>
      <c r="R312" s="755">
        <v>1</v>
      </c>
      <c r="S312" s="129">
        <v>-427038</v>
      </c>
      <c r="T312" s="129">
        <v>-341630</v>
      </c>
      <c r="U312" s="129">
        <v>-939484</v>
      </c>
      <c r="V312" s="129">
        <v>0</v>
      </c>
      <c r="W312" s="129">
        <v>-1708152</v>
      </c>
      <c r="X312" s="755">
        <v>0.5</v>
      </c>
      <c r="Y312" s="755">
        <v>0.4</v>
      </c>
      <c r="Z312" s="755">
        <v>0.1</v>
      </c>
      <c r="AA312" s="755">
        <v>0</v>
      </c>
      <c r="AB312" s="755">
        <v>1</v>
      </c>
      <c r="AC312" s="129">
        <v>-7670185</v>
      </c>
      <c r="AD312" s="129">
        <v>-6136148</v>
      </c>
      <c r="AE312" s="129">
        <v>-1534037</v>
      </c>
      <c r="AF312" s="129">
        <v>0</v>
      </c>
      <c r="AG312" s="129">
        <v>-15340370</v>
      </c>
      <c r="AH312" s="755">
        <v>0.5</v>
      </c>
      <c r="AI312" s="755">
        <v>0.4</v>
      </c>
      <c r="AJ312" s="755">
        <v>0.1</v>
      </c>
      <c r="AK312" s="755">
        <v>0</v>
      </c>
      <c r="AL312" s="755">
        <v>1</v>
      </c>
      <c r="AM312" s="129">
        <v>-320270</v>
      </c>
      <c r="AN312" s="129">
        <v>-256216</v>
      </c>
      <c r="AO312" s="129">
        <v>-64054</v>
      </c>
      <c r="AP312" s="129">
        <v>0</v>
      </c>
      <c r="AQ312" s="129">
        <v>-640541</v>
      </c>
      <c r="AR312" s="129">
        <v>-8417493</v>
      </c>
      <c r="AS312" s="129">
        <v>-6733995</v>
      </c>
      <c r="AT312" s="129">
        <v>-2537575</v>
      </c>
      <c r="AU312" s="129">
        <v>0</v>
      </c>
      <c r="AV312" s="129">
        <v>-17689063</v>
      </c>
      <c r="AW312" s="662" t="s">
        <v>470</v>
      </c>
      <c r="AX312" s="673" t="s">
        <v>568</v>
      </c>
      <c r="AY312" s="674" t="s">
        <v>512</v>
      </c>
      <c r="AZ312" s="529" t="s">
        <v>1517</v>
      </c>
    </row>
    <row r="313" spans="1:52" ht="12.75" x14ac:dyDescent="0.2">
      <c r="A313" s="664">
        <v>306</v>
      </c>
      <c r="B313" s="665" t="s">
        <v>473</v>
      </c>
      <c r="C313" s="666" t="s">
        <v>1201</v>
      </c>
      <c r="D313" s="667" t="s">
        <v>1228</v>
      </c>
      <c r="E313" s="668" t="s">
        <v>472</v>
      </c>
      <c r="F313" s="129">
        <v>-14952270</v>
      </c>
      <c r="G313" s="129">
        <v>3927029</v>
      </c>
      <c r="H313" s="129">
        <v>18098177</v>
      </c>
      <c r="I313" s="129">
        <v>1154656</v>
      </c>
      <c r="J313" s="129">
        <v>16943521</v>
      </c>
      <c r="K313" s="129">
        <v>-1935778</v>
      </c>
      <c r="L313" s="129">
        <v>1290519</v>
      </c>
      <c r="M313" s="129">
        <v>-13661751</v>
      </c>
      <c r="N313" s="755">
        <v>0.25</v>
      </c>
      <c r="O313" s="755">
        <v>0</v>
      </c>
      <c r="P313" s="755">
        <v>0.74</v>
      </c>
      <c r="Q313" s="755">
        <v>0.01</v>
      </c>
      <c r="R313" s="755">
        <v>1</v>
      </c>
      <c r="S313" s="129">
        <v>981757</v>
      </c>
      <c r="T313" s="129">
        <v>0</v>
      </c>
      <c r="U313" s="129">
        <v>2906001</v>
      </c>
      <c r="V313" s="129">
        <v>39270</v>
      </c>
      <c r="W313" s="129">
        <v>3927029</v>
      </c>
      <c r="X313" s="755">
        <v>0.5</v>
      </c>
      <c r="Y313" s="755">
        <v>0.4</v>
      </c>
      <c r="Z313" s="755">
        <v>0.09</v>
      </c>
      <c r="AA313" s="755">
        <v>0.01</v>
      </c>
      <c r="AB313" s="755">
        <v>1</v>
      </c>
      <c r="AC313" s="129">
        <v>-8471761</v>
      </c>
      <c r="AD313" s="129">
        <v>-6777408</v>
      </c>
      <c r="AE313" s="129">
        <v>-1524917</v>
      </c>
      <c r="AF313" s="129">
        <v>-169435</v>
      </c>
      <c r="AG313" s="129">
        <v>-16943521</v>
      </c>
      <c r="AH313" s="755">
        <v>0.5</v>
      </c>
      <c r="AI313" s="755">
        <v>0.4</v>
      </c>
      <c r="AJ313" s="755">
        <v>0.09</v>
      </c>
      <c r="AK313" s="755">
        <v>0.01</v>
      </c>
      <c r="AL313" s="755">
        <v>1</v>
      </c>
      <c r="AM313" s="129">
        <v>-322630</v>
      </c>
      <c r="AN313" s="129">
        <v>-258104</v>
      </c>
      <c r="AO313" s="129">
        <v>-58073</v>
      </c>
      <c r="AP313" s="129">
        <v>-6453</v>
      </c>
      <c r="AQ313" s="129">
        <v>-645259</v>
      </c>
      <c r="AR313" s="129">
        <v>-7812633</v>
      </c>
      <c r="AS313" s="129">
        <v>-7035512</v>
      </c>
      <c r="AT313" s="129">
        <v>1323011</v>
      </c>
      <c r="AU313" s="129">
        <v>-136618</v>
      </c>
      <c r="AV313" s="129">
        <v>-13661751</v>
      </c>
      <c r="AW313" s="662" t="s">
        <v>472</v>
      </c>
      <c r="AX313" s="673" t="s">
        <v>535</v>
      </c>
      <c r="AY313" s="674" t="s">
        <v>534</v>
      </c>
      <c r="AZ313" s="529" t="s">
        <v>1518</v>
      </c>
    </row>
    <row r="314" spans="1:52" ht="12.75" x14ac:dyDescent="0.2">
      <c r="A314" s="664">
        <v>307</v>
      </c>
      <c r="B314" s="665" t="s">
        <v>475</v>
      </c>
      <c r="C314" s="666" t="s">
        <v>1201</v>
      </c>
      <c r="D314" s="667" t="s">
        <v>1204</v>
      </c>
      <c r="E314" s="668" t="s">
        <v>474</v>
      </c>
      <c r="F314" s="129">
        <v>-12852196</v>
      </c>
      <c r="G314" s="129">
        <v>-268926</v>
      </c>
      <c r="H314" s="129">
        <v>14471005</v>
      </c>
      <c r="I314" s="129">
        <v>855713</v>
      </c>
      <c r="J314" s="129">
        <v>13615292</v>
      </c>
      <c r="K314" s="129">
        <v>1032022</v>
      </c>
      <c r="L314" s="129">
        <v>0</v>
      </c>
      <c r="M314" s="129">
        <v>-12852196</v>
      </c>
      <c r="N314" s="755">
        <v>0.25</v>
      </c>
      <c r="O314" s="755">
        <v>0.56000000000000005</v>
      </c>
      <c r="P314" s="755">
        <v>0.17499999999999999</v>
      </c>
      <c r="Q314" s="755">
        <v>1.4999999999999999E-2</v>
      </c>
      <c r="R314" s="755">
        <v>1</v>
      </c>
      <c r="S314" s="129">
        <v>-67232</v>
      </c>
      <c r="T314" s="129">
        <v>-150599</v>
      </c>
      <c r="U314" s="129">
        <v>-47062</v>
      </c>
      <c r="V314" s="129">
        <v>-4034</v>
      </c>
      <c r="W314" s="129">
        <v>-268926</v>
      </c>
      <c r="X314" s="755">
        <v>0.5</v>
      </c>
      <c r="Y314" s="755">
        <v>0.4</v>
      </c>
      <c r="Z314" s="755">
        <v>0.09</v>
      </c>
      <c r="AA314" s="755">
        <v>0.01</v>
      </c>
      <c r="AB314" s="755">
        <v>1</v>
      </c>
      <c r="AC314" s="129">
        <v>-6291635</v>
      </c>
      <c r="AD314" s="129">
        <v>-5033308</v>
      </c>
      <c r="AE314" s="129">
        <v>-1132494</v>
      </c>
      <c r="AF314" s="129">
        <v>-125833</v>
      </c>
      <c r="AG314" s="129">
        <v>-12583270</v>
      </c>
      <c r="AH314" s="755">
        <v>0.5</v>
      </c>
      <c r="AI314" s="755">
        <v>0.4</v>
      </c>
      <c r="AJ314" s="755">
        <v>0.09</v>
      </c>
      <c r="AK314" s="755">
        <v>0.01</v>
      </c>
      <c r="AL314" s="755">
        <v>1</v>
      </c>
      <c r="AM314" s="129">
        <v>0</v>
      </c>
      <c r="AN314" s="129">
        <v>0</v>
      </c>
      <c r="AO314" s="129">
        <v>0</v>
      </c>
      <c r="AP314" s="129">
        <v>0</v>
      </c>
      <c r="AQ314" s="129">
        <v>0</v>
      </c>
      <c r="AR314" s="129">
        <v>-6358867</v>
      </c>
      <c r="AS314" s="129">
        <v>-5183907</v>
      </c>
      <c r="AT314" s="129">
        <v>-1179556</v>
      </c>
      <c r="AU314" s="129">
        <v>-129867</v>
      </c>
      <c r="AV314" s="129">
        <v>-12852196</v>
      </c>
      <c r="AW314" s="662" t="s">
        <v>474</v>
      </c>
      <c r="AX314" s="673" t="s">
        <v>547</v>
      </c>
      <c r="AY314" s="674" t="s">
        <v>545</v>
      </c>
      <c r="AZ314" s="529" t="s">
        <v>1519</v>
      </c>
    </row>
    <row r="315" spans="1:52" ht="12.75" x14ac:dyDescent="0.2">
      <c r="A315" s="664">
        <v>308</v>
      </c>
      <c r="B315" s="665" t="s">
        <v>477</v>
      </c>
      <c r="C315" s="666" t="s">
        <v>1201</v>
      </c>
      <c r="D315" s="667" t="s">
        <v>1228</v>
      </c>
      <c r="E315" s="668" t="s">
        <v>476</v>
      </c>
      <c r="F315" s="129">
        <v>-18108916</v>
      </c>
      <c r="G315" s="129">
        <v>2515415</v>
      </c>
      <c r="H315" s="129">
        <v>16533119</v>
      </c>
      <c r="I315" s="129">
        <v>787617</v>
      </c>
      <c r="J315" s="129">
        <v>15745502</v>
      </c>
      <c r="K315" s="129">
        <v>-4878829</v>
      </c>
      <c r="L315" s="129">
        <v>3252553</v>
      </c>
      <c r="M315" s="129">
        <v>-14856363</v>
      </c>
      <c r="N315" s="755">
        <v>0.25</v>
      </c>
      <c r="O315" s="755">
        <v>0</v>
      </c>
      <c r="P315" s="755">
        <v>0.74</v>
      </c>
      <c r="Q315" s="755">
        <v>0.01</v>
      </c>
      <c r="R315" s="755">
        <v>1</v>
      </c>
      <c r="S315" s="129">
        <v>628854</v>
      </c>
      <c r="T315" s="129">
        <v>0</v>
      </c>
      <c r="U315" s="129">
        <v>1861407</v>
      </c>
      <c r="V315" s="129">
        <v>25154</v>
      </c>
      <c r="W315" s="129">
        <v>2515415</v>
      </c>
      <c r="X315" s="755">
        <v>0.5</v>
      </c>
      <c r="Y315" s="755">
        <v>0.4</v>
      </c>
      <c r="Z315" s="755">
        <v>0.09</v>
      </c>
      <c r="AA315" s="755">
        <v>0.01</v>
      </c>
      <c r="AB315" s="755">
        <v>1</v>
      </c>
      <c r="AC315" s="129">
        <v>-7872751</v>
      </c>
      <c r="AD315" s="129">
        <v>-6298201</v>
      </c>
      <c r="AE315" s="129">
        <v>-1417095</v>
      </c>
      <c r="AF315" s="129">
        <v>-157455</v>
      </c>
      <c r="AG315" s="129">
        <v>-15745502</v>
      </c>
      <c r="AH315" s="755">
        <v>0.5</v>
      </c>
      <c r="AI315" s="755">
        <v>0.4</v>
      </c>
      <c r="AJ315" s="755">
        <v>0.09</v>
      </c>
      <c r="AK315" s="755">
        <v>0.01</v>
      </c>
      <c r="AL315" s="755">
        <v>1</v>
      </c>
      <c r="AM315" s="129">
        <v>-813138</v>
      </c>
      <c r="AN315" s="129">
        <v>-650511</v>
      </c>
      <c r="AO315" s="129">
        <v>-146365</v>
      </c>
      <c r="AP315" s="129">
        <v>-16263</v>
      </c>
      <c r="AQ315" s="129">
        <v>-1626276</v>
      </c>
      <c r="AR315" s="129">
        <v>-8057035</v>
      </c>
      <c r="AS315" s="129">
        <v>-6948711</v>
      </c>
      <c r="AT315" s="129">
        <v>297947</v>
      </c>
      <c r="AU315" s="129">
        <v>-148564</v>
      </c>
      <c r="AV315" s="129">
        <v>-14856363</v>
      </c>
      <c r="AW315" s="662" t="s">
        <v>476</v>
      </c>
      <c r="AX315" s="673" t="s">
        <v>535</v>
      </c>
      <c r="AY315" s="674" t="s">
        <v>534</v>
      </c>
      <c r="AZ315" s="529" t="s">
        <v>1520</v>
      </c>
    </row>
    <row r="316" spans="1:52" ht="13.5" thickBot="1" x14ac:dyDescent="0.25">
      <c r="A316" s="664">
        <v>309</v>
      </c>
      <c r="B316" s="665" t="s">
        <v>479</v>
      </c>
      <c r="C316" s="666" t="s">
        <v>486</v>
      </c>
      <c r="D316" s="667" t="s">
        <v>1218</v>
      </c>
      <c r="E316" s="668" t="s">
        <v>554</v>
      </c>
      <c r="F316" s="129">
        <v>-69878071</v>
      </c>
      <c r="G316" s="129">
        <v>-876806</v>
      </c>
      <c r="H316" s="129">
        <v>70409764</v>
      </c>
      <c r="I316" s="129">
        <v>2359818</v>
      </c>
      <c r="J316" s="129">
        <v>68049946</v>
      </c>
      <c r="K316" s="129">
        <v>-951319</v>
      </c>
      <c r="L316" s="129">
        <v>634213</v>
      </c>
      <c r="M316" s="129">
        <v>-69243858</v>
      </c>
      <c r="N316" s="755">
        <v>0.25</v>
      </c>
      <c r="O316" s="755">
        <v>0.74</v>
      </c>
      <c r="P316" s="755">
        <v>0</v>
      </c>
      <c r="Q316" s="755">
        <v>0.01</v>
      </c>
      <c r="R316" s="755">
        <v>1</v>
      </c>
      <c r="S316" s="129">
        <v>-219202</v>
      </c>
      <c r="T316" s="129">
        <v>-648836</v>
      </c>
      <c r="U316" s="129">
        <v>0</v>
      </c>
      <c r="V316" s="129">
        <v>-8768</v>
      </c>
      <c r="W316" s="129">
        <v>-876806</v>
      </c>
      <c r="X316" s="755">
        <v>0.5</v>
      </c>
      <c r="Y316" s="755">
        <v>0.49</v>
      </c>
      <c r="Z316" s="755">
        <v>0</v>
      </c>
      <c r="AA316" s="755">
        <v>0.01</v>
      </c>
      <c r="AB316" s="755">
        <v>1</v>
      </c>
      <c r="AC316" s="129">
        <v>-34024973</v>
      </c>
      <c r="AD316" s="129">
        <v>-33344474</v>
      </c>
      <c r="AE316" s="129">
        <v>0</v>
      </c>
      <c r="AF316" s="129">
        <v>-680499</v>
      </c>
      <c r="AG316" s="129">
        <v>-68049946</v>
      </c>
      <c r="AH316" s="755">
        <v>0.5</v>
      </c>
      <c r="AI316" s="755">
        <v>0.49</v>
      </c>
      <c r="AJ316" s="755">
        <v>0</v>
      </c>
      <c r="AK316" s="755">
        <v>0.01</v>
      </c>
      <c r="AL316" s="755">
        <v>1</v>
      </c>
      <c r="AM316" s="129">
        <v>-158553</v>
      </c>
      <c r="AN316" s="129">
        <v>-155382</v>
      </c>
      <c r="AO316" s="129">
        <v>0</v>
      </c>
      <c r="AP316" s="129">
        <v>-3171</v>
      </c>
      <c r="AQ316" s="129">
        <v>-317106</v>
      </c>
      <c r="AR316" s="129">
        <v>-34402728</v>
      </c>
      <c r="AS316" s="129">
        <v>-34148692</v>
      </c>
      <c r="AT316" s="129">
        <v>0</v>
      </c>
      <c r="AU316" s="129">
        <v>-692439</v>
      </c>
      <c r="AV316" s="129">
        <v>-69243858</v>
      </c>
      <c r="AW316" s="662" t="s">
        <v>554</v>
      </c>
      <c r="AX316" s="673" t="s">
        <v>486</v>
      </c>
      <c r="AY316" s="674" t="s">
        <v>555</v>
      </c>
      <c r="AZ316" s="529" t="s">
        <v>1521</v>
      </c>
    </row>
    <row r="317" spans="1:52" ht="13.5" thickBot="1" x14ac:dyDescent="0.25">
      <c r="A317" s="677">
        <v>310</v>
      </c>
      <c r="B317" s="676" t="s">
        <v>480</v>
      </c>
      <c r="C317" s="677"/>
      <c r="D317" s="678" t="s">
        <v>1211</v>
      </c>
      <c r="E317" s="679" t="s">
        <v>1524</v>
      </c>
      <c r="F317" s="795">
        <f>SUM(F8:F316)</f>
        <v>-12324893325</v>
      </c>
      <c r="G317" s="795">
        <f t="shared" ref="G317:M317" si="0">SUM(G8:G316)</f>
        <v>-62786550</v>
      </c>
      <c r="H317" s="795">
        <f t="shared" si="0"/>
        <v>11140459226</v>
      </c>
      <c r="I317" s="795">
        <f t="shared" si="0"/>
        <v>495106469</v>
      </c>
      <c r="J317" s="795">
        <f t="shared" si="0"/>
        <v>10645352757</v>
      </c>
      <c r="K317" s="795">
        <f t="shared" si="0"/>
        <v>-1616754016</v>
      </c>
      <c r="L317" s="795">
        <f t="shared" si="0"/>
        <v>1130856068</v>
      </c>
      <c r="M317" s="795">
        <f t="shared" si="0"/>
        <v>-11194037255</v>
      </c>
      <c r="N317" s="677"/>
      <c r="O317" s="677"/>
      <c r="P317" s="677"/>
      <c r="Q317" s="677"/>
      <c r="R317" s="677"/>
      <c r="S317" s="795">
        <f t="shared" ref="S317" si="1">SUM(S8:S316)</f>
        <v>-22112154</v>
      </c>
      <c r="T317" s="795">
        <f t="shared" ref="T317" si="2">SUM(T8:T316)</f>
        <v>-38159701</v>
      </c>
      <c r="U317" s="795">
        <f t="shared" ref="U317" si="3">SUM(U8:U316)</f>
        <v>-2870279</v>
      </c>
      <c r="V317" s="795">
        <f t="shared" ref="V317" si="4">SUM(V8:V316)</f>
        <v>355564</v>
      </c>
      <c r="W317" s="795">
        <f t="shared" ref="W317" si="5">SUM(W8:W316)</f>
        <v>-62786550</v>
      </c>
      <c r="X317" s="677"/>
      <c r="Y317" s="677"/>
      <c r="Z317" s="677"/>
      <c r="AA317" s="677"/>
      <c r="AB317" s="677"/>
      <c r="AC317" s="795">
        <f t="shared" ref="AC317" si="6">SUM(AC8:AC316)</f>
        <v>-4038427685</v>
      </c>
      <c r="AD317" s="795">
        <f t="shared" ref="AD317" si="7">SUM(AD8:AD316)</f>
        <v>-5002300587</v>
      </c>
      <c r="AE317" s="795">
        <f t="shared" ref="AE317" si="8">SUM(AE8:AE316)</f>
        <v>-1465675880</v>
      </c>
      <c r="AF317" s="795">
        <f t="shared" ref="AF317" si="9">SUM(AF8:AF316)</f>
        <v>-59418591</v>
      </c>
      <c r="AG317" s="795">
        <f t="shared" ref="AG317" si="10">SUM(AG8:AG316)</f>
        <v>-10565822680</v>
      </c>
      <c r="AH317" s="677"/>
      <c r="AI317" s="677"/>
      <c r="AJ317" s="677"/>
      <c r="AK317" s="677"/>
      <c r="AL317" s="677"/>
      <c r="AM317" s="795">
        <f t="shared" ref="AM317" si="11">SUM(AM8:AM316)</f>
        <v>-203756402</v>
      </c>
      <c r="AN317" s="795">
        <f t="shared" ref="AN317" si="12">SUM(AN8:AN316)</f>
        <v>-257010770</v>
      </c>
      <c r="AO317" s="795">
        <f t="shared" ref="AO317" si="13">SUM(AO8:AO316)</f>
        <v>-101979806</v>
      </c>
      <c r="AP317" s="795">
        <f t="shared" ref="AP317" si="14">SUM(AP8:AP316)</f>
        <v>-2681077</v>
      </c>
      <c r="AQ317" s="795">
        <f t="shared" ref="AQ317" si="15">SUM(AQ8:AQ316)</f>
        <v>-565428026</v>
      </c>
      <c r="AR317" s="795">
        <f t="shared" ref="AR317" si="16">SUM(AR8:AR316)</f>
        <v>-4264296172</v>
      </c>
      <c r="AS317" s="795">
        <f t="shared" ref="AS317" si="17">SUM(AS8:AS316)</f>
        <v>-5297471054</v>
      </c>
      <c r="AT317" s="795">
        <f t="shared" ref="AT317" si="18">SUM(AT8:AT316)</f>
        <v>-1570525956</v>
      </c>
      <c r="AU317" s="795">
        <f t="shared" ref="AU317" si="19">SUM(AU8:AU316)</f>
        <v>-61744101</v>
      </c>
      <c r="AV317" s="795">
        <f t="shared" ref="AV317" si="20">SUM(AV8:AV316)</f>
        <v>-11194037255</v>
      </c>
      <c r="AW317" s="681" t="s">
        <v>1522</v>
      </c>
      <c r="AX317" s="682" t="s">
        <v>1523</v>
      </c>
      <c r="AY317" s="683" t="s">
        <v>484</v>
      </c>
    </row>
    <row r="318" spans="1:52" x14ac:dyDescent="0.2">
      <c r="D318" s="684"/>
      <c r="E318" s="685"/>
    </row>
    <row r="319" spans="1:52" x14ac:dyDescent="0.2">
      <c r="A319" s="686"/>
      <c r="D319" s="685" t="s">
        <v>1870</v>
      </c>
      <c r="E319" s="685"/>
    </row>
  </sheetData>
  <autoFilter ref="A7:AZ7" xr:uid="{180F1F7A-887F-4A93-A517-47329EAA659B}"/>
  <mergeCells count="7">
    <mergeCell ref="AR2:AV2"/>
    <mergeCell ref="N2:R2"/>
    <mergeCell ref="S2:W2"/>
    <mergeCell ref="X2:AB2"/>
    <mergeCell ref="AC2:AG2"/>
    <mergeCell ref="AH2:AL2"/>
    <mergeCell ref="AM2:AQ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N244"/>
  <sheetViews>
    <sheetView showGridLines="0" tabSelected="1" zoomScaleNormal="100" workbookViewId="0">
      <selection activeCell="K57" sqref="K57:L57"/>
    </sheetView>
  </sheetViews>
  <sheetFormatPr defaultColWidth="9.140625" defaultRowHeight="15" x14ac:dyDescent="0.2"/>
  <cols>
    <col min="1" max="1" width="4.85546875" style="220" customWidth="1"/>
    <col min="2" max="2" width="1.7109375" style="9" customWidth="1"/>
    <col min="3" max="3" width="13.28515625" style="9" bestFit="1" customWidth="1"/>
    <col min="4" max="8" width="9.140625" style="9"/>
    <col min="9" max="9" width="13" style="9" bestFit="1" customWidth="1"/>
    <col min="10" max="10" width="3.7109375" style="9" customWidth="1"/>
    <col min="11" max="12" width="9.42578125" style="9" customWidth="1"/>
    <col min="13" max="13" width="3.7109375" style="9" customWidth="1"/>
    <col min="14" max="15" width="10.28515625" style="9" customWidth="1"/>
    <col min="16" max="16" width="3.7109375" style="9" customWidth="1"/>
    <col min="17" max="18" width="10.28515625" style="9" customWidth="1"/>
    <col min="19" max="19" width="3.7109375" style="9" customWidth="1"/>
    <col min="20" max="21" width="10.28515625" style="9" customWidth="1"/>
    <col min="22" max="22" width="6.140625" style="9" customWidth="1"/>
    <col min="23" max="23" width="9.28515625" style="9" customWidth="1"/>
    <col min="24" max="24" width="9.5703125" style="9" customWidth="1"/>
    <col min="25" max="25" width="1.5703125" style="9" customWidth="1"/>
    <col min="26" max="26" width="1.7109375" style="9" customWidth="1"/>
    <col min="27" max="27" width="9.140625" style="9" customWidth="1"/>
    <col min="28" max="28" width="16.28515625" style="9" customWidth="1"/>
    <col min="29" max="48" width="9.140625" style="9" customWidth="1"/>
    <col min="49" max="53" width="9.140625" style="548" customWidth="1"/>
    <col min="54" max="16384" width="9.140625" style="548"/>
  </cols>
  <sheetData>
    <row r="1" spans="1:42" s="322" customFormat="1" x14ac:dyDescent="0.2">
      <c r="A1" s="545"/>
      <c r="B1" s="546"/>
      <c r="C1" s="546"/>
      <c r="D1" s="546"/>
      <c r="E1" s="546"/>
      <c r="F1" s="323">
        <v>310</v>
      </c>
      <c r="G1" s="546"/>
      <c r="H1" s="546"/>
      <c r="I1" s="546"/>
      <c r="J1" s="546"/>
      <c r="K1" s="546"/>
      <c r="L1" s="546"/>
      <c r="M1" s="546"/>
      <c r="N1" s="546"/>
      <c r="O1" s="546"/>
      <c r="P1" s="546"/>
      <c r="Q1" s="546"/>
      <c r="R1" s="831"/>
      <c r="S1" s="831"/>
      <c r="T1" s="546"/>
      <c r="U1" s="546"/>
      <c r="V1" s="546"/>
      <c r="W1" s="546"/>
      <c r="X1" s="546"/>
      <c r="Y1" s="546"/>
      <c r="Z1" s="547"/>
      <c r="AA1" s="632"/>
      <c r="AB1" s="632"/>
      <c r="AC1" s="632"/>
      <c r="AD1" s="632"/>
      <c r="AE1" s="632"/>
      <c r="AF1" s="632"/>
      <c r="AG1" s="632"/>
      <c r="AH1" s="632"/>
      <c r="AI1" s="632"/>
      <c r="AJ1" s="632"/>
      <c r="AP1" s="322" t="s">
        <v>772</v>
      </c>
    </row>
    <row r="2" spans="1:42" s="322" customFormat="1" ht="15.75" x14ac:dyDescent="0.25">
      <c r="A2" s="837" t="s">
        <v>610</v>
      </c>
      <c r="B2" s="838"/>
      <c r="C2" s="838"/>
      <c r="D2" s="838"/>
      <c r="E2" s="838"/>
      <c r="F2" s="838"/>
      <c r="G2" s="838"/>
      <c r="H2" s="838"/>
      <c r="I2" s="838"/>
      <c r="J2" s="838"/>
      <c r="K2" s="838"/>
      <c r="L2" s="838"/>
      <c r="M2" s="838"/>
      <c r="N2" s="838"/>
      <c r="O2" s="838"/>
      <c r="P2" s="838"/>
      <c r="Q2" s="838"/>
      <c r="R2" s="838"/>
      <c r="S2" s="838"/>
      <c r="T2" s="838"/>
      <c r="U2" s="838"/>
      <c r="V2" s="838"/>
      <c r="W2" s="838"/>
      <c r="X2" s="838"/>
      <c r="Y2" s="838"/>
      <c r="Z2" s="839"/>
      <c r="AA2" s="632"/>
      <c r="AB2" s="632"/>
      <c r="AC2" s="632"/>
      <c r="AD2" s="632"/>
      <c r="AE2" s="632"/>
      <c r="AF2" s="632"/>
      <c r="AG2" s="632"/>
      <c r="AH2" s="632"/>
      <c r="AI2" s="632"/>
      <c r="AJ2" s="632"/>
    </row>
    <row r="3" spans="1:42" s="322" customFormat="1" ht="15.75" x14ac:dyDescent="0.25">
      <c r="A3" s="837" t="s">
        <v>1056</v>
      </c>
      <c r="B3" s="838"/>
      <c r="C3" s="838"/>
      <c r="D3" s="838"/>
      <c r="E3" s="838"/>
      <c r="F3" s="838"/>
      <c r="G3" s="838"/>
      <c r="H3" s="838"/>
      <c r="I3" s="838"/>
      <c r="J3" s="838"/>
      <c r="K3" s="838"/>
      <c r="L3" s="838"/>
      <c r="M3" s="838"/>
      <c r="N3" s="838"/>
      <c r="O3" s="838"/>
      <c r="P3" s="838"/>
      <c r="Q3" s="838"/>
      <c r="R3" s="838"/>
      <c r="S3" s="838"/>
      <c r="T3" s="838"/>
      <c r="U3" s="838"/>
      <c r="V3" s="838"/>
      <c r="W3" s="838"/>
      <c r="X3" s="838"/>
      <c r="Y3" s="838"/>
      <c r="Z3" s="839"/>
      <c r="AA3" s="632"/>
      <c r="AB3" s="632"/>
      <c r="AC3" s="632"/>
      <c r="AD3" s="632"/>
      <c r="AE3" s="632"/>
      <c r="AF3" s="632"/>
      <c r="AG3" s="632"/>
      <c r="AH3" s="632"/>
      <c r="AI3" s="632"/>
      <c r="AJ3" s="632"/>
    </row>
    <row r="4" spans="1:42" s="322" customFormat="1" x14ac:dyDescent="0.2">
      <c r="A4" s="847"/>
      <c r="B4" s="848"/>
      <c r="C4" s="848"/>
      <c r="D4" s="848"/>
      <c r="E4" s="848"/>
      <c r="F4" s="848"/>
      <c r="G4" s="848"/>
      <c r="H4" s="848"/>
      <c r="I4" s="848"/>
      <c r="J4" s="848"/>
      <c r="K4" s="848"/>
      <c r="L4" s="848"/>
      <c r="M4" s="848"/>
      <c r="N4" s="848"/>
      <c r="O4" s="848"/>
      <c r="P4" s="848"/>
      <c r="Q4" s="848"/>
      <c r="R4" s="848"/>
      <c r="S4" s="848"/>
      <c r="T4" s="848"/>
      <c r="U4" s="848"/>
      <c r="V4" s="848"/>
      <c r="W4" s="848"/>
      <c r="X4" s="848"/>
      <c r="Y4" s="848"/>
      <c r="Z4" s="849"/>
      <c r="AA4" s="632"/>
      <c r="AB4" s="632"/>
      <c r="AC4" s="632"/>
      <c r="AD4" s="632"/>
      <c r="AE4" s="632"/>
      <c r="AF4" s="632"/>
      <c r="AG4" s="632"/>
      <c r="AH4" s="632"/>
      <c r="AI4" s="632"/>
      <c r="AJ4" s="632"/>
    </row>
    <row r="5" spans="1:42" s="322" customFormat="1" x14ac:dyDescent="0.2">
      <c r="A5" s="847"/>
      <c r="B5" s="848"/>
      <c r="C5" s="848"/>
      <c r="D5" s="848"/>
      <c r="E5" s="848"/>
      <c r="F5" s="848"/>
      <c r="G5" s="848"/>
      <c r="H5" s="848"/>
      <c r="I5" s="848"/>
      <c r="J5" s="848"/>
      <c r="K5" s="848"/>
      <c r="L5" s="848"/>
      <c r="M5" s="848"/>
      <c r="N5" s="848"/>
      <c r="O5" s="848"/>
      <c r="P5" s="848"/>
      <c r="Q5" s="848"/>
      <c r="R5" s="848"/>
      <c r="S5" s="848"/>
      <c r="T5" s="848"/>
      <c r="U5" s="848"/>
      <c r="V5" s="848"/>
      <c r="W5" s="848"/>
      <c r="X5" s="848"/>
      <c r="Y5" s="848"/>
      <c r="Z5" s="849"/>
      <c r="AA5" s="632"/>
      <c r="AB5" s="632"/>
      <c r="AC5" s="632"/>
      <c r="AD5" s="632"/>
      <c r="AE5" s="632"/>
      <c r="AF5" s="632"/>
      <c r="AG5" s="632"/>
      <c r="AH5" s="632"/>
      <c r="AI5" s="632"/>
      <c r="AJ5" s="632"/>
    </row>
    <row r="6" spans="1:42" s="322" customFormat="1" ht="15.75" thickBot="1" x14ac:dyDescent="0.25">
      <c r="A6" s="842"/>
      <c r="B6" s="843"/>
      <c r="C6" s="843"/>
      <c r="D6" s="843"/>
      <c r="E6" s="843"/>
      <c r="F6" s="843"/>
      <c r="G6" s="843"/>
      <c r="H6" s="843"/>
      <c r="I6" s="843"/>
      <c r="J6" s="843"/>
      <c r="K6" s="843"/>
      <c r="L6" s="843"/>
      <c r="M6" s="843"/>
      <c r="N6" s="843"/>
      <c r="O6" s="843"/>
      <c r="P6" s="843"/>
      <c r="Q6" s="843"/>
      <c r="R6" s="843"/>
      <c r="S6" s="843"/>
      <c r="T6" s="843"/>
      <c r="U6" s="843"/>
      <c r="V6" s="843"/>
      <c r="W6" s="843"/>
      <c r="X6" s="843"/>
      <c r="Y6" s="843"/>
      <c r="Z6" s="844"/>
      <c r="AA6" s="632"/>
      <c r="AB6" s="632"/>
      <c r="AC6" s="632"/>
      <c r="AD6" s="632"/>
      <c r="AE6" s="632"/>
      <c r="AF6" s="632"/>
      <c r="AG6" s="632"/>
      <c r="AH6" s="632"/>
      <c r="AI6" s="632"/>
      <c r="AJ6" s="632"/>
    </row>
    <row r="7" spans="1:42" s="322" customFormat="1" x14ac:dyDescent="0.2">
      <c r="A7" s="545"/>
      <c r="B7" s="546"/>
      <c r="C7" s="546"/>
      <c r="D7" s="546"/>
      <c r="E7" s="546"/>
      <c r="F7" s="546"/>
      <c r="G7" s="546"/>
      <c r="H7" s="546"/>
      <c r="I7" s="546"/>
      <c r="J7" s="546"/>
      <c r="K7" s="546"/>
      <c r="L7" s="308"/>
      <c r="M7" s="308"/>
      <c r="N7" s="308"/>
      <c r="O7" s="308"/>
      <c r="P7" s="308"/>
      <c r="Q7" s="546"/>
      <c r="R7" s="546"/>
      <c r="S7" s="546"/>
      <c r="T7" s="546"/>
      <c r="U7" s="546"/>
      <c r="V7" s="546"/>
      <c r="W7" s="546"/>
      <c r="X7" s="546"/>
      <c r="Y7" s="546"/>
      <c r="Z7" s="547"/>
      <c r="AA7" s="632"/>
      <c r="AB7" s="632"/>
      <c r="AC7" s="632"/>
      <c r="AD7" s="632"/>
      <c r="AE7" s="632"/>
      <c r="AF7" s="632"/>
      <c r="AG7" s="632"/>
      <c r="AH7" s="632"/>
      <c r="AI7" s="632"/>
      <c r="AJ7" s="632"/>
    </row>
    <row r="8" spans="1:42" s="322" customFormat="1" x14ac:dyDescent="0.2">
      <c r="A8" s="549"/>
      <c r="B8" s="550"/>
      <c r="C8" s="550"/>
      <c r="D8" s="550"/>
      <c r="E8" s="841" t="s">
        <v>481</v>
      </c>
      <c r="F8" s="841"/>
      <c r="G8" s="841"/>
      <c r="H8" s="841"/>
      <c r="I8" s="841"/>
      <c r="J8" s="841"/>
      <c r="K8" s="550"/>
      <c r="L8" s="42"/>
      <c r="M8" s="42"/>
      <c r="N8" s="42"/>
      <c r="O8" s="43"/>
      <c r="P8" s="46"/>
      <c r="Q8" s="550"/>
      <c r="R8" s="550"/>
      <c r="S8" s="550"/>
      <c r="T8" s="550"/>
      <c r="U8" s="550"/>
      <c r="V8" s="550"/>
      <c r="W8" s="550"/>
      <c r="X8" s="550"/>
      <c r="Y8" s="550"/>
      <c r="Z8" s="552"/>
      <c r="AA8" s="632"/>
      <c r="AB8" s="632"/>
      <c r="AC8" s="632"/>
      <c r="AD8" s="632"/>
      <c r="AE8" s="632"/>
      <c r="AF8" s="632"/>
      <c r="AG8" s="632"/>
      <c r="AH8" s="632"/>
      <c r="AI8" s="632"/>
      <c r="AJ8" s="632"/>
    </row>
    <row r="9" spans="1:42" s="322" customFormat="1" x14ac:dyDescent="0.2">
      <c r="A9" s="549"/>
      <c r="B9" s="550"/>
      <c r="C9" s="550"/>
      <c r="D9" s="550"/>
      <c r="E9" s="550"/>
      <c r="F9" s="551"/>
      <c r="G9" s="551"/>
      <c r="H9" s="551"/>
      <c r="I9" s="551"/>
      <c r="J9" s="551"/>
      <c r="K9" s="551"/>
      <c r="L9" s="42"/>
      <c r="M9" s="42"/>
      <c r="N9" s="42"/>
      <c r="O9" s="43"/>
      <c r="P9" s="46"/>
      <c r="Q9" s="550"/>
      <c r="R9" s="550"/>
      <c r="S9" s="550"/>
      <c r="T9" s="550"/>
      <c r="U9" s="550"/>
      <c r="V9" s="550"/>
      <c r="W9" s="550"/>
      <c r="X9" s="550"/>
      <c r="Y9" s="550"/>
      <c r="Z9" s="552"/>
      <c r="AA9" s="632"/>
      <c r="AB9" s="632"/>
      <c r="AC9" s="632"/>
      <c r="AD9" s="632"/>
      <c r="AE9" s="632"/>
      <c r="AF9" s="632"/>
      <c r="AG9" s="632"/>
      <c r="AH9" s="632"/>
      <c r="AI9" s="632"/>
      <c r="AJ9" s="632"/>
    </row>
    <row r="10" spans="1:42" s="322" customFormat="1" x14ac:dyDescent="0.2">
      <c r="A10" s="549"/>
      <c r="B10" s="550"/>
      <c r="C10" s="550"/>
      <c r="D10" s="550"/>
      <c r="E10" s="550"/>
      <c r="F10" s="553"/>
      <c r="G10" s="553"/>
      <c r="H10" s="553"/>
      <c r="I10" s="553"/>
      <c r="J10" s="553"/>
      <c r="K10" s="553"/>
      <c r="L10" s="45"/>
      <c r="M10" s="45"/>
      <c r="N10" s="45"/>
      <c r="O10" s="44"/>
      <c r="P10" s="46"/>
      <c r="Q10" s="550"/>
      <c r="R10" s="550"/>
      <c r="S10" s="550"/>
      <c r="T10" s="550"/>
      <c r="U10" s="550"/>
      <c r="V10" s="550"/>
      <c r="W10" s="550"/>
      <c r="X10" s="550"/>
      <c r="Y10" s="550"/>
      <c r="Z10" s="552"/>
      <c r="AA10" s="632"/>
      <c r="AB10" s="632"/>
      <c r="AC10" s="632"/>
      <c r="AD10" s="632"/>
      <c r="AE10" s="632"/>
      <c r="AF10" s="632"/>
      <c r="AG10" s="632"/>
      <c r="AH10" s="632"/>
      <c r="AI10" s="632"/>
      <c r="AJ10" s="632"/>
    </row>
    <row r="11" spans="1:42" s="322" customFormat="1" x14ac:dyDescent="0.2">
      <c r="A11" s="549"/>
      <c r="B11" s="550"/>
      <c r="C11" s="550"/>
      <c r="D11" s="550"/>
      <c r="E11" s="550"/>
      <c r="F11" s="553"/>
      <c r="G11" s="553"/>
      <c r="H11" s="553"/>
      <c r="I11" s="553"/>
      <c r="J11" s="553"/>
      <c r="K11" s="553"/>
      <c r="L11" s="45"/>
      <c r="M11" s="45"/>
      <c r="N11" s="45"/>
      <c r="O11" s="44"/>
      <c r="P11" s="46"/>
      <c r="Q11" s="550"/>
      <c r="R11" s="550"/>
      <c r="S11" s="550"/>
      <c r="T11" s="550"/>
      <c r="U11" s="550"/>
      <c r="V11" s="550"/>
      <c r="W11" s="550"/>
      <c r="X11" s="550"/>
      <c r="Y11" s="550"/>
      <c r="Z11" s="552"/>
      <c r="AA11" s="632"/>
      <c r="AB11" s="632"/>
      <c r="AC11" s="632"/>
      <c r="AD11" s="632"/>
      <c r="AE11" s="632"/>
      <c r="AF11" s="632"/>
      <c r="AG11" s="632"/>
      <c r="AH11" s="632"/>
      <c r="AI11" s="632"/>
      <c r="AJ11" s="632"/>
    </row>
    <row r="12" spans="1:42" s="322" customFormat="1" x14ac:dyDescent="0.2">
      <c r="A12" s="549"/>
      <c r="B12" s="550"/>
      <c r="C12" s="550"/>
      <c r="D12" s="550"/>
      <c r="E12" s="550"/>
      <c r="F12" s="553"/>
      <c r="G12" s="553"/>
      <c r="H12" s="553"/>
      <c r="I12" s="553"/>
      <c r="J12" s="553"/>
      <c r="K12" s="553"/>
      <c r="L12" s="45"/>
      <c r="M12" s="45"/>
      <c r="N12" s="45"/>
      <c r="O12" s="44"/>
      <c r="P12" s="46"/>
      <c r="Q12" s="550"/>
      <c r="R12" s="550"/>
      <c r="S12" s="550"/>
      <c r="T12" s="550"/>
      <c r="U12" s="550"/>
      <c r="V12" s="550"/>
      <c r="W12" s="550"/>
      <c r="X12" s="550"/>
      <c r="Y12" s="550"/>
      <c r="Z12" s="687"/>
      <c r="AA12" s="632"/>
      <c r="AB12" s="632"/>
      <c r="AC12" s="632"/>
      <c r="AD12" s="632"/>
      <c r="AE12" s="632"/>
      <c r="AF12" s="632"/>
      <c r="AG12" s="632"/>
      <c r="AH12" s="632"/>
      <c r="AI12" s="632"/>
      <c r="AJ12" s="632"/>
    </row>
    <row r="13" spans="1:42" s="322" customFormat="1" x14ac:dyDescent="0.2">
      <c r="A13" s="549"/>
      <c r="B13" s="550"/>
      <c r="C13" s="550"/>
      <c r="D13" s="550"/>
      <c r="E13" s="550"/>
      <c r="F13" s="553"/>
      <c r="G13" s="553"/>
      <c r="H13" s="553"/>
      <c r="I13" s="553"/>
      <c r="J13" s="553"/>
      <c r="K13" s="553"/>
      <c r="L13" s="797" t="str" cm="1">
        <f t="array" ref="L13">IF(RIGHT(INDEX(DataSheet1!$A$8:$DD$317,$F$1,5),3)="(R)","The data for this authority have been revised or added since the original release of this table","")</f>
        <v/>
      </c>
      <c r="M13" s="45"/>
      <c r="N13" s="45"/>
      <c r="O13" s="44"/>
      <c r="P13" s="46"/>
      <c r="Q13" s="550"/>
      <c r="R13" s="550"/>
      <c r="S13" s="550"/>
      <c r="T13" s="550"/>
      <c r="U13" s="550"/>
      <c r="V13" s="550"/>
      <c r="W13" s="550"/>
      <c r="X13" s="550"/>
      <c r="Y13" s="550"/>
      <c r="Z13" s="687"/>
      <c r="AA13" s="632"/>
      <c r="AB13" s="632"/>
      <c r="AC13" s="632"/>
      <c r="AD13" s="632"/>
      <c r="AE13" s="632"/>
      <c r="AF13" s="632"/>
      <c r="AG13" s="632"/>
      <c r="AH13" s="632"/>
      <c r="AI13" s="632"/>
      <c r="AJ13" s="632"/>
    </row>
    <row r="14" spans="1:42" s="322" customFormat="1" x14ac:dyDescent="0.2">
      <c r="A14" s="549"/>
      <c r="B14" s="550"/>
      <c r="C14" s="550"/>
      <c r="D14" s="550"/>
      <c r="E14" s="550" t="s">
        <v>580</v>
      </c>
      <c r="F14" s="553"/>
      <c r="G14" s="550"/>
      <c r="H14" s="553"/>
      <c r="I14" s="550"/>
      <c r="J14" s="553"/>
      <c r="K14" s="553"/>
      <c r="L14" s="817" t="str" cm="1">
        <f t="array" ref="L14">INDEX(DataSheet1!$E$8:$E$317,'Part 1'!$F$1)</f>
        <v>England</v>
      </c>
      <c r="M14" s="818"/>
      <c r="N14" s="818"/>
      <c r="O14" s="818"/>
      <c r="P14" s="819"/>
      <c r="Q14" s="550"/>
      <c r="R14" s="557" t="str">
        <f>+IF(L14="ZZZZ","Please select your authority from the list above","")</f>
        <v/>
      </c>
      <c r="S14" s="550"/>
      <c r="T14" s="550"/>
      <c r="U14" s="550"/>
      <c r="V14" s="550"/>
      <c r="W14" s="550"/>
      <c r="X14" s="550"/>
      <c r="Y14" s="550"/>
      <c r="Z14" s="552"/>
      <c r="AA14" s="632"/>
      <c r="AB14" s="632"/>
      <c r="AC14" s="632"/>
      <c r="AD14" s="632"/>
      <c r="AE14" s="632"/>
      <c r="AF14" s="632"/>
      <c r="AG14" s="632"/>
      <c r="AH14" s="632"/>
      <c r="AI14" s="632"/>
      <c r="AJ14" s="632"/>
    </row>
    <row r="15" spans="1:42" s="322" customFormat="1" x14ac:dyDescent="0.2">
      <c r="A15" s="549"/>
      <c r="B15" s="550"/>
      <c r="C15" s="550"/>
      <c r="D15" s="550"/>
      <c r="E15" s="550" t="s">
        <v>581</v>
      </c>
      <c r="F15" s="553"/>
      <c r="G15" s="550"/>
      <c r="H15" s="553"/>
      <c r="I15" s="550"/>
      <c r="J15" s="553"/>
      <c r="K15" s="553"/>
      <c r="L15" s="817" t="str" cm="1">
        <f t="array" ref="L15">INDEX(DataSheet1!$B$8:$B$317,'Part 1'!$F$1)</f>
        <v>EZZZZ</v>
      </c>
      <c r="M15" s="818"/>
      <c r="N15" s="818"/>
      <c r="O15" s="818"/>
      <c r="P15" s="819"/>
      <c r="Q15" s="550"/>
      <c r="R15" s="557"/>
      <c r="S15" s="550"/>
      <c r="T15" s="550"/>
      <c r="U15" s="550"/>
      <c r="V15" s="550"/>
      <c r="W15" s="550"/>
      <c r="X15" s="550"/>
      <c r="Y15" s="550"/>
      <c r="Z15" s="552"/>
      <c r="AA15" s="632"/>
      <c r="AB15" s="632"/>
      <c r="AC15" s="632"/>
      <c r="AD15" s="632"/>
      <c r="AE15" s="632"/>
      <c r="AF15" s="632"/>
      <c r="AG15" s="632"/>
      <c r="AH15" s="632"/>
      <c r="AI15" s="632"/>
      <c r="AJ15" s="632"/>
    </row>
    <row r="16" spans="1:42" s="322" customFormat="1" x14ac:dyDescent="0.2">
      <c r="A16" s="549"/>
      <c r="B16" s="550"/>
      <c r="C16" s="550"/>
      <c r="D16" s="550"/>
      <c r="E16" s="550" t="s">
        <v>582</v>
      </c>
      <c r="F16" s="553"/>
      <c r="G16" s="550"/>
      <c r="H16" s="553"/>
      <c r="I16" s="550"/>
      <c r="J16" s="553"/>
      <c r="K16" s="553"/>
      <c r="L16" s="817"/>
      <c r="M16" s="818"/>
      <c r="N16" s="818"/>
      <c r="O16" s="818"/>
      <c r="P16" s="819"/>
      <c r="Q16" s="550"/>
      <c r="R16" s="557"/>
      <c r="S16" s="550"/>
      <c r="T16" s="550"/>
      <c r="U16" s="550"/>
      <c r="V16" s="550"/>
      <c r="W16" s="550"/>
      <c r="X16" s="550"/>
      <c r="Y16" s="550"/>
      <c r="Z16" s="552"/>
      <c r="AA16" s="632"/>
      <c r="AB16" s="632"/>
      <c r="AC16" s="632"/>
      <c r="AD16" s="632"/>
      <c r="AE16" s="632"/>
      <c r="AF16" s="632"/>
      <c r="AG16" s="632"/>
      <c r="AH16" s="632"/>
      <c r="AI16" s="632"/>
      <c r="AJ16" s="632"/>
    </row>
    <row r="17" spans="1:36" s="322" customFormat="1" x14ac:dyDescent="0.2">
      <c r="A17" s="549"/>
      <c r="B17" s="550"/>
      <c r="C17" s="550"/>
      <c r="D17" s="550"/>
      <c r="E17" s="550" t="s">
        <v>583</v>
      </c>
      <c r="F17" s="554"/>
      <c r="G17" s="550"/>
      <c r="H17" s="553"/>
      <c r="I17" s="550"/>
      <c r="J17" s="553"/>
      <c r="K17" s="553"/>
      <c r="L17" s="817"/>
      <c r="M17" s="818"/>
      <c r="N17" s="818"/>
      <c r="O17" s="818"/>
      <c r="P17" s="819"/>
      <c r="Q17" s="550"/>
      <c r="R17" s="557"/>
      <c r="S17" s="550"/>
      <c r="T17" s="550"/>
      <c r="U17" s="550"/>
      <c r="V17" s="550"/>
      <c r="W17" s="550"/>
      <c r="X17" s="550"/>
      <c r="Y17" s="550"/>
      <c r="Z17" s="552"/>
      <c r="AA17" s="632"/>
      <c r="AB17" s="632"/>
      <c r="AC17" s="632"/>
      <c r="AD17" s="632"/>
      <c r="AE17" s="632"/>
      <c r="AF17" s="632"/>
      <c r="AG17" s="632"/>
      <c r="AH17" s="632"/>
      <c r="AI17" s="632"/>
      <c r="AJ17" s="632"/>
    </row>
    <row r="18" spans="1:36" s="322" customFormat="1" x14ac:dyDescent="0.2">
      <c r="A18" s="549"/>
      <c r="B18" s="550"/>
      <c r="C18" s="550"/>
      <c r="D18" s="550"/>
      <c r="E18" s="550" t="s">
        <v>584</v>
      </c>
      <c r="F18" s="554"/>
      <c r="G18" s="550"/>
      <c r="H18" s="553"/>
      <c r="I18" s="550"/>
      <c r="J18" s="553"/>
      <c r="K18" s="553"/>
      <c r="L18" s="817"/>
      <c r="M18" s="818"/>
      <c r="N18" s="818"/>
      <c r="O18" s="818"/>
      <c r="P18" s="819"/>
      <c r="Q18" s="550"/>
      <c r="R18" s="557"/>
      <c r="S18" s="550"/>
      <c r="T18" s="550"/>
      <c r="U18" s="550"/>
      <c r="V18" s="550"/>
      <c r="W18" s="550"/>
      <c r="X18" s="550"/>
      <c r="Y18" s="550"/>
      <c r="Z18" s="552"/>
      <c r="AA18" s="632"/>
      <c r="AB18" s="632"/>
      <c r="AC18" s="632"/>
      <c r="AD18" s="632"/>
      <c r="AE18" s="632"/>
      <c r="AF18" s="632"/>
      <c r="AG18" s="632"/>
      <c r="AH18" s="632"/>
      <c r="AI18" s="632"/>
      <c r="AJ18" s="632"/>
    </row>
    <row r="19" spans="1:36" s="322" customFormat="1" ht="15.75" thickBot="1" x14ac:dyDescent="0.25">
      <c r="A19" s="555"/>
      <c r="B19" s="556"/>
      <c r="C19" s="556"/>
      <c r="D19" s="556"/>
      <c r="E19" s="556"/>
      <c r="F19" s="556"/>
      <c r="G19" s="556"/>
      <c r="H19" s="556"/>
      <c r="I19" s="556"/>
      <c r="J19" s="556"/>
      <c r="K19" s="556"/>
      <c r="L19" s="556"/>
      <c r="M19" s="556"/>
      <c r="N19" s="556"/>
      <c r="O19" s="556"/>
      <c r="P19" s="556"/>
      <c r="Q19" s="556"/>
      <c r="R19" s="556"/>
      <c r="S19" s="556"/>
      <c r="T19" s="556"/>
      <c r="U19" s="556"/>
      <c r="V19" s="556"/>
      <c r="W19" s="558" t="s">
        <v>792</v>
      </c>
      <c r="X19" s="559">
        <v>1.1000000000000001</v>
      </c>
      <c r="Y19" s="556"/>
      <c r="Z19" s="560"/>
      <c r="AA19" s="632"/>
      <c r="AB19" s="632"/>
      <c r="AC19" s="632"/>
      <c r="AD19" s="632"/>
      <c r="AE19" s="632"/>
      <c r="AF19" s="632"/>
      <c r="AG19" s="632"/>
      <c r="AH19" s="632"/>
      <c r="AI19" s="632"/>
      <c r="AJ19" s="632"/>
    </row>
    <row r="20" spans="1:36" x14ac:dyDescent="0.2">
      <c r="A20" s="214"/>
      <c r="B20" s="10"/>
      <c r="C20" s="10"/>
      <c r="D20" s="10"/>
      <c r="E20" s="10"/>
      <c r="F20" s="10"/>
      <c r="G20" s="10"/>
      <c r="H20" s="10"/>
      <c r="I20" s="10"/>
      <c r="J20" s="10"/>
      <c r="K20" s="10"/>
      <c r="L20" s="10"/>
      <c r="M20" s="10"/>
      <c r="N20" s="10"/>
      <c r="O20" s="10"/>
      <c r="P20" s="10"/>
      <c r="Q20" s="10"/>
      <c r="R20" s="10"/>
      <c r="S20" s="10"/>
      <c r="T20" s="10"/>
      <c r="U20" s="10"/>
      <c r="V20" s="10"/>
      <c r="W20" s="10"/>
      <c r="X20" s="10"/>
      <c r="Y20" s="10"/>
      <c r="Z20" s="11"/>
      <c r="AA20" s="633"/>
      <c r="AB20" s="633"/>
      <c r="AC20" s="633"/>
      <c r="AD20" s="633"/>
      <c r="AE20" s="633"/>
      <c r="AF20" s="633"/>
      <c r="AG20" s="633"/>
      <c r="AH20" s="633"/>
      <c r="AI20" s="633"/>
      <c r="AJ20" s="633"/>
    </row>
    <row r="21" spans="1:36" ht="15.75" x14ac:dyDescent="0.25">
      <c r="A21" s="214"/>
      <c r="B21" s="10"/>
      <c r="C21" s="851" t="s">
        <v>30</v>
      </c>
      <c r="D21" s="851"/>
      <c r="E21" s="851"/>
      <c r="F21" s="851"/>
      <c r="G21" s="851"/>
      <c r="H21" s="10"/>
      <c r="I21" s="10"/>
      <c r="J21" s="10"/>
      <c r="K21" s="10"/>
      <c r="L21" s="10"/>
      <c r="M21" s="10"/>
      <c r="N21" s="10"/>
      <c r="O21" s="10"/>
      <c r="P21" s="10"/>
      <c r="Q21" s="10"/>
      <c r="R21" s="10"/>
      <c r="S21" s="10"/>
      <c r="T21" s="10"/>
      <c r="U21" s="10"/>
      <c r="V21" s="10"/>
      <c r="W21" s="10"/>
      <c r="X21" s="10"/>
      <c r="Y21" s="10"/>
      <c r="Z21" s="11"/>
      <c r="AA21" s="633"/>
      <c r="AB21" s="633"/>
      <c r="AC21" s="633"/>
      <c r="AD21" s="633"/>
      <c r="AE21" s="633"/>
      <c r="AF21" s="633"/>
      <c r="AG21" s="633"/>
      <c r="AH21" s="633"/>
      <c r="AI21" s="633"/>
      <c r="AJ21" s="633"/>
    </row>
    <row r="22" spans="1:36" ht="16.5" thickBot="1" x14ac:dyDescent="0.3">
      <c r="A22" s="214"/>
      <c r="B22" s="10"/>
      <c r="C22" s="87" t="s">
        <v>614</v>
      </c>
      <c r="D22" s="106"/>
      <c r="E22" s="106"/>
      <c r="F22" s="106"/>
      <c r="G22" s="106"/>
      <c r="H22" s="106"/>
      <c r="I22" s="106"/>
      <c r="J22" s="10"/>
      <c r="K22" s="850" t="s">
        <v>577</v>
      </c>
      <c r="L22" s="850"/>
      <c r="M22" s="10"/>
      <c r="N22" s="10"/>
      <c r="O22" s="10"/>
      <c r="P22" s="10"/>
      <c r="Q22" s="10"/>
      <c r="R22" s="14"/>
      <c r="S22" s="10"/>
      <c r="T22" s="10"/>
      <c r="U22" s="10"/>
      <c r="V22" s="10"/>
      <c r="W22" s="10"/>
      <c r="X22" s="10"/>
      <c r="Y22" s="10"/>
      <c r="Z22" s="11"/>
      <c r="AA22" s="633"/>
      <c r="AB22" s="633"/>
      <c r="AC22" s="633"/>
      <c r="AD22" s="633"/>
      <c r="AE22" s="633"/>
      <c r="AF22" s="633"/>
      <c r="AG22" s="633"/>
      <c r="AH22" s="633"/>
      <c r="AI22" s="633"/>
      <c r="AJ22" s="633"/>
    </row>
    <row r="23" spans="1:36" ht="16.5" thickBot="1" x14ac:dyDescent="0.25">
      <c r="A23" s="214"/>
      <c r="B23" s="10"/>
      <c r="C23" s="845" t="s">
        <v>622</v>
      </c>
      <c r="D23" s="826"/>
      <c r="E23" s="826"/>
      <c r="F23" s="826"/>
      <c r="G23" s="826"/>
      <c r="H23" s="826"/>
      <c r="I23" s="826"/>
      <c r="J23" s="10"/>
      <c r="K23" s="834" cm="1">
        <f t="array" ref="K23">INDEX(DataSheet1!$A$8:$DD$317,$F$1,6)</f>
        <v>25464815917</v>
      </c>
      <c r="L23" s="835"/>
      <c r="M23" s="75"/>
      <c r="N23" s="10"/>
      <c r="O23" s="79"/>
      <c r="P23" s="76"/>
      <c r="Q23" s="76"/>
      <c r="R23" s="77"/>
      <c r="S23" s="75"/>
      <c r="T23" s="75"/>
      <c r="U23" s="75"/>
      <c r="V23" s="75"/>
      <c r="W23" s="75"/>
      <c r="X23" s="75"/>
      <c r="Y23" s="2"/>
      <c r="Z23" s="51"/>
      <c r="AA23" s="633"/>
      <c r="AB23" s="633"/>
      <c r="AC23" s="633"/>
      <c r="AD23" s="633"/>
      <c r="AE23" s="633"/>
      <c r="AF23" s="633"/>
      <c r="AG23" s="633"/>
      <c r="AH23" s="633"/>
      <c r="AI23" s="633"/>
      <c r="AJ23" s="633"/>
    </row>
    <row r="24" spans="1:36" ht="15.75" x14ac:dyDescent="0.2">
      <c r="A24" s="214"/>
      <c r="B24" s="10"/>
      <c r="C24" s="845"/>
      <c r="D24" s="826"/>
      <c r="E24" s="826"/>
      <c r="F24" s="826"/>
      <c r="G24" s="826"/>
      <c r="H24" s="826"/>
      <c r="I24" s="826"/>
      <c r="J24" s="75"/>
      <c r="K24" s="75"/>
      <c r="L24" s="75"/>
      <c r="M24" s="75"/>
      <c r="N24" s="10"/>
      <c r="O24" s="79"/>
      <c r="P24" s="76"/>
      <c r="Q24" s="76"/>
      <c r="R24" s="77"/>
      <c r="S24" s="75"/>
      <c r="T24" s="75"/>
      <c r="U24" s="75"/>
      <c r="V24" s="75"/>
      <c r="W24" s="75"/>
      <c r="X24" s="75"/>
      <c r="Y24" s="10"/>
      <c r="Z24" s="11"/>
      <c r="AA24" s="633"/>
      <c r="AB24" s="633"/>
      <c r="AC24" s="633"/>
      <c r="AD24" s="633"/>
      <c r="AE24" s="633"/>
      <c r="AF24" s="633"/>
      <c r="AG24" s="633"/>
      <c r="AH24" s="633"/>
      <c r="AI24" s="633"/>
      <c r="AJ24" s="633"/>
    </row>
    <row r="25" spans="1:36" x14ac:dyDescent="0.2">
      <c r="A25" s="214"/>
      <c r="B25" s="10"/>
      <c r="C25" s="826"/>
      <c r="D25" s="826"/>
      <c r="E25" s="826"/>
      <c r="F25" s="826"/>
      <c r="G25" s="826"/>
      <c r="H25" s="826"/>
      <c r="I25" s="826"/>
      <c r="J25" s="10"/>
      <c r="K25" s="75"/>
      <c r="L25" s="75"/>
      <c r="M25" s="75"/>
      <c r="N25" s="75"/>
      <c r="O25" s="79"/>
      <c r="P25" s="76"/>
      <c r="Q25" s="76"/>
      <c r="R25" s="76"/>
      <c r="S25" s="75"/>
      <c r="T25" s="75"/>
      <c r="U25" s="75"/>
      <c r="V25" s="75"/>
      <c r="W25" s="75"/>
      <c r="X25" s="75"/>
      <c r="Y25" s="10"/>
      <c r="Z25" s="11"/>
      <c r="AA25" s="633"/>
      <c r="AB25" s="633"/>
      <c r="AC25" s="633"/>
      <c r="AD25" s="633"/>
      <c r="AE25" s="633"/>
      <c r="AF25" s="633"/>
      <c r="AG25" s="633"/>
      <c r="AH25" s="633"/>
      <c r="AI25" s="633"/>
      <c r="AJ25" s="633"/>
    </row>
    <row r="26" spans="1:36" x14ac:dyDescent="0.2">
      <c r="A26" s="214"/>
      <c r="B26" s="10"/>
      <c r="C26" s="826"/>
      <c r="D26" s="826"/>
      <c r="E26" s="826"/>
      <c r="F26" s="826"/>
      <c r="G26" s="826"/>
      <c r="H26" s="826"/>
      <c r="I26" s="826"/>
      <c r="J26" s="10"/>
      <c r="K26" s="75"/>
      <c r="L26" s="75"/>
      <c r="M26" s="75"/>
      <c r="N26" s="75"/>
      <c r="O26" s="79"/>
      <c r="P26" s="76"/>
      <c r="Q26" s="76"/>
      <c r="R26" s="76"/>
      <c r="S26" s="75"/>
      <c r="T26" s="75"/>
      <c r="U26" s="75"/>
      <c r="V26" s="75"/>
      <c r="W26" s="75"/>
      <c r="X26" s="75"/>
      <c r="Y26" s="10"/>
      <c r="Z26" s="11"/>
      <c r="AA26" s="633"/>
      <c r="AB26" s="633"/>
      <c r="AC26" s="633"/>
      <c r="AD26" s="633"/>
      <c r="AE26" s="633"/>
      <c r="AF26" s="633"/>
      <c r="AG26" s="633"/>
      <c r="AH26" s="633"/>
      <c r="AI26" s="633"/>
      <c r="AJ26" s="633"/>
    </row>
    <row r="27" spans="1:36" x14ac:dyDescent="0.2">
      <c r="A27" s="214"/>
      <c r="B27" s="10"/>
      <c r="C27" s="106"/>
      <c r="D27" s="106"/>
      <c r="E27" s="106"/>
      <c r="F27" s="106"/>
      <c r="G27" s="106"/>
      <c r="H27" s="106"/>
      <c r="I27" s="106"/>
      <c r="J27" s="15"/>
      <c r="K27" s="75"/>
      <c r="L27" s="75"/>
      <c r="M27" s="75"/>
      <c r="N27" s="75"/>
      <c r="O27" s="79"/>
      <c r="P27" s="76"/>
      <c r="Q27" s="76"/>
      <c r="R27" s="76"/>
      <c r="S27" s="75"/>
      <c r="T27" s="75"/>
      <c r="U27" s="75"/>
      <c r="V27" s="75"/>
      <c r="W27" s="75"/>
      <c r="X27" s="75"/>
      <c r="Y27" s="10"/>
      <c r="Z27" s="11"/>
      <c r="AA27" s="633"/>
      <c r="AB27" s="633"/>
      <c r="AC27" s="633"/>
      <c r="AD27" s="633"/>
      <c r="AE27" s="633"/>
      <c r="AF27" s="633"/>
      <c r="AG27" s="633"/>
      <c r="AH27" s="633"/>
      <c r="AI27" s="633"/>
      <c r="AJ27" s="633"/>
    </row>
    <row r="28" spans="1:36" ht="16.5" thickBot="1" x14ac:dyDescent="0.25">
      <c r="A28" s="214"/>
      <c r="B28" s="10"/>
      <c r="C28" s="846" t="s">
        <v>615</v>
      </c>
      <c r="D28" s="846"/>
      <c r="E28" s="846"/>
      <c r="F28" s="846"/>
      <c r="G28" s="846"/>
      <c r="H28" s="846"/>
      <c r="I28" s="846"/>
      <c r="J28" s="10"/>
      <c r="K28" s="75"/>
      <c r="L28" s="75"/>
      <c r="M28" s="75"/>
      <c r="N28" s="75"/>
      <c r="O28" s="79"/>
      <c r="P28" s="76"/>
      <c r="Q28" s="76"/>
      <c r="R28" s="76"/>
      <c r="S28" s="75"/>
      <c r="T28" s="75"/>
      <c r="U28" s="75"/>
      <c r="V28" s="75"/>
      <c r="W28" s="75"/>
      <c r="X28" s="75"/>
      <c r="Y28" s="10"/>
      <c r="Z28" s="11"/>
      <c r="AA28" s="633"/>
      <c r="AB28" s="633"/>
      <c r="AC28" s="633"/>
      <c r="AD28" s="633"/>
      <c r="AE28" s="633"/>
      <c r="AF28" s="633"/>
      <c r="AG28" s="633"/>
      <c r="AH28" s="633"/>
      <c r="AI28" s="633"/>
      <c r="AJ28" s="633"/>
    </row>
    <row r="29" spans="1:36" ht="16.5" thickBot="1" x14ac:dyDescent="0.25">
      <c r="A29" s="214"/>
      <c r="B29" s="10"/>
      <c r="C29" s="106" t="s">
        <v>578</v>
      </c>
      <c r="D29" s="106"/>
      <c r="E29" s="106"/>
      <c r="F29" s="106"/>
      <c r="G29" s="106"/>
      <c r="H29" s="106"/>
      <c r="I29" s="106"/>
      <c r="J29" s="10"/>
      <c r="K29" s="834" cm="1">
        <f t="array" ref="K29">INDEX(DataSheet1!$A$8:$DD$317,$F$1,7)</f>
        <v>39735475</v>
      </c>
      <c r="L29" s="835"/>
      <c r="M29" s="75"/>
      <c r="N29" s="75"/>
      <c r="O29" s="79"/>
      <c r="P29" s="76"/>
      <c r="Q29" s="76"/>
      <c r="R29" s="76"/>
      <c r="S29" s="75"/>
      <c r="T29" s="75"/>
      <c r="U29" s="75"/>
      <c r="V29" s="75"/>
      <c r="W29" s="75"/>
      <c r="X29" s="75"/>
      <c r="Y29" s="2"/>
      <c r="Z29" s="51"/>
      <c r="AA29" s="633"/>
      <c r="AB29" s="633"/>
      <c r="AC29" s="633"/>
      <c r="AD29" s="633"/>
      <c r="AE29" s="633"/>
      <c r="AF29" s="633"/>
      <c r="AG29" s="633"/>
      <c r="AH29" s="633"/>
      <c r="AI29" s="633"/>
      <c r="AJ29" s="633"/>
    </row>
    <row r="30" spans="1:36" ht="15.75" thickBot="1" x14ac:dyDescent="0.25">
      <c r="A30" s="214"/>
      <c r="B30" s="10"/>
      <c r="C30" s="106"/>
      <c r="D30" s="106"/>
      <c r="E30" s="106"/>
      <c r="F30" s="106"/>
      <c r="G30" s="106"/>
      <c r="H30" s="106"/>
      <c r="I30" s="106"/>
      <c r="J30" s="10"/>
      <c r="K30" s="75"/>
      <c r="L30" s="75"/>
      <c r="M30" s="75"/>
      <c r="N30" s="75"/>
      <c r="O30" s="79"/>
      <c r="P30" s="76"/>
      <c r="Q30" s="76"/>
      <c r="R30" s="76"/>
      <c r="S30" s="75"/>
      <c r="T30" s="75"/>
      <c r="U30" s="75"/>
      <c r="V30" s="75"/>
      <c r="W30" s="75"/>
      <c r="X30" s="75"/>
      <c r="Y30" s="10"/>
      <c r="Z30" s="11"/>
      <c r="AA30" s="633"/>
      <c r="AB30" s="633"/>
      <c r="AC30" s="633"/>
      <c r="AD30" s="633"/>
      <c r="AE30" s="633"/>
      <c r="AF30" s="633"/>
      <c r="AG30" s="633"/>
      <c r="AH30" s="633"/>
      <c r="AI30" s="633"/>
      <c r="AJ30" s="633"/>
    </row>
    <row r="31" spans="1:36" ht="16.5" thickBot="1" x14ac:dyDescent="0.25">
      <c r="A31" s="214"/>
      <c r="B31" s="10"/>
      <c r="C31" s="106" t="s">
        <v>579</v>
      </c>
      <c r="D31" s="106"/>
      <c r="E31" s="106"/>
      <c r="F31" s="106"/>
      <c r="G31" s="106"/>
      <c r="H31" s="106"/>
      <c r="I31" s="106"/>
      <c r="J31" s="10"/>
      <c r="K31" s="834" cm="1">
        <f t="array" ref="K31">INDEX(DataSheet1!$A$8:$DD$317,$F$1,8)</f>
        <v>97501972</v>
      </c>
      <c r="L31" s="835"/>
      <c r="M31" s="75"/>
      <c r="N31" s="75"/>
      <c r="O31" s="79"/>
      <c r="P31" s="76"/>
      <c r="Q31" s="76"/>
      <c r="R31" s="76"/>
      <c r="S31" s="75"/>
      <c r="T31" s="75"/>
      <c r="U31" s="75"/>
      <c r="V31" s="75"/>
      <c r="W31" s="75"/>
      <c r="X31" s="75"/>
      <c r="Y31" s="2"/>
      <c r="Z31" s="51"/>
      <c r="AA31" s="633"/>
      <c r="AB31" s="633"/>
      <c r="AC31" s="633"/>
      <c r="AD31" s="633"/>
      <c r="AE31" s="633"/>
      <c r="AF31" s="633"/>
      <c r="AG31" s="633"/>
      <c r="AH31" s="633"/>
      <c r="AI31" s="633"/>
      <c r="AJ31" s="633"/>
    </row>
    <row r="32" spans="1:36" x14ac:dyDescent="0.2">
      <c r="A32" s="214"/>
      <c r="B32" s="10"/>
      <c r="C32" s="106"/>
      <c r="D32" s="106"/>
      <c r="E32" s="106"/>
      <c r="F32" s="106"/>
      <c r="G32" s="106"/>
      <c r="H32" s="106"/>
      <c r="I32" s="106"/>
      <c r="J32" s="10"/>
      <c r="K32" s="75"/>
      <c r="L32" s="75"/>
      <c r="M32" s="75"/>
      <c r="N32" s="75"/>
      <c r="O32" s="79"/>
      <c r="P32" s="76"/>
      <c r="Q32" s="76"/>
      <c r="R32" s="76"/>
      <c r="S32" s="75"/>
      <c r="T32" s="75"/>
      <c r="U32" s="75"/>
      <c r="V32" s="75"/>
      <c r="W32" s="75"/>
      <c r="X32" s="75"/>
      <c r="Y32" s="10"/>
      <c r="Z32" s="11"/>
      <c r="AA32" s="633"/>
      <c r="AB32" s="633"/>
      <c r="AC32" s="633"/>
      <c r="AD32" s="633"/>
      <c r="AE32" s="633"/>
      <c r="AF32" s="633"/>
      <c r="AG32" s="633"/>
      <c r="AH32" s="633"/>
      <c r="AI32" s="633"/>
      <c r="AJ32" s="633"/>
    </row>
    <row r="33" spans="1:36" ht="16.5" thickBot="1" x14ac:dyDescent="0.25">
      <c r="A33" s="214"/>
      <c r="B33" s="10"/>
      <c r="C33" s="87" t="s">
        <v>31</v>
      </c>
      <c r="D33" s="87"/>
      <c r="E33" s="87"/>
      <c r="F33" s="87"/>
      <c r="G33" s="106"/>
      <c r="H33" s="106"/>
      <c r="I33" s="106"/>
      <c r="J33" s="10"/>
      <c r="K33" s="75"/>
      <c r="L33" s="75"/>
      <c r="M33" s="75"/>
      <c r="N33" s="75"/>
      <c r="O33" s="79"/>
      <c r="P33" s="76"/>
      <c r="Q33" s="76"/>
      <c r="R33" s="76"/>
      <c r="S33" s="75"/>
      <c r="T33" s="75"/>
      <c r="U33" s="75"/>
      <c r="V33" s="75"/>
      <c r="W33" s="75"/>
      <c r="X33" s="75"/>
      <c r="Y33" s="10"/>
      <c r="Z33" s="11"/>
      <c r="AA33" s="633"/>
      <c r="AB33" s="633"/>
      <c r="AC33" s="633"/>
      <c r="AD33" s="633"/>
      <c r="AE33" s="633"/>
      <c r="AF33" s="633"/>
      <c r="AG33" s="633"/>
      <c r="AH33" s="633"/>
      <c r="AI33" s="633"/>
      <c r="AJ33" s="633"/>
    </row>
    <row r="34" spans="1:36" ht="16.5" thickBot="1" x14ac:dyDescent="0.25">
      <c r="A34" s="214"/>
      <c r="B34" s="10"/>
      <c r="C34" s="106" t="s">
        <v>603</v>
      </c>
      <c r="D34" s="106"/>
      <c r="E34" s="106"/>
      <c r="F34" s="106"/>
      <c r="G34" s="106"/>
      <c r="H34" s="106"/>
      <c r="I34" s="106"/>
      <c r="J34" s="10"/>
      <c r="K34" s="832" cm="1">
        <f t="array" ref="K34">INDEX(DataSheet1!$A$8:$DD$317,$F$1,9)</f>
        <v>84000014</v>
      </c>
      <c r="L34" s="833"/>
      <c r="M34" s="75"/>
      <c r="N34" s="204"/>
      <c r="O34" s="107"/>
      <c r="P34" s="76"/>
      <c r="Q34" s="76"/>
      <c r="R34" s="76"/>
      <c r="S34" s="75"/>
      <c r="T34" s="75"/>
      <c r="U34" s="75"/>
      <c r="V34" s="75"/>
      <c r="W34" s="75"/>
      <c r="X34" s="75"/>
      <c r="Y34" s="2"/>
      <c r="Z34" s="51"/>
      <c r="AA34" s="633"/>
      <c r="AB34" s="633"/>
      <c r="AC34" s="633"/>
      <c r="AD34" s="633"/>
      <c r="AE34" s="633"/>
      <c r="AF34" s="633"/>
      <c r="AG34" s="633"/>
      <c r="AH34" s="633"/>
      <c r="AI34" s="633"/>
      <c r="AJ34" s="633"/>
    </row>
    <row r="35" spans="1:36" ht="16.5" thickBot="1" x14ac:dyDescent="0.25">
      <c r="A35" s="214"/>
      <c r="B35" s="10"/>
      <c r="C35" s="106"/>
      <c r="D35" s="106"/>
      <c r="E35" s="106"/>
      <c r="F35" s="106"/>
      <c r="G35" s="106"/>
      <c r="H35" s="106"/>
      <c r="I35" s="106"/>
      <c r="J35" s="10"/>
      <c r="K35" s="108"/>
      <c r="L35" s="75"/>
      <c r="M35" s="75"/>
      <c r="N35" s="75"/>
      <c r="O35" s="79"/>
      <c r="P35" s="76"/>
      <c r="Q35" s="76"/>
      <c r="R35" s="76"/>
      <c r="S35" s="75"/>
      <c r="T35" s="75"/>
      <c r="U35" s="75"/>
      <c r="V35" s="75"/>
      <c r="W35" s="75"/>
      <c r="X35" s="75"/>
      <c r="Y35" s="10"/>
      <c r="Z35" s="11"/>
      <c r="AA35" s="633"/>
      <c r="AB35" s="633"/>
      <c r="AC35" s="633"/>
      <c r="AD35" s="633"/>
      <c r="AE35" s="633"/>
      <c r="AF35" s="633"/>
      <c r="AG35" s="633"/>
      <c r="AH35" s="633"/>
      <c r="AI35" s="633"/>
      <c r="AJ35" s="633"/>
    </row>
    <row r="36" spans="1:36" ht="16.5" thickBot="1" x14ac:dyDescent="0.25">
      <c r="A36" s="214"/>
      <c r="B36" s="10"/>
      <c r="C36" s="106" t="s">
        <v>601</v>
      </c>
      <c r="D36" s="106"/>
      <c r="E36" s="106"/>
      <c r="F36" s="106"/>
      <c r="G36" s="106"/>
      <c r="H36" s="106"/>
      <c r="I36" s="106"/>
      <c r="J36" s="10"/>
      <c r="K36" s="827" cm="1">
        <f t="array" ref="K36">INDEX(DataSheet1!$A$8:$DD$317,$F$1,10)</f>
        <v>0</v>
      </c>
      <c r="L36" s="828"/>
      <c r="M36" s="75"/>
      <c r="N36" s="75"/>
      <c r="O36" s="79"/>
      <c r="P36" s="76"/>
      <c r="Q36" s="76"/>
      <c r="R36" s="76"/>
      <c r="S36" s="75"/>
      <c r="T36" s="75"/>
      <c r="U36" s="75"/>
      <c r="V36" s="75"/>
      <c r="W36" s="75"/>
      <c r="X36" s="75"/>
      <c r="Y36" s="2"/>
      <c r="Z36" s="51"/>
      <c r="AA36" s="633"/>
      <c r="AB36" s="633"/>
      <c r="AC36" s="633"/>
      <c r="AD36" s="633"/>
      <c r="AE36" s="633"/>
      <c r="AF36" s="633"/>
      <c r="AG36" s="633"/>
      <c r="AH36" s="633"/>
      <c r="AI36" s="633"/>
      <c r="AJ36" s="633"/>
    </row>
    <row r="37" spans="1:36" ht="16.5" thickBot="1" x14ac:dyDescent="0.25">
      <c r="A37" s="214"/>
      <c r="B37" s="10"/>
      <c r="C37" s="106"/>
      <c r="D37" s="106"/>
      <c r="E37" s="106"/>
      <c r="F37" s="106"/>
      <c r="G37" s="106"/>
      <c r="H37" s="106"/>
      <c r="I37" s="106"/>
      <c r="J37" s="10"/>
      <c r="K37" s="108"/>
      <c r="L37" s="75"/>
      <c r="M37" s="75"/>
      <c r="N37" s="75"/>
      <c r="O37" s="79"/>
      <c r="P37" s="76"/>
      <c r="Q37" s="76"/>
      <c r="R37" s="76"/>
      <c r="S37" s="75"/>
      <c r="T37" s="75"/>
      <c r="U37" s="75"/>
      <c r="V37" s="75"/>
      <c r="W37" s="75"/>
      <c r="X37" s="75"/>
      <c r="Y37" s="10"/>
      <c r="Z37" s="11"/>
      <c r="AA37" s="633"/>
      <c r="AB37" s="633"/>
      <c r="AC37" s="633"/>
      <c r="AD37" s="633"/>
      <c r="AE37" s="633"/>
      <c r="AF37" s="633"/>
      <c r="AG37" s="633"/>
      <c r="AH37" s="633"/>
      <c r="AI37" s="633"/>
      <c r="AJ37" s="633"/>
    </row>
    <row r="38" spans="1:36" ht="16.5" thickBot="1" x14ac:dyDescent="0.25">
      <c r="A38" s="214"/>
      <c r="B38" s="10"/>
      <c r="C38" s="106" t="s">
        <v>602</v>
      </c>
      <c r="D38" s="106"/>
      <c r="E38" s="106"/>
      <c r="F38" s="106"/>
      <c r="G38" s="106"/>
      <c r="H38" s="106"/>
      <c r="I38" s="106"/>
      <c r="J38" s="10"/>
      <c r="K38" s="852" cm="1">
        <f t="array" ref="K38">INDEX(DataSheet1!$A$8:$DD$317,$F$1,11)</f>
        <v>84000014</v>
      </c>
      <c r="L38" s="853"/>
      <c r="M38" s="75"/>
      <c r="N38" s="75"/>
      <c r="O38" s="79"/>
      <c r="P38" s="76"/>
      <c r="Q38" s="76"/>
      <c r="R38" s="76"/>
      <c r="S38" s="75"/>
      <c r="T38" s="75"/>
      <c r="U38" s="75"/>
      <c r="V38" s="75"/>
      <c r="W38" s="75"/>
      <c r="X38" s="75"/>
      <c r="Y38" s="2"/>
      <c r="Z38" s="51"/>
      <c r="AA38" s="633"/>
      <c r="AB38" s="633"/>
      <c r="AC38" s="633"/>
      <c r="AD38" s="633"/>
      <c r="AE38" s="633"/>
      <c r="AF38" s="633"/>
      <c r="AG38" s="633"/>
      <c r="AH38" s="633"/>
      <c r="AI38" s="633"/>
      <c r="AJ38" s="633"/>
    </row>
    <row r="39" spans="1:36" ht="15.75" x14ac:dyDescent="0.2">
      <c r="A39" s="214"/>
      <c r="B39" s="10"/>
      <c r="C39" s="106"/>
      <c r="D39" s="106"/>
      <c r="E39" s="106"/>
      <c r="F39" s="106"/>
      <c r="G39" s="106"/>
      <c r="H39" s="106"/>
      <c r="I39" s="106"/>
      <c r="J39" s="10"/>
      <c r="K39" s="108"/>
      <c r="L39" s="75"/>
      <c r="M39" s="75"/>
      <c r="N39" s="75"/>
      <c r="O39" s="79"/>
      <c r="P39" s="76"/>
      <c r="Q39" s="76"/>
      <c r="R39" s="76"/>
      <c r="S39" s="75"/>
      <c r="T39" s="75"/>
      <c r="U39" s="75"/>
      <c r="V39" s="75"/>
      <c r="W39" s="75"/>
      <c r="X39" s="75"/>
      <c r="Y39" s="10"/>
      <c r="Z39" s="11"/>
      <c r="AA39" s="633"/>
      <c r="AB39" s="633"/>
      <c r="AC39" s="633"/>
      <c r="AD39" s="633"/>
      <c r="AE39" s="633"/>
      <c r="AF39" s="633"/>
      <c r="AG39" s="633"/>
      <c r="AH39" s="633"/>
      <c r="AI39" s="633"/>
      <c r="AJ39" s="633"/>
    </row>
    <row r="40" spans="1:36" ht="16.5" thickBot="1" x14ac:dyDescent="0.25">
      <c r="A40" s="214"/>
      <c r="B40" s="10"/>
      <c r="C40" s="87" t="s">
        <v>604</v>
      </c>
      <c r="D40" s="106"/>
      <c r="E40" s="106"/>
      <c r="F40" s="106"/>
      <c r="G40" s="106"/>
      <c r="H40" s="106"/>
      <c r="I40" s="106"/>
      <c r="J40" s="10"/>
      <c r="K40" s="108"/>
      <c r="L40" s="75"/>
      <c r="M40" s="75"/>
      <c r="N40" s="75"/>
      <c r="O40" s="79"/>
      <c r="P40" s="76"/>
      <c r="Q40" s="76"/>
      <c r="R40" s="76"/>
      <c r="S40" s="75"/>
      <c r="T40" s="75"/>
      <c r="U40" s="75"/>
      <c r="V40" s="75"/>
      <c r="W40" s="75"/>
      <c r="X40" s="75"/>
      <c r="Y40" s="10"/>
      <c r="Z40" s="11"/>
      <c r="AA40" s="633"/>
      <c r="AB40" s="633"/>
      <c r="AC40" s="633"/>
      <c r="AD40" s="633"/>
      <c r="AE40" s="633"/>
      <c r="AF40" s="633"/>
      <c r="AG40" s="633"/>
      <c r="AH40" s="633"/>
      <c r="AI40" s="633"/>
      <c r="AJ40" s="633"/>
    </row>
    <row r="41" spans="1:36" ht="16.5" thickBot="1" x14ac:dyDescent="0.25">
      <c r="A41" s="214"/>
      <c r="B41" s="10"/>
      <c r="C41" s="27" t="str">
        <f>+IF($L$15="E5010","7. City of London Offset","7. City of London Offset : Not applicable for your authority")</f>
        <v>7. City of London Offset : Not applicable for your authority</v>
      </c>
      <c r="D41" s="106"/>
      <c r="E41" s="106"/>
      <c r="F41" s="106"/>
      <c r="G41" s="106"/>
      <c r="H41" s="106"/>
      <c r="I41" s="106"/>
      <c r="J41" s="10"/>
      <c r="K41" s="854" cm="1">
        <f t="array" ref="K41">INDEX(DataSheet1!$A$8:$DD$317,$F$1,12)</f>
        <v>12064000</v>
      </c>
      <c r="L41" s="855"/>
      <c r="M41" s="75"/>
      <c r="N41" s="204"/>
      <c r="O41" s="79"/>
      <c r="P41" s="76"/>
      <c r="Q41" s="76"/>
      <c r="R41" s="76"/>
      <c r="S41" s="75"/>
      <c r="T41" s="75"/>
      <c r="U41" s="75"/>
      <c r="V41" s="75"/>
      <c r="W41" s="75"/>
      <c r="X41" s="75"/>
      <c r="Y41" s="10"/>
      <c r="Z41" s="11"/>
      <c r="AA41" s="633"/>
      <c r="AB41" s="633"/>
      <c r="AC41" s="633"/>
      <c r="AD41" s="633"/>
      <c r="AE41" s="633"/>
      <c r="AF41" s="633"/>
      <c r="AG41" s="633"/>
      <c r="AH41" s="633"/>
      <c r="AI41" s="633"/>
      <c r="AJ41" s="633"/>
    </row>
    <row r="42" spans="1:36" ht="15.75" x14ac:dyDescent="0.2">
      <c r="A42" s="214"/>
      <c r="B42" s="10"/>
      <c r="C42" s="106"/>
      <c r="D42" s="106"/>
      <c r="E42" s="106"/>
      <c r="F42" s="106"/>
      <c r="G42" s="106"/>
      <c r="H42" s="106"/>
      <c r="I42" s="106"/>
      <c r="J42" s="10"/>
      <c r="K42" s="108"/>
      <c r="L42" s="75"/>
      <c r="M42" s="75"/>
      <c r="N42" s="75"/>
      <c r="O42" s="79"/>
      <c r="P42" s="76"/>
      <c r="Q42" s="76"/>
      <c r="R42" s="76"/>
      <c r="S42" s="75"/>
      <c r="T42" s="75"/>
      <c r="U42" s="75"/>
      <c r="V42" s="75"/>
      <c r="W42" s="75"/>
      <c r="X42" s="75"/>
      <c r="Y42" s="10"/>
      <c r="Z42" s="11"/>
      <c r="AA42" s="633"/>
      <c r="AB42" s="633"/>
      <c r="AC42" s="633"/>
      <c r="AD42" s="633"/>
      <c r="AE42" s="633"/>
      <c r="AF42" s="633"/>
      <c r="AG42" s="633"/>
      <c r="AH42" s="633"/>
      <c r="AI42" s="633"/>
      <c r="AJ42" s="633"/>
    </row>
    <row r="43" spans="1:36" ht="16.5" thickBot="1" x14ac:dyDescent="0.25">
      <c r="A43" s="214"/>
      <c r="B43" s="10"/>
      <c r="C43" s="87" t="s">
        <v>617</v>
      </c>
      <c r="D43" s="106"/>
      <c r="E43" s="106"/>
      <c r="F43" s="106"/>
      <c r="G43" s="106"/>
      <c r="H43" s="106"/>
      <c r="I43" s="106"/>
      <c r="J43" s="10"/>
      <c r="K43" s="75"/>
      <c r="L43" s="75"/>
      <c r="M43" s="75"/>
      <c r="N43" s="75"/>
      <c r="O43" s="79"/>
      <c r="P43" s="76"/>
      <c r="Q43" s="76"/>
      <c r="R43" s="76"/>
      <c r="S43" s="75"/>
      <c r="T43" s="75"/>
      <c r="U43" s="75"/>
      <c r="V43" s="75"/>
      <c r="W43" s="75"/>
      <c r="X43" s="75"/>
      <c r="Y43" s="10"/>
      <c r="Z43" s="11"/>
      <c r="AA43" s="633"/>
      <c r="AB43" s="633"/>
      <c r="AC43" s="633"/>
      <c r="AD43" s="633"/>
      <c r="AE43" s="633"/>
      <c r="AF43" s="633"/>
      <c r="AG43" s="633"/>
      <c r="AH43" s="633"/>
      <c r="AI43" s="633"/>
      <c r="AJ43" s="633"/>
    </row>
    <row r="44" spans="1:36" ht="16.5" thickBot="1" x14ac:dyDescent="0.25">
      <c r="A44" s="214"/>
      <c r="B44" s="10"/>
      <c r="C44" s="862" t="s">
        <v>812</v>
      </c>
      <c r="D44" s="862"/>
      <c r="E44" s="862"/>
      <c r="F44" s="862"/>
      <c r="G44" s="862"/>
      <c r="H44" s="862"/>
      <c r="I44" s="862"/>
      <c r="J44" s="10"/>
      <c r="K44" s="834" cm="1">
        <f t="array" ref="K44">INDEX(DataSheet1!$A$8:$DD$317,$F$1,13)</f>
        <v>100108675</v>
      </c>
      <c r="L44" s="835"/>
      <c r="M44" s="75"/>
      <c r="N44" s="75"/>
      <c r="O44" s="79"/>
      <c r="P44" s="76"/>
      <c r="Q44" s="76"/>
      <c r="R44" s="76"/>
      <c r="S44" s="75"/>
      <c r="T44" s="75"/>
      <c r="U44" s="75"/>
      <c r="V44" s="75"/>
      <c r="W44" s="75"/>
      <c r="X44" s="75"/>
      <c r="Y44" s="2"/>
      <c r="Z44" s="51"/>
      <c r="AA44" s="633"/>
      <c r="AB44" s="633"/>
      <c r="AC44" s="633"/>
      <c r="AD44" s="633"/>
      <c r="AE44" s="633"/>
      <c r="AF44" s="633"/>
      <c r="AG44" s="633"/>
      <c r="AH44" s="633"/>
      <c r="AI44" s="633"/>
      <c r="AJ44" s="633"/>
    </row>
    <row r="45" spans="1:36" ht="15.75" thickBot="1" x14ac:dyDescent="0.25">
      <c r="A45" s="214"/>
      <c r="B45" s="10"/>
      <c r="C45" s="862"/>
      <c r="D45" s="862"/>
      <c r="E45" s="862"/>
      <c r="F45" s="862"/>
      <c r="G45" s="862"/>
      <c r="H45" s="862"/>
      <c r="I45" s="862"/>
      <c r="J45" s="10"/>
      <c r="K45" s="75"/>
      <c r="L45" s="75"/>
      <c r="M45" s="75"/>
      <c r="N45" s="75"/>
      <c r="O45" s="79"/>
      <c r="P45" s="76"/>
      <c r="Q45" s="840"/>
      <c r="R45" s="840"/>
      <c r="S45" s="840"/>
      <c r="T45" s="840"/>
      <c r="U45" s="840"/>
      <c r="V45" s="840"/>
      <c r="W45" s="840"/>
      <c r="X45" s="75"/>
      <c r="Y45" s="10"/>
      <c r="Z45" s="11"/>
      <c r="AA45" s="633"/>
      <c r="AB45" s="633"/>
      <c r="AC45" s="633"/>
      <c r="AD45" s="633"/>
      <c r="AE45" s="633"/>
      <c r="AF45" s="633"/>
      <c r="AG45" s="633"/>
      <c r="AH45" s="633"/>
      <c r="AI45" s="633"/>
      <c r="AJ45" s="633"/>
    </row>
    <row r="46" spans="1:36" ht="16.5" thickBot="1" x14ac:dyDescent="0.25">
      <c r="A46" s="214"/>
      <c r="B46" s="10"/>
      <c r="C46" s="845" t="s">
        <v>1052</v>
      </c>
      <c r="D46" s="845"/>
      <c r="E46" s="845"/>
      <c r="F46" s="845"/>
      <c r="G46" s="845"/>
      <c r="H46" s="845"/>
      <c r="I46" s="845"/>
      <c r="J46" s="10"/>
      <c r="K46" s="834" cm="1">
        <f t="array" ref="K46">INDEX(DataSheet1!$A$8:$DD$317,$F$1,14)</f>
        <v>86843040</v>
      </c>
      <c r="L46" s="835"/>
      <c r="M46" s="75"/>
      <c r="N46" s="204"/>
      <c r="O46" s="79"/>
      <c r="P46" s="76"/>
      <c r="Q46" s="76"/>
      <c r="R46" s="76"/>
      <c r="S46" s="75"/>
      <c r="T46" s="75"/>
      <c r="U46" s="75"/>
      <c r="V46" s="75"/>
      <c r="W46" s="75"/>
      <c r="X46" s="75"/>
      <c r="Y46" s="2"/>
      <c r="Z46" s="51"/>
      <c r="AA46" s="633"/>
      <c r="AB46" s="633"/>
      <c r="AC46" s="633"/>
      <c r="AD46" s="633"/>
      <c r="AE46" s="633"/>
      <c r="AF46" s="633"/>
      <c r="AG46" s="633"/>
      <c r="AH46" s="633"/>
      <c r="AI46" s="633"/>
      <c r="AJ46" s="633"/>
    </row>
    <row r="47" spans="1:36" x14ac:dyDescent="0.2">
      <c r="A47" s="214"/>
      <c r="B47" s="10"/>
      <c r="C47" s="845"/>
      <c r="D47" s="845"/>
      <c r="E47" s="845"/>
      <c r="F47" s="845"/>
      <c r="G47" s="845"/>
      <c r="H47" s="845"/>
      <c r="I47" s="845"/>
      <c r="J47" s="10"/>
      <c r="K47" s="75"/>
      <c r="L47" s="75"/>
      <c r="M47" s="75"/>
      <c r="N47" s="75"/>
      <c r="O47" s="79"/>
      <c r="P47" s="76"/>
      <c r="Q47" s="76"/>
      <c r="R47" s="76"/>
      <c r="S47" s="75"/>
      <c r="T47" s="75"/>
      <c r="U47" s="75"/>
      <c r="V47" s="75"/>
      <c r="W47" s="75"/>
      <c r="X47" s="75"/>
      <c r="Y47" s="10"/>
      <c r="Z47" s="11"/>
      <c r="AA47" s="633"/>
      <c r="AB47" s="633"/>
      <c r="AC47" s="633"/>
      <c r="AD47" s="633"/>
      <c r="AE47" s="633"/>
      <c r="AF47" s="633"/>
      <c r="AG47" s="633"/>
      <c r="AH47" s="633"/>
      <c r="AI47" s="633"/>
      <c r="AJ47" s="633"/>
    </row>
    <row r="48" spans="1:36" ht="15.75" thickBot="1" x14ac:dyDescent="0.25">
      <c r="A48" s="214"/>
      <c r="B48" s="10"/>
      <c r="C48" s="212" t="s">
        <v>34</v>
      </c>
      <c r="D48" s="10"/>
      <c r="E48" s="10"/>
      <c r="F48" s="10"/>
      <c r="G48" s="10"/>
      <c r="H48" s="10"/>
      <c r="I48" s="10"/>
      <c r="J48" s="10"/>
      <c r="K48" s="75"/>
      <c r="L48" s="75"/>
      <c r="M48" s="75"/>
      <c r="N48" s="75"/>
      <c r="O48" s="79"/>
      <c r="P48" s="76"/>
      <c r="Q48" s="76"/>
      <c r="R48" s="76"/>
      <c r="S48" s="75"/>
      <c r="T48" s="75"/>
      <c r="U48" s="75"/>
      <c r="V48" s="75"/>
      <c r="W48" s="75"/>
      <c r="X48" s="75"/>
      <c r="Y48" s="10"/>
      <c r="Z48" s="11"/>
      <c r="AA48" s="633"/>
      <c r="AB48" s="633"/>
      <c r="AC48" s="633"/>
      <c r="AD48" s="633"/>
      <c r="AE48" s="633"/>
      <c r="AF48" s="633"/>
      <c r="AG48" s="633"/>
      <c r="AH48" s="633"/>
      <c r="AI48" s="633"/>
      <c r="AJ48" s="633"/>
    </row>
    <row r="49" spans="1:106" ht="16.5" thickBot="1" x14ac:dyDescent="0.25">
      <c r="A49" s="214"/>
      <c r="B49" s="10"/>
      <c r="C49" s="10" t="s">
        <v>1094</v>
      </c>
      <c r="D49" s="10"/>
      <c r="E49" s="10"/>
      <c r="F49" s="10"/>
      <c r="G49" s="10"/>
      <c r="H49" s="10"/>
      <c r="I49" s="10"/>
      <c r="J49" s="10"/>
      <c r="K49" s="827" cm="1">
        <f t="array" ref="K49">INDEX(DataSheet1!$A$8:$DD$317,$F$1,15)</f>
        <v>82280059</v>
      </c>
      <c r="L49" s="828"/>
      <c r="M49" s="75"/>
      <c r="N49" s="204"/>
      <c r="O49" s="79"/>
      <c r="P49" s="76"/>
      <c r="Q49" s="76"/>
      <c r="R49" s="76"/>
      <c r="S49" s="75"/>
      <c r="T49" s="75"/>
      <c r="U49" s="75"/>
      <c r="V49" s="75"/>
      <c r="W49" s="75"/>
      <c r="X49" s="75"/>
      <c r="Y49" s="10"/>
      <c r="Z49" s="11"/>
      <c r="AA49" s="633"/>
      <c r="AB49" s="633"/>
      <c r="AC49" s="633"/>
      <c r="AD49" s="633"/>
      <c r="AE49" s="633"/>
      <c r="AF49" s="633"/>
      <c r="AG49" s="633"/>
      <c r="AH49" s="633"/>
      <c r="AI49" s="633"/>
      <c r="AJ49" s="633"/>
    </row>
    <row r="50" spans="1:106" ht="16.5" thickBot="1" x14ac:dyDescent="0.25">
      <c r="A50" s="214"/>
      <c r="B50" s="10"/>
      <c r="C50" s="10"/>
      <c r="D50" s="10"/>
      <c r="E50" s="10"/>
      <c r="F50" s="10"/>
      <c r="G50" s="10"/>
      <c r="H50" s="10"/>
      <c r="I50" s="10"/>
      <c r="J50" s="10"/>
      <c r="K50" s="282"/>
      <c r="L50" s="282"/>
      <c r="M50" s="282"/>
      <c r="N50" s="282"/>
      <c r="O50" s="282"/>
      <c r="P50" s="282"/>
      <c r="Q50" s="282"/>
      <c r="R50" s="282"/>
      <c r="S50" s="282"/>
      <c r="T50" s="282"/>
      <c r="U50" s="282"/>
      <c r="V50" s="75"/>
      <c r="W50" s="75"/>
      <c r="X50" s="75"/>
      <c r="Y50" s="10"/>
      <c r="Z50" s="11"/>
      <c r="AA50" s="633"/>
      <c r="AB50" s="633"/>
      <c r="AC50" s="633"/>
      <c r="AD50" s="633"/>
      <c r="AE50" s="633"/>
      <c r="AF50" s="633"/>
      <c r="AG50" s="633"/>
      <c r="AH50" s="633"/>
      <c r="AI50" s="633"/>
      <c r="AJ50" s="633"/>
    </row>
    <row r="51" spans="1:106" ht="16.5" thickBot="1" x14ac:dyDescent="0.25">
      <c r="A51" s="214"/>
      <c r="B51" s="10"/>
      <c r="C51" s="10" t="s">
        <v>1095</v>
      </c>
      <c r="D51" s="10"/>
      <c r="E51" s="10"/>
      <c r="F51" s="10"/>
      <c r="G51" s="10"/>
      <c r="H51" s="10"/>
      <c r="I51" s="10"/>
      <c r="J51" s="10"/>
      <c r="K51" s="829" cm="1">
        <f t="array" ref="K51">INDEX(DataSheet1!$A$8:$DD$317,$F$1,16)</f>
        <v>4562981</v>
      </c>
      <c r="L51" s="830"/>
      <c r="M51" s="75"/>
      <c r="N51" s="204"/>
      <c r="O51" s="79"/>
      <c r="P51" s="76"/>
      <c r="Q51" s="76"/>
      <c r="R51" s="76"/>
      <c r="S51" s="75"/>
      <c r="T51" s="75"/>
      <c r="U51" s="75"/>
      <c r="V51" s="75"/>
      <c r="W51" s="75"/>
      <c r="X51" s="75"/>
      <c r="Y51" s="10"/>
      <c r="Z51" s="11"/>
      <c r="AA51" s="633"/>
      <c r="AB51" s="633"/>
      <c r="AC51" s="633"/>
      <c r="AD51" s="633"/>
      <c r="AE51" s="633"/>
      <c r="AF51" s="633"/>
      <c r="AG51" s="633"/>
      <c r="AH51" s="633"/>
      <c r="AI51" s="633"/>
      <c r="AJ51" s="633"/>
    </row>
    <row r="52" spans="1:106" ht="16.5" thickBot="1" x14ac:dyDescent="0.25">
      <c r="A52" s="214"/>
      <c r="B52" s="10"/>
      <c r="C52" s="10"/>
      <c r="D52" s="10"/>
      <c r="E52" s="10"/>
      <c r="F52" s="10"/>
      <c r="G52" s="10"/>
      <c r="H52" s="10"/>
      <c r="I52" s="10"/>
      <c r="J52" s="10"/>
      <c r="K52" s="867"/>
      <c r="L52" s="868"/>
      <c r="M52" s="868"/>
      <c r="N52" s="868"/>
      <c r="O52" s="868"/>
      <c r="P52" s="868"/>
      <c r="Q52" s="868"/>
      <c r="R52" s="868"/>
      <c r="S52" s="868"/>
      <c r="T52" s="868"/>
      <c r="U52" s="868"/>
      <c r="V52" s="868"/>
      <c r="W52" s="868"/>
      <c r="X52" s="75"/>
      <c r="Y52" s="10"/>
      <c r="Z52" s="11"/>
      <c r="AA52" s="633"/>
      <c r="AB52" s="633"/>
      <c r="AC52" s="633"/>
      <c r="AD52" s="633"/>
      <c r="AE52" s="633"/>
      <c r="AF52" s="633"/>
      <c r="AG52" s="633"/>
      <c r="AH52" s="633"/>
      <c r="AI52" s="633"/>
      <c r="AJ52" s="633"/>
    </row>
    <row r="53" spans="1:106" ht="16.5" thickBot="1" x14ac:dyDescent="0.25">
      <c r="A53" s="214"/>
      <c r="B53" s="10"/>
      <c r="C53" s="862" t="s">
        <v>1096</v>
      </c>
      <c r="D53" s="862"/>
      <c r="E53" s="862"/>
      <c r="F53" s="862"/>
      <c r="G53" s="862"/>
      <c r="H53" s="862"/>
      <c r="I53" s="862"/>
      <c r="J53" s="10"/>
      <c r="K53" s="873" cm="1">
        <f t="array" ref="K53">INDEX(DataSheet1!$A$8:$DD$317,$F$1,17)</f>
        <v>26368</v>
      </c>
      <c r="L53" s="874"/>
      <c r="M53" s="479"/>
      <c r="N53" s="479"/>
      <c r="O53" s="479"/>
      <c r="P53" s="479"/>
      <c r="Q53" s="479"/>
      <c r="R53" s="479"/>
      <c r="S53" s="479"/>
      <c r="T53" s="479"/>
      <c r="U53" s="479"/>
      <c r="V53" s="479"/>
      <c r="W53" s="479"/>
      <c r="X53" s="75"/>
      <c r="Y53" s="10"/>
      <c r="Z53" s="477"/>
      <c r="AA53" s="633"/>
      <c r="AB53" s="633"/>
      <c r="AC53" s="633"/>
      <c r="AD53" s="633"/>
      <c r="AE53" s="633"/>
      <c r="AF53" s="633"/>
      <c r="AG53" s="633"/>
      <c r="AH53" s="633"/>
      <c r="AI53" s="633"/>
      <c r="AJ53" s="633"/>
    </row>
    <row r="54" spans="1:106" ht="15.75" x14ac:dyDescent="0.2">
      <c r="A54" s="214"/>
      <c r="B54" s="10"/>
      <c r="C54" s="862"/>
      <c r="D54" s="862"/>
      <c r="E54" s="862"/>
      <c r="F54" s="862"/>
      <c r="G54" s="862"/>
      <c r="H54" s="862"/>
      <c r="I54" s="862"/>
      <c r="J54" s="10"/>
      <c r="K54" s="538"/>
      <c r="L54" s="538"/>
      <c r="M54" s="479"/>
      <c r="N54" s="479"/>
      <c r="O54" s="479"/>
      <c r="P54" s="479"/>
      <c r="Q54" s="479"/>
      <c r="R54" s="479"/>
      <c r="S54" s="479"/>
      <c r="T54" s="479"/>
      <c r="U54" s="479"/>
      <c r="V54" s="479"/>
      <c r="W54" s="479"/>
      <c r="X54" s="75"/>
      <c r="Y54" s="10"/>
      <c r="Z54" s="477"/>
      <c r="AA54" s="633"/>
      <c r="AB54" s="633"/>
      <c r="AC54" s="633"/>
      <c r="AD54" s="633"/>
      <c r="AE54" s="633"/>
      <c r="AF54" s="633"/>
      <c r="AG54" s="633"/>
      <c r="AH54" s="633"/>
      <c r="AI54" s="633"/>
      <c r="AJ54" s="633"/>
    </row>
    <row r="55" spans="1:106" ht="15.75" x14ac:dyDescent="0.2">
      <c r="A55" s="214"/>
      <c r="B55" s="10"/>
      <c r="C55" s="10"/>
      <c r="D55" s="10"/>
      <c r="E55" s="10"/>
      <c r="F55" s="10"/>
      <c r="G55" s="10"/>
      <c r="H55" s="10"/>
      <c r="I55" s="10"/>
      <c r="J55" s="10"/>
      <c r="K55" s="474"/>
      <c r="L55" s="479"/>
      <c r="M55" s="479"/>
      <c r="N55" s="479"/>
      <c r="O55" s="479"/>
      <c r="P55" s="479"/>
      <c r="Q55" s="479"/>
      <c r="R55" s="479"/>
      <c r="S55" s="479"/>
      <c r="T55" s="479"/>
      <c r="U55" s="479"/>
      <c r="V55" s="479"/>
      <c r="W55" s="479"/>
      <c r="X55" s="75"/>
      <c r="Y55" s="10"/>
      <c r="Z55" s="477"/>
      <c r="AA55" s="633"/>
      <c r="AB55" s="633"/>
      <c r="AC55" s="633"/>
      <c r="AD55" s="633"/>
      <c r="AE55" s="633"/>
      <c r="AF55" s="633"/>
      <c r="AG55" s="633"/>
      <c r="AH55" s="633"/>
      <c r="AI55" s="633"/>
      <c r="AJ55" s="633"/>
    </row>
    <row r="56" spans="1:106" ht="16.5" thickBot="1" x14ac:dyDescent="0.3">
      <c r="A56" s="214"/>
      <c r="B56" s="10"/>
      <c r="C56" s="16" t="s">
        <v>616</v>
      </c>
      <c r="D56" s="16"/>
      <c r="E56" s="16"/>
      <c r="F56" s="16"/>
      <c r="G56" s="16"/>
      <c r="H56" s="10"/>
      <c r="I56" s="10"/>
      <c r="J56" s="10"/>
      <c r="K56" s="75"/>
      <c r="L56" s="75"/>
      <c r="M56" s="75"/>
      <c r="N56" s="75"/>
      <c r="O56" s="79"/>
      <c r="P56" s="76"/>
      <c r="Q56" s="76"/>
      <c r="R56" s="76"/>
      <c r="S56" s="75"/>
      <c r="T56" s="75"/>
      <c r="U56" s="75"/>
      <c r="V56" s="75"/>
      <c r="W56" s="75"/>
      <c r="X56" s="75"/>
      <c r="Y56" s="10"/>
      <c r="Z56" s="11"/>
      <c r="AA56" s="633"/>
      <c r="AB56" s="633"/>
      <c r="AC56" s="633"/>
      <c r="AD56" s="633"/>
      <c r="AE56" s="633"/>
      <c r="AF56" s="633"/>
      <c r="AG56" s="633"/>
      <c r="AH56" s="633"/>
      <c r="AI56" s="633"/>
      <c r="AJ56" s="633"/>
    </row>
    <row r="57" spans="1:106" ht="16.5" thickBot="1" x14ac:dyDescent="0.25">
      <c r="A57" s="214"/>
      <c r="B57" s="10"/>
      <c r="C57" s="10" t="s">
        <v>1107</v>
      </c>
      <c r="D57" s="10"/>
      <c r="E57" s="10"/>
      <c r="F57" s="10"/>
      <c r="G57" s="10"/>
      <c r="H57" s="10"/>
      <c r="I57" s="10"/>
      <c r="J57" s="10"/>
      <c r="K57" s="824" cm="1">
        <f t="array" ref="K57">INDEX(DataSheet1!$A$8:$DD$317,$F$1,18)</f>
        <v>25124007322</v>
      </c>
      <c r="L57" s="825"/>
      <c r="M57" s="75"/>
      <c r="N57" s="836"/>
      <c r="O57" s="836"/>
      <c r="P57" s="861"/>
      <c r="Q57" s="861"/>
      <c r="R57" s="861"/>
      <c r="S57" s="107"/>
      <c r="T57" s="80"/>
      <c r="U57" s="80"/>
      <c r="V57" s="80"/>
      <c r="W57" s="80"/>
      <c r="X57" s="75"/>
      <c r="Y57" s="310"/>
      <c r="Z57" s="51"/>
      <c r="AA57" s="633"/>
      <c r="AB57" s="633"/>
      <c r="AC57" s="633"/>
      <c r="AD57" s="633"/>
      <c r="AE57" s="633"/>
      <c r="AF57" s="633"/>
      <c r="AG57" s="633"/>
      <c r="AH57" s="633"/>
      <c r="AI57" s="633"/>
      <c r="AJ57" s="633"/>
    </row>
    <row r="58" spans="1:106" x14ac:dyDescent="0.2">
      <c r="A58" s="215"/>
      <c r="B58" s="88"/>
      <c r="C58" s="88"/>
      <c r="D58" s="88"/>
      <c r="E58" s="88"/>
      <c r="F58" s="88"/>
      <c r="G58" s="88"/>
      <c r="H58" s="88"/>
      <c r="I58" s="88"/>
      <c r="J58" s="88"/>
      <c r="K58" s="88"/>
      <c r="L58" s="88"/>
      <c r="M58" s="88"/>
      <c r="N58" s="88"/>
      <c r="O58" s="89"/>
      <c r="P58" s="90"/>
      <c r="Q58" s="90"/>
      <c r="R58" s="90"/>
      <c r="S58" s="91"/>
      <c r="T58" s="92"/>
      <c r="U58" s="92"/>
      <c r="V58" s="92"/>
      <c r="W58" s="92"/>
      <c r="X58" s="93"/>
      <c r="Y58" s="88"/>
      <c r="Z58" s="94"/>
      <c r="AA58" s="633"/>
      <c r="AB58" s="633"/>
      <c r="AC58" s="633"/>
      <c r="AD58" s="633"/>
      <c r="AE58" s="633"/>
      <c r="AF58" s="633"/>
      <c r="AG58" s="633"/>
      <c r="AH58" s="633"/>
      <c r="AI58" s="633"/>
      <c r="AJ58" s="633"/>
    </row>
    <row r="59" spans="1:106" x14ac:dyDescent="0.2">
      <c r="A59" s="216"/>
      <c r="B59" s="95"/>
      <c r="C59" s="95"/>
      <c r="D59" s="95"/>
      <c r="E59" s="95"/>
      <c r="F59" s="95"/>
      <c r="G59" s="95"/>
      <c r="H59" s="95"/>
      <c r="I59" s="95"/>
      <c r="J59" s="95"/>
      <c r="K59" s="95"/>
      <c r="L59" s="95"/>
      <c r="M59" s="95"/>
      <c r="N59" s="95"/>
      <c r="O59" s="96"/>
      <c r="P59" s="97"/>
      <c r="Q59" s="97"/>
      <c r="R59" s="97"/>
      <c r="S59" s="98"/>
      <c r="T59" s="99"/>
      <c r="U59" s="99"/>
      <c r="V59" s="99"/>
      <c r="W59" s="99"/>
      <c r="X59" s="100"/>
      <c r="Y59" s="95"/>
      <c r="Z59" s="104"/>
      <c r="AA59" s="633"/>
      <c r="AB59" s="633"/>
      <c r="AC59" s="633"/>
      <c r="AD59" s="633"/>
      <c r="AE59" s="633"/>
      <c r="AF59" s="633"/>
      <c r="AG59" s="633"/>
      <c r="AH59" s="633"/>
      <c r="AI59" s="633"/>
      <c r="AJ59" s="633"/>
    </row>
    <row r="60" spans="1:106" ht="15.75" thickBot="1" x14ac:dyDescent="0.25">
      <c r="A60" s="218"/>
      <c r="B60" s="85"/>
      <c r="C60" s="85"/>
      <c r="D60" s="85"/>
      <c r="E60" s="85"/>
      <c r="F60" s="85"/>
      <c r="G60" s="85"/>
      <c r="H60" s="85"/>
      <c r="I60" s="85"/>
      <c r="J60" s="85"/>
      <c r="K60" s="85"/>
      <c r="L60" s="85"/>
      <c r="M60" s="85"/>
      <c r="N60" s="85"/>
      <c r="O60" s="101"/>
      <c r="P60" s="102"/>
      <c r="Q60" s="102"/>
      <c r="R60" s="102"/>
      <c r="S60" s="103"/>
      <c r="T60" s="102"/>
      <c r="U60" s="102"/>
      <c r="V60" s="102"/>
      <c r="W60" s="102"/>
      <c r="X60" s="102"/>
      <c r="Y60" s="85"/>
      <c r="Z60" s="105"/>
      <c r="AA60" s="635"/>
      <c r="AB60" s="635"/>
      <c r="AC60" s="633"/>
      <c r="AD60" s="633"/>
      <c r="AE60" s="633"/>
      <c r="AF60" s="633"/>
      <c r="AG60" s="633"/>
      <c r="AH60" s="633"/>
      <c r="AI60" s="633"/>
      <c r="AJ60" s="633"/>
    </row>
    <row r="61" spans="1:106" s="561" customFormat="1" ht="15.75" thickBot="1" x14ac:dyDescent="0.25">
      <c r="A61" s="214"/>
      <c r="B61" s="10"/>
      <c r="C61" s="10"/>
      <c r="D61" s="10"/>
      <c r="E61" s="10"/>
      <c r="F61" s="10"/>
      <c r="G61" s="10"/>
      <c r="H61" s="10"/>
      <c r="I61" s="10"/>
      <c r="J61" s="10"/>
      <c r="K61" s="10"/>
      <c r="L61" s="10"/>
      <c r="M61" s="10"/>
      <c r="N61" s="10"/>
      <c r="O61" s="80"/>
      <c r="P61" s="75"/>
      <c r="Q61" s="75"/>
      <c r="R61" s="75"/>
      <c r="S61" s="107"/>
      <c r="T61" s="75"/>
      <c r="U61" s="75"/>
      <c r="V61" s="75"/>
      <c r="W61" s="75"/>
      <c r="X61" s="75"/>
      <c r="Y61" s="10"/>
      <c r="Z61" s="11"/>
      <c r="AA61" s="635"/>
      <c r="AB61" s="635"/>
      <c r="AC61" s="633"/>
      <c r="AD61" s="633"/>
      <c r="AE61" s="633"/>
      <c r="AF61" s="633"/>
      <c r="AG61" s="633"/>
      <c r="AH61" s="633"/>
      <c r="AI61" s="633"/>
      <c r="AJ61" s="633"/>
      <c r="AK61" s="9"/>
      <c r="AL61" s="9"/>
      <c r="AM61" s="9"/>
      <c r="AN61" s="9"/>
      <c r="AO61" s="9"/>
      <c r="AP61" s="9"/>
      <c r="AQ61" s="9"/>
      <c r="AR61" s="9"/>
      <c r="AS61" s="9"/>
      <c r="AT61" s="9"/>
      <c r="AU61" s="9"/>
      <c r="AV61" s="9"/>
      <c r="AW61" s="548"/>
      <c r="AX61" s="548"/>
      <c r="AY61" s="548"/>
      <c r="AZ61" s="548"/>
      <c r="BA61" s="548"/>
      <c r="BB61" s="548"/>
      <c r="BC61" s="548"/>
      <c r="BD61" s="548"/>
      <c r="BE61" s="548"/>
      <c r="BF61" s="548"/>
      <c r="BG61" s="548"/>
      <c r="BH61" s="548"/>
      <c r="BI61" s="548"/>
      <c r="BJ61" s="548"/>
      <c r="BK61" s="548"/>
      <c r="BL61" s="548"/>
      <c r="BM61" s="548"/>
      <c r="BN61" s="548"/>
      <c r="BO61" s="548"/>
      <c r="BP61" s="548"/>
      <c r="BQ61" s="548"/>
      <c r="BR61" s="548"/>
      <c r="BS61" s="548"/>
      <c r="BT61" s="548"/>
      <c r="BU61" s="548"/>
      <c r="BV61" s="548"/>
      <c r="BW61" s="548"/>
      <c r="BX61" s="548"/>
      <c r="BY61" s="548"/>
      <c r="BZ61" s="548"/>
      <c r="CA61" s="548"/>
      <c r="CB61" s="548"/>
      <c r="CC61" s="548"/>
      <c r="CD61" s="548"/>
      <c r="CE61" s="548"/>
      <c r="CF61" s="548"/>
      <c r="CG61" s="548"/>
      <c r="CH61" s="548"/>
      <c r="CI61" s="548"/>
      <c r="CJ61" s="548"/>
      <c r="CK61" s="548"/>
      <c r="CL61" s="548"/>
      <c r="CM61" s="548"/>
      <c r="CN61" s="548"/>
      <c r="CO61" s="548"/>
      <c r="CP61" s="548"/>
      <c r="CQ61" s="548"/>
      <c r="CR61" s="548"/>
      <c r="CS61" s="548"/>
      <c r="CT61" s="548"/>
      <c r="CU61" s="548"/>
      <c r="CV61" s="548"/>
      <c r="CW61" s="548"/>
      <c r="CX61" s="548"/>
      <c r="CY61" s="548"/>
      <c r="CZ61" s="548"/>
      <c r="DA61" s="548"/>
      <c r="DB61" s="548"/>
    </row>
    <row r="62" spans="1:106" s="562" customFormat="1" ht="15.75" x14ac:dyDescent="0.25">
      <c r="A62" s="214"/>
      <c r="B62" s="10"/>
      <c r="C62" s="16" t="str">
        <f>+CONCATENATE("Local Authority : ",+'Part 1'!$L$14)</f>
        <v>Local Authority : England</v>
      </c>
      <c r="D62" s="16"/>
      <c r="E62" s="16"/>
      <c r="F62" s="16"/>
      <c r="G62" s="16"/>
      <c r="H62" s="10"/>
      <c r="I62" s="10"/>
      <c r="J62" s="10"/>
      <c r="K62" s="10"/>
      <c r="L62" s="10"/>
      <c r="M62" s="10"/>
      <c r="N62" s="10"/>
      <c r="O62" s="80"/>
      <c r="P62" s="75"/>
      <c r="Q62" s="75"/>
      <c r="R62" s="75"/>
      <c r="S62" s="107"/>
      <c r="T62" s="75"/>
      <c r="U62" s="75"/>
      <c r="V62" s="75"/>
      <c r="W62" s="313" t="str">
        <f>+W19</f>
        <v>Ver</v>
      </c>
      <c r="X62" s="526">
        <f>+X19</f>
        <v>1.1000000000000001</v>
      </c>
      <c r="Y62" s="10"/>
      <c r="Z62" s="11"/>
      <c r="AA62" s="635"/>
      <c r="AB62" s="635"/>
      <c r="AC62" s="633"/>
      <c r="AD62" s="633"/>
      <c r="AE62" s="633"/>
      <c r="AF62" s="633"/>
      <c r="AG62" s="633"/>
      <c r="AH62" s="633"/>
      <c r="AI62" s="633"/>
      <c r="AJ62" s="633"/>
      <c r="AK62" s="9"/>
      <c r="AL62" s="9"/>
      <c r="AM62" s="9"/>
      <c r="AN62" s="9"/>
      <c r="AO62" s="9"/>
      <c r="AP62" s="9"/>
      <c r="AQ62" s="9"/>
      <c r="AR62" s="9"/>
      <c r="AS62" s="9"/>
      <c r="AT62" s="9"/>
      <c r="AU62" s="9"/>
      <c r="AV62" s="9"/>
      <c r="AW62" s="548"/>
      <c r="AX62" s="548"/>
      <c r="AY62" s="548"/>
      <c r="AZ62" s="548"/>
      <c r="BA62" s="548"/>
      <c r="BB62" s="548"/>
      <c r="BC62" s="548"/>
      <c r="BD62" s="548"/>
      <c r="BE62" s="548"/>
      <c r="BF62" s="548"/>
      <c r="BG62" s="548"/>
      <c r="BH62" s="548"/>
      <c r="BI62" s="548"/>
      <c r="BJ62" s="548"/>
      <c r="BK62" s="548"/>
      <c r="BL62" s="548"/>
      <c r="BM62" s="548"/>
      <c r="BN62" s="548"/>
      <c r="BO62" s="548"/>
      <c r="BP62" s="548"/>
      <c r="BQ62" s="548"/>
      <c r="BR62" s="548"/>
      <c r="BS62" s="548"/>
      <c r="BT62" s="548"/>
      <c r="BU62" s="548"/>
      <c r="BV62" s="548"/>
      <c r="BW62" s="548"/>
      <c r="BX62" s="548"/>
      <c r="BY62" s="548"/>
      <c r="BZ62" s="548"/>
      <c r="CA62" s="548"/>
      <c r="CB62" s="548"/>
      <c r="CC62" s="548"/>
      <c r="CD62" s="548"/>
      <c r="CE62" s="548"/>
      <c r="CF62" s="548"/>
      <c r="CG62" s="548"/>
      <c r="CH62" s="548"/>
      <c r="CI62" s="548"/>
      <c r="CJ62" s="548"/>
      <c r="CK62" s="548"/>
      <c r="CL62" s="548"/>
      <c r="CM62" s="548"/>
      <c r="CN62" s="548"/>
      <c r="CO62" s="548"/>
      <c r="CP62" s="548"/>
      <c r="CQ62" s="548"/>
      <c r="CR62" s="548"/>
      <c r="CS62" s="548"/>
      <c r="CT62" s="548"/>
      <c r="CU62" s="548"/>
      <c r="CV62" s="548"/>
      <c r="CW62" s="548"/>
      <c r="CX62" s="548"/>
      <c r="CY62" s="548"/>
      <c r="CZ62" s="548"/>
      <c r="DA62" s="548"/>
      <c r="DB62" s="548"/>
    </row>
    <row r="63" spans="1:106" ht="15.75" x14ac:dyDescent="0.25">
      <c r="A63" s="214"/>
      <c r="B63" s="10"/>
      <c r="C63" s="12"/>
      <c r="D63" s="10"/>
      <c r="E63" s="10"/>
      <c r="F63" s="10"/>
      <c r="G63" s="10"/>
      <c r="H63" s="10"/>
      <c r="I63" s="10"/>
      <c r="J63" s="10"/>
      <c r="K63" s="75"/>
      <c r="L63" s="75"/>
      <c r="M63" s="75"/>
      <c r="N63" s="75"/>
      <c r="O63" s="80"/>
      <c r="P63" s="75"/>
      <c r="Q63" s="75"/>
      <c r="R63" s="75"/>
      <c r="S63" s="107"/>
      <c r="T63" s="75"/>
      <c r="U63" s="75"/>
      <c r="V63" s="75"/>
      <c r="W63" s="75"/>
      <c r="X63" s="75"/>
      <c r="Y63" s="10"/>
      <c r="Z63" s="11"/>
      <c r="AA63" s="635"/>
      <c r="AB63" s="635"/>
      <c r="AC63" s="633"/>
      <c r="AD63" s="633"/>
      <c r="AE63" s="633"/>
      <c r="AF63" s="633"/>
      <c r="AG63" s="633"/>
      <c r="AH63" s="633"/>
      <c r="AI63" s="633"/>
      <c r="AJ63" s="633"/>
    </row>
    <row r="64" spans="1:106" ht="15.75" x14ac:dyDescent="0.25">
      <c r="A64" s="214"/>
      <c r="B64" s="10"/>
      <c r="C64" s="13" t="s">
        <v>244</v>
      </c>
      <c r="D64" s="13"/>
      <c r="E64" s="13"/>
      <c r="F64" s="13"/>
      <c r="G64" s="10"/>
      <c r="H64" s="10"/>
      <c r="I64" s="10"/>
      <c r="J64" s="10"/>
      <c r="K64" s="75"/>
      <c r="L64" s="75"/>
      <c r="M64" s="75"/>
      <c r="N64" s="75"/>
      <c r="O64" s="75"/>
      <c r="P64" s="75"/>
      <c r="Q64" s="75"/>
      <c r="R64" s="75"/>
      <c r="S64" s="75"/>
      <c r="T64" s="75"/>
      <c r="U64" s="75"/>
      <c r="V64" s="75"/>
      <c r="W64" s="75"/>
      <c r="X64" s="75"/>
      <c r="Y64" s="10"/>
      <c r="Z64" s="11"/>
      <c r="AA64" s="635"/>
      <c r="AB64" s="635"/>
      <c r="AC64" s="633"/>
      <c r="AD64" s="633"/>
      <c r="AE64" s="633"/>
      <c r="AF64" s="633"/>
      <c r="AG64" s="633"/>
      <c r="AH64" s="633"/>
      <c r="AI64" s="633"/>
      <c r="AJ64" s="633"/>
    </row>
    <row r="65" spans="1:36" ht="15.75" x14ac:dyDescent="0.25">
      <c r="A65" s="214"/>
      <c r="B65" s="10"/>
      <c r="C65" s="155" t="s">
        <v>770</v>
      </c>
      <c r="D65" s="10"/>
      <c r="E65" s="10"/>
      <c r="F65" s="10"/>
      <c r="G65" s="10"/>
      <c r="H65" s="10"/>
      <c r="I65" s="10"/>
      <c r="J65" s="10"/>
      <c r="K65" s="75"/>
      <c r="L65" s="75"/>
      <c r="M65" s="75"/>
      <c r="N65" s="75"/>
      <c r="O65" s="75"/>
      <c r="P65" s="75"/>
      <c r="Q65" s="75"/>
      <c r="R65" s="75"/>
      <c r="S65" s="75"/>
      <c r="T65" s="75"/>
      <c r="U65" s="75"/>
      <c r="V65" s="75"/>
      <c r="W65" s="75"/>
      <c r="X65" s="75"/>
      <c r="Y65" s="10"/>
      <c r="Z65" s="11"/>
      <c r="AA65" s="635"/>
      <c r="AB65" s="635"/>
      <c r="AC65" s="633"/>
      <c r="AD65" s="633"/>
      <c r="AE65" s="633"/>
      <c r="AF65" s="633"/>
      <c r="AG65" s="633"/>
      <c r="AH65" s="633"/>
      <c r="AI65" s="633"/>
      <c r="AJ65" s="633"/>
    </row>
    <row r="66" spans="1:36" ht="15.75" x14ac:dyDescent="0.25">
      <c r="A66" s="214"/>
      <c r="B66" s="10"/>
      <c r="C66" s="10" t="s">
        <v>1057</v>
      </c>
      <c r="D66" s="10"/>
      <c r="E66" s="10"/>
      <c r="F66" s="10"/>
      <c r="G66" s="10"/>
      <c r="H66" s="10"/>
      <c r="I66" s="10"/>
      <c r="J66" s="10"/>
      <c r="K66" s="75"/>
      <c r="L66" s="75"/>
      <c r="M66" s="75"/>
      <c r="N66" s="75"/>
      <c r="O66" s="75"/>
      <c r="P66" s="75"/>
      <c r="Q66" s="75"/>
      <c r="R66" s="75"/>
      <c r="S66" s="75"/>
      <c r="T66" s="75"/>
      <c r="U66" s="75"/>
      <c r="V66" s="75"/>
      <c r="W66" s="75"/>
      <c r="X66" s="75"/>
      <c r="Y66" s="10"/>
      <c r="Z66" s="11"/>
      <c r="AA66" s="635"/>
      <c r="AB66" s="635"/>
      <c r="AC66" s="633"/>
      <c r="AD66" s="633"/>
      <c r="AE66" s="633"/>
      <c r="AF66" s="633"/>
      <c r="AG66" s="633"/>
      <c r="AH66" s="633"/>
      <c r="AI66" s="633"/>
      <c r="AJ66" s="633"/>
    </row>
    <row r="67" spans="1:36" x14ac:dyDescent="0.2">
      <c r="A67" s="214"/>
      <c r="B67" s="10"/>
      <c r="C67" s="10"/>
      <c r="D67" s="10" t="s">
        <v>593</v>
      </c>
      <c r="E67" s="10"/>
      <c r="F67" s="10"/>
      <c r="G67" s="10"/>
      <c r="H67" s="10"/>
      <c r="I67" s="10"/>
      <c r="J67" s="10"/>
      <c r="K67" s="75"/>
      <c r="L67" s="75"/>
      <c r="M67" s="75"/>
      <c r="N67" s="75"/>
      <c r="O67" s="75"/>
      <c r="P67" s="75"/>
      <c r="Q67" s="75"/>
      <c r="R67" s="75"/>
      <c r="S67" s="75"/>
      <c r="T67" s="75"/>
      <c r="U67" s="75"/>
      <c r="V67" s="75"/>
      <c r="W67" s="75"/>
      <c r="X67" s="75"/>
      <c r="Y67" s="10"/>
      <c r="Z67" s="11"/>
      <c r="AA67" s="635"/>
      <c r="AB67" s="635"/>
      <c r="AC67" s="633"/>
      <c r="AD67" s="633"/>
      <c r="AE67" s="633"/>
      <c r="AF67" s="633"/>
      <c r="AG67" s="633"/>
      <c r="AH67" s="633"/>
      <c r="AI67" s="633"/>
      <c r="AJ67" s="633"/>
    </row>
    <row r="68" spans="1:36" x14ac:dyDescent="0.2">
      <c r="A68" s="214"/>
      <c r="B68" s="10"/>
      <c r="C68" s="10"/>
      <c r="D68" s="10" t="s">
        <v>594</v>
      </c>
      <c r="E68" s="10"/>
      <c r="F68" s="10"/>
      <c r="G68" s="10"/>
      <c r="H68" s="10"/>
      <c r="I68" s="10"/>
      <c r="J68" s="10"/>
      <c r="K68" s="75"/>
      <c r="L68" s="75"/>
      <c r="M68" s="75"/>
      <c r="N68" s="75"/>
      <c r="O68" s="75"/>
      <c r="P68" s="75"/>
      <c r="Q68" s="75"/>
      <c r="R68" s="75"/>
      <c r="S68" s="75"/>
      <c r="T68" s="75"/>
      <c r="U68" s="75"/>
      <c r="V68" s="75"/>
      <c r="W68" s="75"/>
      <c r="X68" s="75"/>
      <c r="Y68" s="10"/>
      <c r="Z68" s="11"/>
      <c r="AA68" s="635"/>
      <c r="AB68" s="635"/>
      <c r="AC68" s="633"/>
      <c r="AD68" s="633"/>
      <c r="AE68" s="633"/>
      <c r="AF68" s="633"/>
      <c r="AG68" s="633"/>
      <c r="AH68" s="633"/>
      <c r="AI68" s="633"/>
      <c r="AJ68" s="633"/>
    </row>
    <row r="69" spans="1:36" x14ac:dyDescent="0.2">
      <c r="A69" s="214"/>
      <c r="B69" s="10"/>
      <c r="C69" s="10"/>
      <c r="D69" s="10" t="s">
        <v>595</v>
      </c>
      <c r="E69" s="10"/>
      <c r="F69" s="10"/>
      <c r="G69" s="10"/>
      <c r="H69" s="10"/>
      <c r="I69" s="10"/>
      <c r="J69" s="10"/>
      <c r="K69" s="75"/>
      <c r="L69" s="75"/>
      <c r="M69" s="75"/>
      <c r="N69" s="75"/>
      <c r="O69" s="75"/>
      <c r="P69" s="75"/>
      <c r="Q69" s="75"/>
      <c r="R69" s="75"/>
      <c r="S69" s="75"/>
      <c r="T69" s="75"/>
      <c r="U69" s="75"/>
      <c r="V69" s="75"/>
      <c r="W69" s="75"/>
      <c r="X69" s="75"/>
      <c r="Y69" s="10"/>
      <c r="Z69" s="11"/>
      <c r="AA69" s="635"/>
      <c r="AB69" s="635"/>
      <c r="AC69" s="633"/>
      <c r="AD69" s="633"/>
      <c r="AE69" s="633"/>
      <c r="AF69" s="633"/>
      <c r="AG69" s="633"/>
      <c r="AH69" s="633"/>
      <c r="AI69" s="633"/>
      <c r="AJ69" s="633"/>
    </row>
    <row r="70" spans="1:36" x14ac:dyDescent="0.2">
      <c r="A70" s="214"/>
      <c r="B70" s="10"/>
      <c r="C70" s="10" t="s">
        <v>596</v>
      </c>
      <c r="D70" s="10"/>
      <c r="E70" s="10"/>
      <c r="F70" s="10"/>
      <c r="G70" s="10"/>
      <c r="H70" s="10"/>
      <c r="I70" s="10"/>
      <c r="J70" s="10"/>
      <c r="K70" s="75"/>
      <c r="L70" s="75"/>
      <c r="M70" s="75"/>
      <c r="N70" s="75"/>
      <c r="O70" s="75"/>
      <c r="P70" s="75"/>
      <c r="Q70" s="75"/>
      <c r="R70" s="75"/>
      <c r="S70" s="75"/>
      <c r="T70" s="75"/>
      <c r="U70" s="75"/>
      <c r="V70" s="75"/>
      <c r="W70" s="75"/>
      <c r="X70" s="75"/>
      <c r="Y70" s="10"/>
      <c r="Z70" s="11"/>
      <c r="AA70" s="635"/>
      <c r="AB70" s="635"/>
      <c r="AC70" s="633"/>
      <c r="AD70" s="633"/>
      <c r="AE70" s="633"/>
      <c r="AF70" s="633"/>
      <c r="AG70" s="633"/>
      <c r="AH70" s="633"/>
      <c r="AI70" s="633"/>
      <c r="AJ70" s="633"/>
    </row>
    <row r="71" spans="1:36" x14ac:dyDescent="0.2">
      <c r="A71" s="214"/>
      <c r="B71" s="10"/>
      <c r="C71" s="10"/>
      <c r="D71" s="10"/>
      <c r="E71" s="10"/>
      <c r="F71" s="10"/>
      <c r="G71" s="10"/>
      <c r="H71" s="10"/>
      <c r="I71" s="10"/>
      <c r="J71" s="10"/>
      <c r="K71" s="75"/>
      <c r="L71" s="75"/>
      <c r="M71" s="75"/>
      <c r="N71" s="75"/>
      <c r="O71" s="75"/>
      <c r="P71" s="75"/>
      <c r="Q71" s="75"/>
      <c r="R71" s="75"/>
      <c r="S71" s="75"/>
      <c r="T71" s="75"/>
      <c r="U71" s="75"/>
      <c r="V71" s="75"/>
      <c r="W71" s="75"/>
      <c r="X71" s="75"/>
      <c r="Y71" s="10"/>
      <c r="Z71" s="11"/>
      <c r="AA71" s="635"/>
      <c r="AB71" s="635"/>
      <c r="AC71" s="633"/>
      <c r="AD71" s="633"/>
      <c r="AE71" s="633"/>
      <c r="AF71" s="633"/>
      <c r="AG71" s="633"/>
      <c r="AH71" s="633"/>
      <c r="AI71" s="633"/>
      <c r="AJ71" s="633"/>
    </row>
    <row r="72" spans="1:36" x14ac:dyDescent="0.2">
      <c r="A72" s="214"/>
      <c r="B72" s="10"/>
      <c r="C72" s="10"/>
      <c r="D72" s="10"/>
      <c r="E72" s="10"/>
      <c r="F72" s="10"/>
      <c r="G72" s="10"/>
      <c r="H72" s="10"/>
      <c r="I72" s="10"/>
      <c r="J72" s="10"/>
      <c r="K72" s="802" t="s">
        <v>585</v>
      </c>
      <c r="L72" s="802"/>
      <c r="M72" s="75"/>
      <c r="N72" s="802" t="s">
        <v>586</v>
      </c>
      <c r="O72" s="802"/>
      <c r="P72" s="81"/>
      <c r="Q72" s="802" t="s">
        <v>587</v>
      </c>
      <c r="R72" s="802"/>
      <c r="S72" s="81"/>
      <c r="T72" s="802" t="s">
        <v>588</v>
      </c>
      <c r="U72" s="802"/>
      <c r="V72" s="81"/>
      <c r="W72" s="802" t="s">
        <v>605</v>
      </c>
      <c r="X72" s="802"/>
      <c r="Y72" s="10"/>
      <c r="Z72" s="11"/>
      <c r="AA72" s="635"/>
      <c r="AB72" s="635"/>
      <c r="AC72" s="633"/>
      <c r="AD72" s="633"/>
      <c r="AE72" s="633"/>
      <c r="AF72" s="633"/>
      <c r="AG72" s="633"/>
      <c r="AH72" s="633"/>
      <c r="AI72" s="633"/>
      <c r="AJ72" s="633"/>
    </row>
    <row r="73" spans="1:36" ht="15.75" x14ac:dyDescent="0.2">
      <c r="A73" s="214"/>
      <c r="B73" s="10"/>
      <c r="C73" s="10"/>
      <c r="D73" s="10"/>
      <c r="E73" s="10"/>
      <c r="F73" s="10"/>
      <c r="G73" s="10"/>
      <c r="H73" s="10"/>
      <c r="I73" s="10"/>
      <c r="J73" s="10"/>
      <c r="K73" s="810" t="s">
        <v>32</v>
      </c>
      <c r="L73" s="826"/>
      <c r="M73" s="209"/>
      <c r="N73" s="810" t="str" cm="1">
        <f t="array" ref="N73">INDEX(DataSheet1!$A$8:$DD$317,$F$1,105)</f>
        <v>Billing Authority</v>
      </c>
      <c r="O73" s="826"/>
      <c r="P73" s="210"/>
      <c r="Q73" s="810" t="str" cm="1">
        <f t="array" ref="Q73">IF(OR(INDEX(DataSheet1!$A$8:$DD$317,$F$1,106)="UA",INDEX(DataSheet1!$A$8:$DD$317,$F$1,106)="MD"),"",INDEX(DataSheet1!$A$8:$DD$317,$F$1,106))</f>
        <v>County/GLA</v>
      </c>
      <c r="R73" s="826"/>
      <c r="S73" s="210"/>
      <c r="T73" s="810" t="str" cm="1">
        <f t="array" ref="T73">IF(OR(INDEX(DataSheet1!$A$8:$DD$317,$F$1,107)="County",INDEX(DataSheet1!$A$8:$DD$317,$F$1,107)="NA"),"",INDEX(DataSheet1!$A$8:$DD$317,$F$1,107))</f>
        <v>Fire</v>
      </c>
      <c r="U73" s="826"/>
      <c r="V73" s="209"/>
      <c r="W73" s="810" t="s">
        <v>597</v>
      </c>
      <c r="X73" s="810"/>
      <c r="Y73" s="10"/>
      <c r="Z73" s="11"/>
      <c r="AA73" s="635"/>
      <c r="AB73" s="635"/>
      <c r="AC73" s="633"/>
      <c r="AD73" s="633"/>
      <c r="AE73" s="633"/>
      <c r="AF73" s="633"/>
      <c r="AG73" s="633"/>
      <c r="AH73" s="633"/>
      <c r="AI73" s="633"/>
      <c r="AJ73" s="633"/>
    </row>
    <row r="74" spans="1:36" ht="15.75" x14ac:dyDescent="0.2">
      <c r="A74" s="214"/>
      <c r="B74" s="10"/>
      <c r="C74" s="10"/>
      <c r="D74" s="10"/>
      <c r="E74" s="10"/>
      <c r="F74" s="10"/>
      <c r="G74" s="10"/>
      <c r="H74" s="10"/>
      <c r="I74" s="10"/>
      <c r="J74" s="10"/>
      <c r="K74" s="810"/>
      <c r="L74" s="826"/>
      <c r="M74" s="209"/>
      <c r="N74" s="810"/>
      <c r="O74" s="826"/>
      <c r="P74" s="210"/>
      <c r="Q74" s="810"/>
      <c r="R74" s="826"/>
      <c r="S74" s="210"/>
      <c r="T74" s="810"/>
      <c r="U74" s="826"/>
      <c r="V74" s="209"/>
      <c r="W74" s="209"/>
      <c r="X74" s="209"/>
      <c r="Y74" s="10"/>
      <c r="Z74" s="11"/>
      <c r="AA74" s="635"/>
      <c r="AB74" s="635"/>
      <c r="AC74" s="633"/>
      <c r="AD74" s="633"/>
      <c r="AE74" s="633"/>
      <c r="AF74" s="633"/>
      <c r="AG74" s="633"/>
      <c r="AH74" s="633"/>
      <c r="AI74" s="633"/>
      <c r="AJ74" s="633"/>
    </row>
    <row r="75" spans="1:36" ht="15.75" customHeight="1" x14ac:dyDescent="0.2">
      <c r="A75" s="214"/>
      <c r="B75" s="10"/>
      <c r="C75" s="10"/>
      <c r="D75" s="10"/>
      <c r="E75" s="10"/>
      <c r="F75" s="10"/>
      <c r="G75" s="10"/>
      <c r="H75" s="10"/>
      <c r="I75" s="10"/>
      <c r="J75" s="10"/>
      <c r="K75" s="826"/>
      <c r="L75" s="826"/>
      <c r="M75" s="209"/>
      <c r="N75" s="826"/>
      <c r="O75" s="826"/>
      <c r="P75" s="210"/>
      <c r="Q75" s="826"/>
      <c r="R75" s="826"/>
      <c r="S75" s="210"/>
      <c r="T75" s="826"/>
      <c r="U75" s="826"/>
      <c r="V75" s="210"/>
      <c r="W75" s="210"/>
      <c r="X75" s="210"/>
      <c r="Y75" s="10"/>
      <c r="Z75" s="11"/>
      <c r="AA75" s="635"/>
      <c r="AB75" s="635"/>
      <c r="AC75" s="633"/>
      <c r="AD75" s="633"/>
      <c r="AE75" s="633"/>
      <c r="AF75" s="633"/>
      <c r="AG75" s="633"/>
      <c r="AH75" s="633"/>
      <c r="AI75" s="633"/>
      <c r="AJ75" s="633"/>
    </row>
    <row r="76" spans="1:36" ht="15" customHeight="1" thickBot="1" x14ac:dyDescent="0.3">
      <c r="A76" s="214"/>
      <c r="B76" s="10"/>
      <c r="C76" s="26" t="s">
        <v>36</v>
      </c>
      <c r="D76" s="10"/>
      <c r="E76" s="10"/>
      <c r="F76" s="10"/>
      <c r="G76" s="10"/>
      <c r="H76" s="10"/>
      <c r="I76" s="10"/>
      <c r="J76" s="224"/>
      <c r="K76" s="809" t="s">
        <v>577</v>
      </c>
      <c r="L76" s="809"/>
      <c r="M76" s="222"/>
      <c r="N76" s="809" t="s">
        <v>577</v>
      </c>
      <c r="O76" s="809"/>
      <c r="P76" s="223"/>
      <c r="Q76" s="809" t="s">
        <v>577</v>
      </c>
      <c r="R76" s="809"/>
      <c r="S76" s="223"/>
      <c r="T76" s="809" t="s">
        <v>577</v>
      </c>
      <c r="U76" s="809"/>
      <c r="V76" s="222"/>
      <c r="W76" s="809" t="s">
        <v>577</v>
      </c>
      <c r="X76" s="809"/>
      <c r="Y76" s="224"/>
      <c r="Z76" s="11"/>
      <c r="AA76" s="635"/>
      <c r="AB76" s="635"/>
      <c r="AC76" s="633"/>
      <c r="AD76" s="633"/>
      <c r="AE76" s="633"/>
      <c r="AF76" s="633"/>
      <c r="AG76" s="633"/>
      <c r="AH76" s="633"/>
      <c r="AI76" s="633"/>
      <c r="AJ76" s="633"/>
    </row>
    <row r="77" spans="1:36" ht="15" customHeight="1" thickBot="1" x14ac:dyDescent="0.25">
      <c r="A77" s="214"/>
      <c r="B77" s="10"/>
      <c r="C77" s="10"/>
      <c r="D77" s="859" t="s">
        <v>1097</v>
      </c>
      <c r="E77" s="860"/>
      <c r="F77" s="860"/>
      <c r="G77" s="860"/>
      <c r="H77" s="860"/>
      <c r="I77" s="860"/>
      <c r="J77" s="224"/>
      <c r="K77" s="822" cm="1">
        <f t="array" ref="K77">INDEX(DataSheet1!$A$8:$DD$317,$F$1,19)</f>
        <v>0</v>
      </c>
      <c r="L77" s="823"/>
      <c r="M77" s="226"/>
      <c r="N77" s="822" cm="1">
        <f t="array" ref="N77">INDEX(DataSheet1!$A$8:$DD$317,$F$1,20)</f>
        <v>0</v>
      </c>
      <c r="O77" s="823"/>
      <c r="P77" s="226"/>
      <c r="Q77" s="820" cm="1">
        <f t="array" ref="Q77">INDEX(DataSheet1!$A$8:$DD$317,$F$1,21)</f>
        <v>0</v>
      </c>
      <c r="R77" s="821"/>
      <c r="S77" s="226"/>
      <c r="T77" s="820" cm="1">
        <f t="array" ref="T77">INDEX(DataSheet1!$A$8:$DD$317,$F$1,22)</f>
        <v>0</v>
      </c>
      <c r="U77" s="821"/>
      <c r="V77" s="223"/>
      <c r="W77" s="820" cm="1">
        <f t="array" ref="W77">INDEX(DataSheet1!$A$8:$DD$317,$F$1,23)</f>
        <v>0</v>
      </c>
      <c r="X77" s="821"/>
      <c r="Y77" s="224"/>
      <c r="Z77" s="11"/>
      <c r="AA77" s="635"/>
      <c r="AB77" s="635"/>
      <c r="AC77" s="633"/>
      <c r="AD77" s="633"/>
      <c r="AE77" s="633"/>
      <c r="AF77" s="633"/>
      <c r="AG77" s="633"/>
      <c r="AH77" s="633"/>
      <c r="AI77" s="633"/>
      <c r="AJ77" s="633"/>
    </row>
    <row r="78" spans="1:36" ht="15" customHeight="1" x14ac:dyDescent="0.2">
      <c r="A78" s="214"/>
      <c r="B78" s="10"/>
      <c r="C78" s="10"/>
      <c r="D78" s="860"/>
      <c r="E78" s="860"/>
      <c r="F78" s="860"/>
      <c r="G78" s="860"/>
      <c r="H78" s="860"/>
      <c r="I78" s="860"/>
      <c r="J78" s="224"/>
      <c r="K78" s="225"/>
      <c r="L78" s="225"/>
      <c r="M78" s="222"/>
      <c r="N78" s="225"/>
      <c r="O78" s="225"/>
      <c r="P78" s="223"/>
      <c r="Q78" s="225"/>
      <c r="R78" s="225"/>
      <c r="S78" s="223"/>
      <c r="T78" s="225"/>
      <c r="U78" s="225"/>
      <c r="V78" s="222"/>
      <c r="W78" s="225"/>
      <c r="X78" s="225"/>
      <c r="Y78" s="224"/>
      <c r="Z78" s="11"/>
      <c r="AA78" s="635"/>
      <c r="AB78" s="635"/>
      <c r="AC78" s="633"/>
      <c r="AD78" s="633"/>
      <c r="AE78" s="633"/>
      <c r="AF78" s="633"/>
      <c r="AG78" s="633"/>
      <c r="AH78" s="633"/>
      <c r="AI78" s="633"/>
      <c r="AJ78" s="633"/>
    </row>
    <row r="79" spans="1:36" ht="15" customHeight="1" x14ac:dyDescent="0.2">
      <c r="A79" s="214"/>
      <c r="B79" s="10"/>
      <c r="C79" s="10"/>
      <c r="D79" s="10"/>
      <c r="E79" s="10"/>
      <c r="F79" s="10"/>
      <c r="G79" s="10"/>
      <c r="H79" s="10"/>
      <c r="I79" s="10"/>
      <c r="J79" s="224"/>
      <c r="K79" s="225"/>
      <c r="L79" s="225"/>
      <c r="M79" s="222"/>
      <c r="N79" s="225"/>
      <c r="O79" s="225"/>
      <c r="P79" s="223"/>
      <c r="Q79" s="225"/>
      <c r="R79" s="225"/>
      <c r="S79" s="223"/>
      <c r="T79" s="225"/>
      <c r="U79" s="225"/>
      <c r="V79" s="222"/>
      <c r="W79" s="225"/>
      <c r="X79" s="225"/>
      <c r="Y79" s="224"/>
      <c r="Z79" s="11"/>
      <c r="AA79" s="635"/>
      <c r="AB79" s="635"/>
      <c r="AC79" s="633"/>
      <c r="AD79" s="633"/>
      <c r="AE79" s="633"/>
      <c r="AF79" s="633"/>
      <c r="AG79" s="633"/>
      <c r="AH79" s="633"/>
      <c r="AI79" s="633"/>
      <c r="AJ79" s="633"/>
    </row>
    <row r="80" spans="1:36" ht="16.5" thickBot="1" x14ac:dyDescent="0.3">
      <c r="A80" s="214"/>
      <c r="B80" s="10"/>
      <c r="C80" s="13" t="s">
        <v>1058</v>
      </c>
      <c r="D80" s="10"/>
      <c r="E80" s="10"/>
      <c r="F80" s="10"/>
      <c r="G80" s="10"/>
      <c r="H80" s="10"/>
      <c r="I80" s="10"/>
      <c r="J80" s="224"/>
      <c r="K80" s="223"/>
      <c r="L80" s="223"/>
      <c r="M80" s="223"/>
      <c r="N80" s="223"/>
      <c r="O80" s="223"/>
      <c r="P80" s="223"/>
      <c r="Q80" s="223"/>
      <c r="R80" s="223"/>
      <c r="S80" s="223"/>
      <c r="T80" s="223"/>
      <c r="U80" s="223"/>
      <c r="V80" s="223"/>
      <c r="W80" s="223"/>
      <c r="X80" s="223"/>
      <c r="Y80" s="224"/>
      <c r="Z80" s="11"/>
      <c r="AA80" s="635"/>
      <c r="AB80" s="635"/>
      <c r="AC80" s="633"/>
      <c r="AD80" s="633"/>
      <c r="AE80" s="633"/>
      <c r="AF80" s="633"/>
      <c r="AG80" s="633"/>
      <c r="AH80" s="633"/>
      <c r="AI80" s="633"/>
      <c r="AJ80" s="633"/>
    </row>
    <row r="81" spans="1:36" ht="16.5" thickBot="1" x14ac:dyDescent="0.25">
      <c r="A81" s="214"/>
      <c r="B81" s="10"/>
      <c r="C81" s="10"/>
      <c r="D81" s="859" t="s">
        <v>1098</v>
      </c>
      <c r="E81" s="859"/>
      <c r="F81" s="859"/>
      <c r="G81" s="859"/>
      <c r="H81" s="859"/>
      <c r="I81" s="859"/>
      <c r="J81" s="224"/>
      <c r="K81" s="806" cm="1">
        <f t="array" ref="K81">INDEX(DataSheet1!$A$8:$DD$317,$F$1,24)</f>
        <v>9596645952</v>
      </c>
      <c r="L81" s="807"/>
      <c r="M81" s="239"/>
      <c r="N81" s="806" cm="1">
        <f t="array" ref="N81">INDEX(DataSheet1!$A$8:$DD$317,$F$1,25)</f>
        <v>11569650733</v>
      </c>
      <c r="O81" s="807"/>
      <c r="P81" s="239"/>
      <c r="Q81" s="806" cm="1">
        <f t="array" ref="Q81">INDEX(DataSheet1!$A$8:$DD$317,$F$1,26)</f>
        <v>3824211497</v>
      </c>
      <c r="R81" s="807"/>
      <c r="S81" s="239"/>
      <c r="T81" s="806" cm="1">
        <f t="array" ref="T81">INDEX(DataSheet1!$A$8:$DD$317,$F$1,27)</f>
        <v>133499142</v>
      </c>
      <c r="U81" s="807"/>
      <c r="V81" s="239"/>
      <c r="W81" s="806" cm="1">
        <f t="array" ref="W81">INDEX(DataSheet1!$A$8:$DD$317,$F$1,28)</f>
        <v>25124007322</v>
      </c>
      <c r="X81" s="807"/>
      <c r="Y81" s="224"/>
      <c r="Z81" s="51"/>
      <c r="AA81" s="635"/>
      <c r="AB81" s="635"/>
      <c r="AC81" s="633"/>
      <c r="AD81" s="633"/>
      <c r="AE81" s="633"/>
      <c r="AF81" s="633"/>
      <c r="AG81" s="633"/>
      <c r="AH81" s="633"/>
      <c r="AI81" s="633"/>
      <c r="AJ81" s="633"/>
    </row>
    <row r="82" spans="1:36" x14ac:dyDescent="0.2">
      <c r="A82" s="214"/>
      <c r="B82" s="10"/>
      <c r="C82" s="10"/>
      <c r="D82" s="859"/>
      <c r="E82" s="859"/>
      <c r="F82" s="859"/>
      <c r="G82" s="859"/>
      <c r="H82" s="859"/>
      <c r="I82" s="859"/>
      <c r="J82" s="224"/>
      <c r="K82" s="239"/>
      <c r="L82" s="239"/>
      <c r="M82" s="239"/>
      <c r="N82" s="239"/>
      <c r="O82" s="239"/>
      <c r="P82" s="239"/>
      <c r="Q82" s="239"/>
      <c r="R82" s="239"/>
      <c r="S82" s="239"/>
      <c r="T82" s="239"/>
      <c r="U82" s="239"/>
      <c r="V82" s="239"/>
      <c r="W82" s="239"/>
      <c r="X82" s="239"/>
      <c r="Y82" s="224"/>
      <c r="Z82" s="11"/>
      <c r="AA82" s="635"/>
      <c r="AB82" s="635"/>
      <c r="AC82" s="633"/>
      <c r="AD82" s="633"/>
      <c r="AE82" s="633"/>
      <c r="AF82" s="633"/>
      <c r="AG82" s="633"/>
      <c r="AH82" s="633"/>
      <c r="AI82" s="633"/>
      <c r="AJ82" s="633"/>
    </row>
    <row r="83" spans="1:36" ht="15.75" thickBot="1" x14ac:dyDescent="0.25">
      <c r="A83" s="214"/>
      <c r="B83" s="10"/>
      <c r="C83" s="10"/>
      <c r="D83" s="10"/>
      <c r="E83" s="10"/>
      <c r="F83" s="10"/>
      <c r="G83" s="10"/>
      <c r="H83" s="10"/>
      <c r="I83" s="10"/>
      <c r="J83" s="224"/>
      <c r="K83" s="239"/>
      <c r="L83" s="239"/>
      <c r="M83" s="239"/>
      <c r="N83" s="239"/>
      <c r="O83" s="239"/>
      <c r="P83" s="239"/>
      <c r="Q83" s="239"/>
      <c r="R83" s="239"/>
      <c r="S83" s="239"/>
      <c r="T83" s="239"/>
      <c r="U83" s="239"/>
      <c r="V83" s="239"/>
      <c r="W83" s="239"/>
      <c r="X83" s="239"/>
      <c r="Y83" s="224"/>
      <c r="Z83" s="11"/>
      <c r="AA83" s="635"/>
      <c r="AB83" s="635"/>
      <c r="AC83" s="633"/>
      <c r="AD83" s="633"/>
      <c r="AE83" s="633"/>
      <c r="AF83" s="633"/>
      <c r="AG83" s="633"/>
      <c r="AH83" s="633"/>
      <c r="AI83" s="633"/>
      <c r="AJ83" s="633"/>
    </row>
    <row r="84" spans="1:36" ht="16.5" thickBot="1" x14ac:dyDescent="0.25">
      <c r="A84" s="214"/>
      <c r="B84" s="10"/>
      <c r="C84" s="10"/>
      <c r="D84" s="10" t="s">
        <v>1099</v>
      </c>
      <c r="E84" s="10"/>
      <c r="F84" s="10"/>
      <c r="G84" s="10"/>
      <c r="H84" s="10"/>
      <c r="I84" s="10"/>
      <c r="J84" s="224"/>
      <c r="K84" s="806" cm="1">
        <f t="array" ref="K84">INDEX(DataSheet1!$A$8:$DD$317,$F$1,29)</f>
        <v>10671144</v>
      </c>
      <c r="L84" s="807"/>
      <c r="M84" s="239"/>
      <c r="N84" s="239"/>
      <c r="O84" s="239"/>
      <c r="P84" s="239"/>
      <c r="Q84" s="239"/>
      <c r="R84" s="239"/>
      <c r="S84" s="239"/>
      <c r="T84" s="239"/>
      <c r="U84" s="239"/>
      <c r="V84" s="239"/>
      <c r="W84" s="806" cm="1">
        <f t="array" ref="W84">INDEX(DataSheet1!$A$8:$DD$317,$F$1,30)</f>
        <v>10671144</v>
      </c>
      <c r="X84" s="807"/>
      <c r="Y84" s="224"/>
      <c r="Z84" s="11"/>
      <c r="AA84" s="635"/>
      <c r="AB84" s="635"/>
      <c r="AC84" s="633"/>
      <c r="AD84" s="633"/>
      <c r="AE84" s="633"/>
      <c r="AF84" s="633"/>
      <c r="AG84" s="633"/>
      <c r="AH84" s="633"/>
      <c r="AI84" s="633"/>
      <c r="AJ84" s="633"/>
    </row>
    <row r="85" spans="1:36" ht="16.5" thickBot="1" x14ac:dyDescent="0.25">
      <c r="A85" s="214"/>
      <c r="B85" s="10"/>
      <c r="C85" s="10"/>
      <c r="D85" s="27"/>
      <c r="E85" s="10"/>
      <c r="F85" s="10"/>
      <c r="G85" s="10"/>
      <c r="H85" s="10"/>
      <c r="I85" s="10"/>
      <c r="J85" s="224"/>
      <c r="K85" s="268"/>
      <c r="L85" s="268"/>
      <c r="M85" s="239"/>
      <c r="N85" s="268"/>
      <c r="O85" s="268"/>
      <c r="P85" s="239"/>
      <c r="Q85" s="268"/>
      <c r="R85" s="268"/>
      <c r="S85" s="239"/>
      <c r="T85" s="268"/>
      <c r="U85" s="268"/>
      <c r="V85" s="239"/>
      <c r="W85" s="268"/>
      <c r="X85" s="268"/>
      <c r="Y85" s="224"/>
      <c r="Z85" s="11"/>
      <c r="AA85" s="635"/>
      <c r="AB85" s="635"/>
      <c r="AC85" s="633"/>
      <c r="AD85" s="633"/>
      <c r="AE85" s="633"/>
      <c r="AF85" s="633"/>
      <c r="AG85" s="633"/>
      <c r="AH85" s="633"/>
      <c r="AI85" s="633"/>
      <c r="AJ85" s="633"/>
    </row>
    <row r="86" spans="1:36" ht="16.5" thickBot="1" x14ac:dyDescent="0.3">
      <c r="A86" s="214"/>
      <c r="B86" s="10"/>
      <c r="C86" s="10"/>
      <c r="D86" s="15">
        <v>15</v>
      </c>
      <c r="E86" s="10"/>
      <c r="F86" s="10"/>
      <c r="G86" s="10"/>
      <c r="H86" s="10"/>
      <c r="I86" s="234" t="s">
        <v>623</v>
      </c>
      <c r="J86" s="232"/>
      <c r="K86" s="806" cm="1">
        <f t="array" ref="K86">INDEX(DataSheet1!$A$8:$DD$317,$F$1,31)</f>
        <v>9585974808</v>
      </c>
      <c r="L86" s="807"/>
      <c r="M86" s="239"/>
      <c r="N86" s="806" cm="1">
        <f t="array" ref="N86">INDEX(DataSheet1!$A$8:$DD$317,$F$1,32)</f>
        <v>11569650733</v>
      </c>
      <c r="O86" s="807"/>
      <c r="P86" s="240"/>
      <c r="Q86" s="806" cm="1">
        <f t="array" ref="Q86">INDEX(DataSheet1!$A$8:$DD$317,$F$1,33)</f>
        <v>3824211497</v>
      </c>
      <c r="R86" s="807"/>
      <c r="S86" s="240"/>
      <c r="T86" s="806" cm="1">
        <f t="array" ref="T86">INDEX(DataSheet1!$A$8:$DD$317,$F$1,34)</f>
        <v>133499142</v>
      </c>
      <c r="U86" s="807"/>
      <c r="V86" s="239"/>
      <c r="W86" s="806" cm="1">
        <f t="array" ref="W86">INDEX(DataSheet1!$A$8:$DD$317,$F$1,35)</f>
        <v>25113336178</v>
      </c>
      <c r="X86" s="807"/>
      <c r="Y86" s="224"/>
      <c r="Z86" s="11"/>
      <c r="AA86" s="636"/>
      <c r="AB86" s="636"/>
      <c r="AC86" s="633"/>
      <c r="AD86" s="633"/>
      <c r="AE86" s="633"/>
      <c r="AF86" s="633"/>
      <c r="AG86" s="633"/>
      <c r="AH86" s="633"/>
      <c r="AI86" s="633"/>
      <c r="AJ86" s="633"/>
    </row>
    <row r="87" spans="1:36" x14ac:dyDescent="0.2">
      <c r="A87" s="214"/>
      <c r="B87" s="10"/>
      <c r="C87" s="10"/>
      <c r="D87" s="10"/>
      <c r="E87" s="10"/>
      <c r="F87" s="10"/>
      <c r="G87" s="10"/>
      <c r="H87" s="10"/>
      <c r="I87" s="10"/>
      <c r="J87" s="224"/>
      <c r="K87" s="239"/>
      <c r="L87" s="239"/>
      <c r="M87" s="239"/>
      <c r="N87" s="239"/>
      <c r="O87" s="239"/>
      <c r="P87" s="239"/>
      <c r="Q87" s="239"/>
      <c r="R87" s="239"/>
      <c r="S87" s="239"/>
      <c r="T87" s="239"/>
      <c r="U87" s="239"/>
      <c r="V87" s="239"/>
      <c r="W87" s="239"/>
      <c r="X87" s="239"/>
      <c r="Y87" s="224"/>
      <c r="Z87" s="11"/>
      <c r="AA87" s="636"/>
      <c r="AB87" s="636"/>
      <c r="AC87" s="633"/>
      <c r="AD87" s="633"/>
      <c r="AE87" s="633"/>
      <c r="AF87" s="633"/>
      <c r="AG87" s="633"/>
      <c r="AH87" s="633"/>
      <c r="AI87" s="633"/>
      <c r="AJ87" s="633"/>
    </row>
    <row r="88" spans="1:36" ht="16.5" thickBot="1" x14ac:dyDescent="0.3">
      <c r="A88" s="214"/>
      <c r="B88" s="10"/>
      <c r="C88" s="13" t="s">
        <v>1059</v>
      </c>
      <c r="D88" s="10"/>
      <c r="E88" s="10"/>
      <c r="F88" s="10"/>
      <c r="G88" s="10"/>
      <c r="H88" s="10"/>
      <c r="I88" s="10"/>
      <c r="J88" s="224"/>
      <c r="K88" s="239"/>
      <c r="L88" s="239"/>
      <c r="M88" s="239"/>
      <c r="N88" s="239"/>
      <c r="O88" s="239"/>
      <c r="P88" s="239"/>
      <c r="Q88" s="239"/>
      <c r="R88" s="239"/>
      <c r="S88" s="239"/>
      <c r="T88" s="239"/>
      <c r="U88" s="239"/>
      <c r="V88" s="239"/>
      <c r="W88" s="239"/>
      <c r="X88" s="239"/>
      <c r="Y88" s="224"/>
      <c r="Z88" s="11"/>
      <c r="AA88" s="636"/>
      <c r="AB88" s="636"/>
      <c r="AC88" s="633"/>
      <c r="AD88" s="633"/>
      <c r="AE88" s="633"/>
      <c r="AF88" s="633"/>
      <c r="AG88" s="633"/>
      <c r="AH88" s="633"/>
      <c r="AI88" s="633"/>
      <c r="AJ88" s="633"/>
    </row>
    <row r="89" spans="1:36" ht="16.5" thickBot="1" x14ac:dyDescent="0.25">
      <c r="A89" s="214"/>
      <c r="B89" s="10"/>
      <c r="C89" s="10"/>
      <c r="D89" s="10" t="s">
        <v>1100</v>
      </c>
      <c r="E89" s="10"/>
      <c r="F89" s="10"/>
      <c r="G89" s="10"/>
      <c r="H89" s="10"/>
      <c r="I89" s="10"/>
      <c r="J89" s="224"/>
      <c r="K89" s="239"/>
      <c r="L89" s="239"/>
      <c r="M89" s="239"/>
      <c r="N89" s="806" cm="1">
        <f t="array" ref="N89">INDEX(DataSheet1!$A$8:$DD$317,$F$1,36)</f>
        <v>84000014</v>
      </c>
      <c r="O89" s="807"/>
      <c r="P89" s="239"/>
      <c r="Q89" s="239"/>
      <c r="R89" s="239"/>
      <c r="S89" s="239"/>
      <c r="T89" s="239"/>
      <c r="U89" s="239"/>
      <c r="V89" s="239"/>
      <c r="W89" s="806" cm="1">
        <f t="array" ref="W89">INDEX(DataSheet1!$A$8:$DD$317,$F$1,37)</f>
        <v>84000014</v>
      </c>
      <c r="X89" s="807"/>
      <c r="Y89" s="224"/>
      <c r="Z89" s="51"/>
      <c r="AA89" s="636"/>
      <c r="AB89" s="636"/>
      <c r="AC89" s="633"/>
      <c r="AD89" s="633"/>
      <c r="AE89" s="633"/>
      <c r="AF89" s="633"/>
      <c r="AG89" s="633"/>
      <c r="AH89" s="633"/>
      <c r="AI89" s="633"/>
      <c r="AJ89" s="633"/>
    </row>
    <row r="90" spans="1:36" ht="15.75" thickBot="1" x14ac:dyDescent="0.25">
      <c r="A90" s="214"/>
      <c r="B90" s="10"/>
      <c r="C90" s="10"/>
      <c r="D90" s="10"/>
      <c r="E90" s="10"/>
      <c r="F90" s="10"/>
      <c r="G90" s="10"/>
      <c r="H90" s="10"/>
      <c r="I90" s="10"/>
      <c r="J90" s="224"/>
      <c r="K90" s="239"/>
      <c r="L90" s="239"/>
      <c r="M90" s="239"/>
      <c r="N90" s="643"/>
      <c r="O90" s="239"/>
      <c r="P90" s="239"/>
      <c r="Q90" s="239"/>
      <c r="R90" s="239"/>
      <c r="S90" s="239"/>
      <c r="T90" s="239"/>
      <c r="U90" s="239"/>
      <c r="V90" s="239"/>
      <c r="W90" s="239"/>
      <c r="X90" s="239"/>
      <c r="Y90" s="224"/>
      <c r="Z90" s="11"/>
      <c r="AA90" s="636"/>
      <c r="AB90" s="636"/>
      <c r="AC90" s="633"/>
      <c r="AD90" s="633"/>
      <c r="AE90" s="633"/>
      <c r="AF90" s="633"/>
      <c r="AG90" s="633"/>
      <c r="AH90" s="633"/>
      <c r="AI90" s="633"/>
      <c r="AJ90" s="633"/>
    </row>
    <row r="91" spans="1:36" ht="16.5" thickBot="1" x14ac:dyDescent="0.25">
      <c r="A91" s="214"/>
      <c r="B91" s="10"/>
      <c r="C91" s="10"/>
      <c r="D91" s="10" t="s">
        <v>1101</v>
      </c>
      <c r="E91" s="10"/>
      <c r="F91" s="10"/>
      <c r="G91" s="10"/>
      <c r="H91" s="10"/>
      <c r="I91" s="10"/>
      <c r="J91" s="224"/>
      <c r="K91" s="239"/>
      <c r="L91" s="239"/>
      <c r="M91" s="239"/>
      <c r="N91" s="806" cm="1">
        <f t="array" ref="N91">INDEX(DataSheet1!$A$8:$DD$317,$F$1,38)</f>
        <v>100108675</v>
      </c>
      <c r="O91" s="807"/>
      <c r="P91" s="239"/>
      <c r="Q91" s="806">
        <f>0</f>
        <v>0</v>
      </c>
      <c r="R91" s="807"/>
      <c r="S91" s="239"/>
      <c r="T91" s="239"/>
      <c r="U91" s="239"/>
      <c r="V91" s="239"/>
      <c r="W91" s="806" cm="1">
        <f t="array" ref="W91">INDEX(DataSheet1!$A$8:$DD$317,$F$1,39)</f>
        <v>100108675</v>
      </c>
      <c r="X91" s="807"/>
      <c r="Y91" s="224"/>
      <c r="Z91" s="51"/>
      <c r="AA91" s="636"/>
      <c r="AB91" s="636"/>
      <c r="AC91" s="633"/>
      <c r="AD91" s="633"/>
      <c r="AE91" s="633"/>
      <c r="AF91" s="633"/>
      <c r="AG91" s="633"/>
      <c r="AH91" s="633"/>
      <c r="AI91" s="633"/>
      <c r="AJ91" s="633"/>
    </row>
    <row r="92" spans="1:36" ht="15.75" thickBot="1" x14ac:dyDescent="0.25">
      <c r="A92" s="214"/>
      <c r="B92" s="10"/>
      <c r="C92" s="10"/>
      <c r="D92" s="10"/>
      <c r="E92" s="10"/>
      <c r="F92" s="10"/>
      <c r="G92" s="10"/>
      <c r="H92" s="10"/>
      <c r="I92" s="10"/>
      <c r="J92" s="224"/>
      <c r="K92" s="239"/>
      <c r="L92" s="239"/>
      <c r="M92" s="239"/>
      <c r="N92" s="239"/>
      <c r="O92" s="239"/>
      <c r="P92" s="239"/>
      <c r="Q92" s="239"/>
      <c r="R92" s="239"/>
      <c r="S92" s="239"/>
      <c r="T92" s="239"/>
      <c r="U92" s="239"/>
      <c r="V92" s="239"/>
      <c r="W92" s="239"/>
      <c r="X92" s="239"/>
      <c r="Y92" s="224"/>
      <c r="Z92" s="11"/>
      <c r="AA92" s="636"/>
      <c r="AB92" s="636"/>
      <c r="AC92" s="633"/>
      <c r="AD92" s="633"/>
      <c r="AE92" s="633"/>
      <c r="AF92" s="633"/>
      <c r="AG92" s="633"/>
      <c r="AH92" s="633"/>
      <c r="AI92" s="633"/>
      <c r="AJ92" s="633"/>
    </row>
    <row r="93" spans="1:36" ht="16.5" thickBot="1" x14ac:dyDescent="0.25">
      <c r="A93" s="214"/>
      <c r="B93" s="10"/>
      <c r="C93" s="10"/>
      <c r="D93" s="10" t="s">
        <v>1102</v>
      </c>
      <c r="E93" s="10"/>
      <c r="F93" s="10"/>
      <c r="G93" s="10"/>
      <c r="H93" s="10"/>
      <c r="I93" s="10"/>
      <c r="J93" s="224"/>
      <c r="K93" s="239"/>
      <c r="L93" s="239"/>
      <c r="M93" s="239"/>
      <c r="N93" s="806" cm="1">
        <f t="array" ref="N93">INDEX(DataSheet1!$A$8:$DD$317,$F$1,40)</f>
        <v>82280059</v>
      </c>
      <c r="O93" s="807"/>
      <c r="P93" s="239"/>
      <c r="Q93" s="806" cm="1">
        <f t="array" ref="Q93">INDEX(DataSheet1!$A$8:$DD$317,$F$1,41)</f>
        <v>4562981</v>
      </c>
      <c r="R93" s="807"/>
      <c r="S93" s="239"/>
      <c r="T93" s="239"/>
      <c r="U93" s="239"/>
      <c r="V93" s="239"/>
      <c r="W93" s="806" cm="1">
        <f t="array" ref="W93">INDEX(DataSheet1!$A$8:$DD$317,$F$1,42)</f>
        <v>86843040</v>
      </c>
      <c r="X93" s="807"/>
      <c r="Y93" s="224"/>
      <c r="Z93" s="51"/>
      <c r="AA93" s="636"/>
      <c r="AB93" s="636"/>
      <c r="AC93" s="633"/>
      <c r="AD93" s="633"/>
      <c r="AE93" s="633"/>
      <c r="AF93" s="633"/>
      <c r="AG93" s="633"/>
      <c r="AH93" s="633"/>
      <c r="AI93" s="633"/>
      <c r="AJ93" s="633"/>
    </row>
    <row r="94" spans="1:36" ht="15.75" thickBot="1" x14ac:dyDescent="0.25">
      <c r="A94" s="214"/>
      <c r="B94" s="10"/>
      <c r="C94" s="10"/>
      <c r="D94" s="10"/>
      <c r="E94" s="10"/>
      <c r="F94" s="10"/>
      <c r="G94" s="10"/>
      <c r="H94" s="10"/>
      <c r="I94" s="10"/>
      <c r="J94" s="224"/>
      <c r="K94" s="239"/>
      <c r="L94" s="239"/>
      <c r="M94" s="239"/>
      <c r="N94" s="239"/>
      <c r="O94" s="239"/>
      <c r="P94" s="239"/>
      <c r="Q94" s="239"/>
      <c r="R94" s="239"/>
      <c r="S94" s="239"/>
      <c r="T94" s="239"/>
      <c r="U94" s="239"/>
      <c r="V94" s="239"/>
      <c r="W94" s="239"/>
      <c r="X94" s="239"/>
      <c r="Y94" s="224"/>
      <c r="Z94" s="11"/>
      <c r="AA94" s="636"/>
      <c r="AB94" s="636"/>
      <c r="AC94" s="633"/>
      <c r="AD94" s="633"/>
      <c r="AE94" s="633"/>
      <c r="AF94" s="633"/>
      <c r="AG94" s="633"/>
      <c r="AH94" s="633"/>
      <c r="AI94" s="633"/>
      <c r="AJ94" s="633"/>
    </row>
    <row r="95" spans="1:36" ht="16.5" thickBot="1" x14ac:dyDescent="0.25">
      <c r="A95" s="214"/>
      <c r="B95" s="10"/>
      <c r="C95" s="10"/>
      <c r="D95" s="10" t="s">
        <v>1103</v>
      </c>
      <c r="E95" s="10"/>
      <c r="F95" s="10"/>
      <c r="G95" s="10"/>
      <c r="H95" s="10"/>
      <c r="I95" s="10"/>
      <c r="J95" s="224"/>
      <c r="K95" s="239"/>
      <c r="L95" s="239"/>
      <c r="M95" s="239"/>
      <c r="N95" s="863" cm="1">
        <f t="array" ref="N95">INDEX(DataSheet1!$A$8:$DD$317,$F$1,43)</f>
        <v>10547</v>
      </c>
      <c r="O95" s="864"/>
      <c r="P95" s="239"/>
      <c r="Q95" s="857" cm="1">
        <f t="array" ref="Q95">INDEX(DataSheet1!$A$8:$DD$317,$F$1,44)</f>
        <v>15557</v>
      </c>
      <c r="R95" s="858"/>
      <c r="S95" s="239"/>
      <c r="T95" s="857" cm="1">
        <f t="array" ref="T95">INDEX(DataSheet1!$A$8:$DD$317,$F$1,45)</f>
        <v>264</v>
      </c>
      <c r="U95" s="858"/>
      <c r="V95" s="239"/>
      <c r="W95" s="806" cm="1">
        <f t="array" ref="W95">INDEX(DataSheet1!$A$8:$DD$317,$F$1,46)</f>
        <v>26368</v>
      </c>
      <c r="X95" s="807"/>
      <c r="Y95" s="224"/>
      <c r="Z95" s="477"/>
      <c r="AA95" s="636"/>
      <c r="AB95" s="636"/>
      <c r="AC95" s="633"/>
      <c r="AD95" s="633"/>
      <c r="AE95" s="633"/>
      <c r="AF95" s="633"/>
      <c r="AG95" s="633"/>
      <c r="AH95" s="633"/>
      <c r="AI95" s="633"/>
      <c r="AJ95" s="633"/>
    </row>
    <row r="96" spans="1:36" ht="15.75" thickBot="1" x14ac:dyDescent="0.25">
      <c r="A96" s="214"/>
      <c r="B96" s="10"/>
      <c r="C96" s="10"/>
      <c r="D96" s="10"/>
      <c r="E96" s="10"/>
      <c r="F96" s="10"/>
      <c r="G96" s="10"/>
      <c r="H96" s="10"/>
      <c r="I96" s="10"/>
      <c r="J96" s="224"/>
      <c r="K96" s="239"/>
      <c r="L96" s="239"/>
      <c r="M96" s="239"/>
      <c r="N96" s="239"/>
      <c r="O96" s="239"/>
      <c r="P96" s="239"/>
      <c r="Q96" s="239"/>
      <c r="R96" s="239"/>
      <c r="S96" s="239"/>
      <c r="T96" s="239"/>
      <c r="U96" s="239"/>
      <c r="V96" s="239"/>
      <c r="W96" s="239"/>
      <c r="X96" s="239"/>
      <c r="Y96" s="224"/>
      <c r="Z96" s="477"/>
      <c r="AA96" s="636"/>
      <c r="AB96" s="636"/>
      <c r="AC96" s="633"/>
      <c r="AD96" s="633"/>
      <c r="AE96" s="633"/>
      <c r="AF96" s="633"/>
      <c r="AG96" s="633"/>
      <c r="AH96" s="633"/>
      <c r="AI96" s="633"/>
      <c r="AJ96" s="633"/>
    </row>
    <row r="97" spans="1:48" ht="16.5" thickBot="1" x14ac:dyDescent="0.25">
      <c r="A97" s="214"/>
      <c r="B97" s="10"/>
      <c r="C97" s="10"/>
      <c r="D97" s="10" t="s">
        <v>1104</v>
      </c>
      <c r="E97" s="10"/>
      <c r="F97" s="10"/>
      <c r="G97" s="10"/>
      <c r="H97" s="10"/>
      <c r="I97" s="10"/>
      <c r="J97" s="224"/>
      <c r="K97" s="239"/>
      <c r="L97" s="239"/>
      <c r="M97" s="239"/>
      <c r="N97" s="865" cm="1">
        <f t="array" ref="N97">INDEX(DataSheet1!$A$8:$DD$317,$F$1,47)</f>
        <v>9862769</v>
      </c>
      <c r="O97" s="866"/>
      <c r="P97" s="239"/>
      <c r="Q97" s="806" cm="1">
        <f t="array" ref="Q97">INDEX(DataSheet1!$A$8:$DD$317,$F$1,48)</f>
        <v>134409</v>
      </c>
      <c r="R97" s="807"/>
      <c r="S97" s="239"/>
      <c r="T97" s="806" cm="1">
        <f t="array" ref="T97">INDEX(DataSheet1!$A$8:$DD$317,$F$1,49)</f>
        <v>15944</v>
      </c>
      <c r="U97" s="807"/>
      <c r="V97" s="239"/>
      <c r="W97" s="806" cm="1">
        <f t="array" ref="W97">INDEX(DataSheet1!$A$8:$DD$317,$F$1,50)</f>
        <v>10013122</v>
      </c>
      <c r="X97" s="807"/>
      <c r="Y97" s="224"/>
      <c r="Z97" s="51"/>
      <c r="AA97" s="636"/>
      <c r="AB97" s="636"/>
      <c r="AC97" s="633"/>
      <c r="AD97" s="633"/>
      <c r="AE97" s="633"/>
      <c r="AF97" s="633"/>
      <c r="AG97" s="633"/>
      <c r="AH97" s="633"/>
      <c r="AI97" s="633"/>
      <c r="AJ97" s="633"/>
    </row>
    <row r="98" spans="1:48" ht="16.5" thickBot="1" x14ac:dyDescent="0.25">
      <c r="A98" s="214"/>
      <c r="B98" s="10"/>
      <c r="C98" s="10"/>
      <c r="D98" s="10"/>
      <c r="E98" s="10"/>
      <c r="F98" s="10"/>
      <c r="G98" s="10"/>
      <c r="H98" s="10"/>
      <c r="I98" s="10"/>
      <c r="J98" s="224"/>
      <c r="K98" s="223"/>
      <c r="L98" s="223"/>
      <c r="M98" s="223"/>
      <c r="N98" s="226"/>
      <c r="O98" s="223"/>
      <c r="P98" s="223"/>
      <c r="Q98" s="226"/>
      <c r="R98" s="223"/>
      <c r="S98" s="223"/>
      <c r="T98" s="226"/>
      <c r="U98" s="223"/>
      <c r="V98" s="223"/>
      <c r="W98" s="223"/>
      <c r="X98" s="223"/>
      <c r="Y98" s="224"/>
      <c r="Z98" s="11"/>
      <c r="AA98" s="636"/>
      <c r="AB98" s="636"/>
      <c r="AC98" s="633"/>
      <c r="AD98" s="633"/>
      <c r="AE98" s="633"/>
      <c r="AF98" s="633"/>
      <c r="AG98" s="633"/>
      <c r="AH98" s="633"/>
      <c r="AI98" s="633"/>
      <c r="AJ98" s="633"/>
    </row>
    <row r="99" spans="1:48" ht="16.5" thickBot="1" x14ac:dyDescent="0.25">
      <c r="A99" s="214"/>
      <c r="B99" s="10"/>
      <c r="C99" s="10"/>
      <c r="D99" s="10" t="s">
        <v>1105</v>
      </c>
      <c r="E99" s="10"/>
      <c r="F99" s="10"/>
      <c r="G99" s="10"/>
      <c r="H99" s="10"/>
      <c r="I99" s="10"/>
      <c r="J99" s="224"/>
      <c r="K99" s="223"/>
      <c r="L99" s="223"/>
      <c r="M99" s="223"/>
      <c r="N99" s="806" cm="1">
        <f t="array" ref="N99">INDEX(DataSheet1!$A$8:$DD$317,$F$1,51)</f>
        <v>12064000</v>
      </c>
      <c r="O99" s="807"/>
      <c r="P99" s="239"/>
      <c r="Q99" s="239"/>
      <c r="R99" s="239"/>
      <c r="S99" s="239"/>
      <c r="T99" s="239"/>
      <c r="U99" s="239"/>
      <c r="V99" s="239"/>
      <c r="W99" s="806" cm="1">
        <f t="array" ref="W99">INDEX(DataSheet1!$A$8:$DD$317,$F$1,52)</f>
        <v>12064000</v>
      </c>
      <c r="X99" s="807"/>
      <c r="Y99" s="224"/>
      <c r="Z99" s="51"/>
      <c r="AA99" s="636"/>
      <c r="AB99" s="636"/>
      <c r="AC99" s="633"/>
      <c r="AD99" s="633"/>
      <c r="AE99" s="633"/>
      <c r="AF99" s="633"/>
      <c r="AG99" s="633"/>
      <c r="AH99" s="633"/>
      <c r="AI99" s="633"/>
      <c r="AJ99" s="633"/>
    </row>
    <row r="100" spans="1:48" ht="15.75" thickBot="1" x14ac:dyDescent="0.25">
      <c r="A100" s="214"/>
      <c r="B100" s="10"/>
      <c r="C100" s="10"/>
      <c r="D100" s="27"/>
      <c r="E100" s="10"/>
      <c r="F100" s="10"/>
      <c r="G100" s="10"/>
      <c r="H100" s="10"/>
      <c r="I100" s="10"/>
      <c r="J100" s="224"/>
      <c r="K100" s="223"/>
      <c r="L100" s="223"/>
      <c r="M100" s="223"/>
      <c r="N100" s="223"/>
      <c r="O100" s="223"/>
      <c r="P100" s="223"/>
      <c r="Q100" s="223"/>
      <c r="R100" s="223"/>
      <c r="S100" s="223"/>
      <c r="T100" s="223"/>
      <c r="U100" s="223"/>
      <c r="V100" s="223"/>
      <c r="W100" s="223"/>
      <c r="X100" s="223"/>
      <c r="Y100" s="224"/>
      <c r="Z100" s="11"/>
      <c r="AA100" s="636"/>
      <c r="AB100" s="636"/>
      <c r="AC100" s="633"/>
      <c r="AD100" s="633"/>
      <c r="AE100" s="633"/>
      <c r="AF100" s="633"/>
      <c r="AG100" s="633"/>
      <c r="AH100" s="633"/>
      <c r="AI100" s="633"/>
      <c r="AJ100" s="633"/>
    </row>
    <row r="101" spans="1:48" ht="16.5" thickBot="1" x14ac:dyDescent="0.25">
      <c r="A101" s="214"/>
      <c r="B101" s="10"/>
      <c r="C101" s="10"/>
      <c r="D101" s="10" t="s">
        <v>1157</v>
      </c>
      <c r="E101" s="10"/>
      <c r="F101" s="10"/>
      <c r="G101" s="10"/>
      <c r="H101" s="10"/>
      <c r="I101" s="10"/>
      <c r="J101" s="224"/>
      <c r="K101" s="223"/>
      <c r="L101" s="223"/>
      <c r="M101" s="223"/>
      <c r="N101" s="803" cm="1">
        <f t="array" ref="N101">INDEX(DataSheet1!$A$8:$DD$317,$F$1,53)</f>
        <v>658022</v>
      </c>
      <c r="O101" s="808"/>
      <c r="P101" s="239"/>
      <c r="Q101" s="856"/>
      <c r="R101" s="856"/>
      <c r="S101" s="239"/>
      <c r="T101" s="856"/>
      <c r="U101" s="856"/>
      <c r="V101" s="239"/>
      <c r="W101" s="803" cm="1">
        <f t="array" ref="W101">INDEX(DataSheet1!$A$8:$DD$317,$F$1,54)</f>
        <v>658022</v>
      </c>
      <c r="X101" s="808"/>
      <c r="Y101" s="224"/>
      <c r="Z101" s="11"/>
      <c r="AA101" s="636"/>
      <c r="AB101" s="636"/>
      <c r="AC101" s="633"/>
      <c r="AD101" s="633"/>
      <c r="AE101" s="633"/>
      <c r="AF101" s="633"/>
      <c r="AG101" s="633"/>
      <c r="AH101" s="633"/>
      <c r="AI101" s="633"/>
      <c r="AJ101" s="633"/>
    </row>
    <row r="102" spans="1:48" ht="15.75" x14ac:dyDescent="0.2">
      <c r="A102" s="214"/>
      <c r="B102" s="10"/>
      <c r="C102" s="10"/>
      <c r="D102" s="10"/>
      <c r="E102" s="10"/>
      <c r="F102" s="10"/>
      <c r="G102" s="10"/>
      <c r="H102" s="10"/>
      <c r="I102" s="10"/>
      <c r="J102" s="224"/>
      <c r="K102" s="223"/>
      <c r="L102" s="223"/>
      <c r="M102" s="223"/>
      <c r="N102" s="226"/>
      <c r="O102" s="223"/>
      <c r="P102" s="223"/>
      <c r="Q102" s="226"/>
      <c r="R102" s="223"/>
      <c r="S102" s="223"/>
      <c r="T102" s="226"/>
      <c r="U102" s="223"/>
      <c r="V102" s="223"/>
      <c r="W102" s="226"/>
      <c r="X102" s="223"/>
      <c r="Y102" s="224"/>
      <c r="Z102" s="11"/>
      <c r="AA102" s="636"/>
      <c r="AB102" s="636"/>
      <c r="AC102" s="633"/>
      <c r="AD102" s="633"/>
      <c r="AE102" s="633"/>
      <c r="AF102" s="633"/>
      <c r="AG102" s="633"/>
      <c r="AH102" s="633"/>
      <c r="AI102" s="633"/>
      <c r="AJ102" s="633"/>
    </row>
    <row r="103" spans="1:48" ht="15.75" x14ac:dyDescent="0.25">
      <c r="A103" s="214"/>
      <c r="B103" s="10"/>
      <c r="C103" s="13" t="s">
        <v>33</v>
      </c>
      <c r="D103" s="10"/>
      <c r="E103" s="10"/>
      <c r="F103" s="10"/>
      <c r="G103" s="10"/>
      <c r="H103" s="10"/>
      <c r="I103" s="10"/>
      <c r="J103" s="224"/>
      <c r="K103" s="809"/>
      <c r="L103" s="809"/>
      <c r="M103" s="222"/>
      <c r="N103" s="809"/>
      <c r="O103" s="809"/>
      <c r="P103" s="223"/>
      <c r="Q103" s="809"/>
      <c r="R103" s="809"/>
      <c r="S103" s="223"/>
      <c r="T103" s="809"/>
      <c r="U103" s="809"/>
      <c r="V103" s="222"/>
      <c r="W103" s="809"/>
      <c r="X103" s="809"/>
      <c r="Y103" s="224"/>
      <c r="Z103" s="11"/>
      <c r="AA103" s="636"/>
      <c r="AB103" s="636"/>
      <c r="AC103" s="633"/>
      <c r="AD103" s="633"/>
      <c r="AE103" s="633"/>
      <c r="AF103" s="633"/>
      <c r="AG103" s="633"/>
      <c r="AH103" s="633"/>
      <c r="AI103" s="633"/>
      <c r="AJ103" s="633"/>
    </row>
    <row r="104" spans="1:48" ht="16.5" thickBot="1" x14ac:dyDescent="0.3">
      <c r="A104" s="625"/>
      <c r="B104" s="589"/>
      <c r="C104" s="588"/>
      <c r="D104" s="589"/>
      <c r="E104" s="589"/>
      <c r="F104" s="589"/>
      <c r="G104" s="589"/>
      <c r="H104" s="589"/>
      <c r="I104" s="589"/>
      <c r="J104" s="626"/>
      <c r="K104" s="627"/>
      <c r="L104" s="627"/>
      <c r="M104" s="628"/>
      <c r="N104" s="627"/>
      <c r="O104" s="627"/>
      <c r="P104" s="591"/>
      <c r="Q104" s="627"/>
      <c r="R104" s="627"/>
      <c r="S104" s="591"/>
      <c r="T104" s="627"/>
      <c r="U104" s="627"/>
      <c r="V104" s="628"/>
      <c r="W104" s="627"/>
      <c r="X104" s="627"/>
      <c r="Y104" s="224"/>
      <c r="Z104" s="477"/>
      <c r="AA104" s="636"/>
      <c r="AB104" s="636"/>
      <c r="AC104" s="633"/>
      <c r="AD104" s="633"/>
      <c r="AE104" s="633"/>
      <c r="AF104" s="633"/>
      <c r="AG104" s="633"/>
      <c r="AH104" s="633"/>
      <c r="AI104" s="633"/>
      <c r="AJ104" s="633"/>
    </row>
    <row r="105" spans="1:48" s="563" customFormat="1" ht="16.5" thickBot="1" x14ac:dyDescent="0.25">
      <c r="A105" s="625"/>
      <c r="B105" s="629"/>
      <c r="C105" s="629"/>
      <c r="D105" s="10" t="s">
        <v>1158</v>
      </c>
      <c r="E105" s="589"/>
      <c r="F105" s="589"/>
      <c r="G105" s="589"/>
      <c r="H105" s="589"/>
      <c r="I105" s="589"/>
      <c r="J105" s="630"/>
      <c r="K105" s="806" cm="1">
        <f t="array" ref="K105">INDEX(DataSheet1!$A$8:$DD$317,$F$1,55)</f>
        <v>-4268241085</v>
      </c>
      <c r="L105" s="807"/>
      <c r="M105" s="240"/>
      <c r="N105" s="806" cm="1">
        <f t="array" ref="N105">INDEX(DataSheet1!$A$8:$DD$317,$F$1,56)</f>
        <v>-5301057338</v>
      </c>
      <c r="O105" s="807"/>
      <c r="P105" s="240"/>
      <c r="Q105" s="806" cm="1">
        <f t="array" ref="Q105">INDEX(DataSheet1!$A$8:$DD$317,$F$1,57)</f>
        <v>-1574949040</v>
      </c>
      <c r="R105" s="807"/>
      <c r="S105" s="240"/>
      <c r="T105" s="806" cm="1">
        <f t="array" ref="T105">INDEX(DataSheet1!$A$8:$DD$317,$F$1,58)</f>
        <v>-61744101</v>
      </c>
      <c r="U105" s="807"/>
      <c r="V105" s="240"/>
      <c r="W105" s="806" cm="1">
        <f t="array" ref="W105">INDEX(DataSheet1!$A$8:$DD$317,$F$1,59)</f>
        <v>-11205991535</v>
      </c>
      <c r="X105" s="807"/>
      <c r="Y105" s="473"/>
      <c r="Z105" s="631"/>
      <c r="AA105" s="637"/>
      <c r="AB105" s="637"/>
      <c r="AC105" s="539"/>
      <c r="AD105" s="539"/>
      <c r="AE105" s="539"/>
      <c r="AF105" s="539"/>
      <c r="AG105" s="539"/>
      <c r="AH105" s="539"/>
      <c r="AI105" s="539"/>
      <c r="AJ105" s="539"/>
      <c r="AK105" s="206"/>
      <c r="AL105" s="206"/>
      <c r="AM105" s="206"/>
      <c r="AN105" s="206"/>
      <c r="AO105" s="206"/>
      <c r="AP105" s="206"/>
      <c r="AQ105" s="206"/>
      <c r="AR105" s="206"/>
      <c r="AS105" s="206"/>
      <c r="AT105" s="206"/>
      <c r="AU105" s="206"/>
      <c r="AV105" s="206"/>
    </row>
    <row r="106" spans="1:48" x14ac:dyDescent="0.2">
      <c r="A106" s="214"/>
      <c r="B106" s="10"/>
      <c r="C106" s="10"/>
      <c r="D106" s="10" t="s">
        <v>1127</v>
      </c>
      <c r="E106" s="10"/>
      <c r="F106" s="10"/>
      <c r="G106" s="10"/>
      <c r="H106" s="10"/>
      <c r="I106" s="10"/>
      <c r="J106" s="224"/>
      <c r="K106" s="239"/>
      <c r="L106" s="239"/>
      <c r="M106" s="239"/>
      <c r="N106" s="239"/>
      <c r="O106" s="239"/>
      <c r="P106" s="239"/>
      <c r="Q106" s="239"/>
      <c r="R106" s="239"/>
      <c r="S106" s="239"/>
      <c r="T106" s="239"/>
      <c r="U106" s="239"/>
      <c r="V106" s="239"/>
      <c r="W106" s="239"/>
      <c r="X106" s="239"/>
      <c r="Y106" s="224"/>
      <c r="Z106" s="11"/>
      <c r="AA106" s="636"/>
      <c r="AB106" s="636"/>
      <c r="AC106" s="633"/>
      <c r="AD106" s="633"/>
      <c r="AE106" s="633"/>
      <c r="AF106" s="633"/>
      <c r="AG106" s="633"/>
      <c r="AH106" s="633"/>
      <c r="AI106" s="633"/>
      <c r="AJ106" s="633"/>
    </row>
    <row r="107" spans="1:48" ht="15.75" thickBot="1" x14ac:dyDescent="0.25">
      <c r="A107" s="214"/>
      <c r="B107" s="10"/>
      <c r="C107" s="10"/>
      <c r="D107" s="10"/>
      <c r="E107" s="10"/>
      <c r="F107" s="10"/>
      <c r="G107" s="10"/>
      <c r="H107" s="10"/>
      <c r="I107" s="10"/>
      <c r="J107" s="224"/>
      <c r="K107" s="239"/>
      <c r="L107" s="239"/>
      <c r="M107" s="239"/>
      <c r="N107" s="239"/>
      <c r="O107" s="239"/>
      <c r="P107" s="239"/>
      <c r="Q107" s="239"/>
      <c r="R107" s="239"/>
      <c r="S107" s="239"/>
      <c r="T107" s="239"/>
      <c r="U107" s="239"/>
      <c r="V107" s="239"/>
      <c r="W107" s="239"/>
      <c r="X107" s="239"/>
      <c r="Y107" s="224"/>
      <c r="Z107" s="477"/>
      <c r="AA107" s="636"/>
      <c r="AB107" s="636"/>
      <c r="AC107" s="633"/>
      <c r="AD107" s="633"/>
      <c r="AE107" s="633"/>
      <c r="AF107" s="633"/>
      <c r="AG107" s="633"/>
      <c r="AH107" s="633"/>
      <c r="AI107" s="633"/>
      <c r="AJ107" s="633"/>
    </row>
    <row r="108" spans="1:48" x14ac:dyDescent="0.2">
      <c r="A108" s="214"/>
      <c r="B108" s="17"/>
      <c r="C108" s="18"/>
      <c r="D108" s="18"/>
      <c r="E108" s="18"/>
      <c r="F108" s="18"/>
      <c r="G108" s="18"/>
      <c r="H108" s="18"/>
      <c r="I108" s="18"/>
      <c r="J108" s="233"/>
      <c r="K108" s="241"/>
      <c r="L108" s="241"/>
      <c r="M108" s="241"/>
      <c r="N108" s="241"/>
      <c r="O108" s="241"/>
      <c r="P108" s="241"/>
      <c r="Q108" s="241"/>
      <c r="R108" s="241"/>
      <c r="S108" s="241"/>
      <c r="T108" s="241"/>
      <c r="U108" s="241"/>
      <c r="V108" s="241"/>
      <c r="W108" s="241"/>
      <c r="X108" s="241"/>
      <c r="Y108" s="228"/>
      <c r="Z108" s="11"/>
      <c r="AA108" s="636"/>
      <c r="AB108" s="636"/>
      <c r="AC108" s="633"/>
      <c r="AD108" s="633"/>
      <c r="AE108" s="633"/>
      <c r="AF108" s="633"/>
      <c r="AG108" s="633"/>
      <c r="AH108" s="633"/>
      <c r="AI108" s="633"/>
      <c r="AJ108" s="633"/>
    </row>
    <row r="109" spans="1:48" ht="16.5" thickBot="1" x14ac:dyDescent="0.3">
      <c r="A109" s="214"/>
      <c r="B109" s="19"/>
      <c r="C109" s="20" t="s">
        <v>599</v>
      </c>
      <c r="D109" s="8"/>
      <c r="E109" s="8"/>
      <c r="F109" s="8"/>
      <c r="G109" s="8"/>
      <c r="H109" s="8"/>
      <c r="I109" s="8"/>
      <c r="J109" s="224"/>
      <c r="K109" s="856"/>
      <c r="L109" s="856"/>
      <c r="M109" s="239"/>
      <c r="N109" s="856"/>
      <c r="O109" s="856"/>
      <c r="P109" s="239"/>
      <c r="Q109" s="856"/>
      <c r="R109" s="856"/>
      <c r="S109" s="239"/>
      <c r="T109" s="856"/>
      <c r="U109" s="856"/>
      <c r="V109" s="239"/>
      <c r="W109" s="856"/>
      <c r="X109" s="856"/>
      <c r="Y109" s="229"/>
      <c r="Z109" s="11"/>
      <c r="AA109" s="636"/>
      <c r="AB109" s="636"/>
      <c r="AC109" s="633"/>
      <c r="AD109" s="633"/>
      <c r="AE109" s="633"/>
      <c r="AF109" s="633"/>
      <c r="AG109" s="633"/>
      <c r="AH109" s="633"/>
      <c r="AI109" s="633"/>
      <c r="AJ109" s="633"/>
    </row>
    <row r="110" spans="1:48" ht="16.5" thickBot="1" x14ac:dyDescent="0.25">
      <c r="A110" s="214"/>
      <c r="B110" s="19"/>
      <c r="C110" s="8" t="s">
        <v>1159</v>
      </c>
      <c r="D110" s="8"/>
      <c r="E110" s="8"/>
      <c r="F110" s="8"/>
      <c r="G110" s="8"/>
      <c r="H110" s="8"/>
      <c r="I110" s="8"/>
      <c r="J110" s="224"/>
      <c r="K110" s="806" cm="1">
        <f t="array" ref="K110">INDEX(DataSheet1!$A$8:$DD$317,$F$1,60)</f>
        <v>5317733758</v>
      </c>
      <c r="L110" s="807"/>
      <c r="M110" s="239"/>
      <c r="N110" s="806" cm="1">
        <f t="array" ref="N110">INDEX(DataSheet1!$A$8:$DD$317,$F$1,61)</f>
        <v>6557577482</v>
      </c>
      <c r="O110" s="807"/>
      <c r="P110" s="239"/>
      <c r="Q110" s="806" cm="1">
        <f t="array" ref="Q110">INDEX(DataSheet1!$A$8:$DD$317,$F$1,62)</f>
        <v>2253975405</v>
      </c>
      <c r="R110" s="807"/>
      <c r="S110" s="239"/>
      <c r="T110" s="806" cm="1">
        <f t="array" ref="T110">INDEX(DataSheet1!$A$8:$DD$317,$F$1,63)</f>
        <v>71771248</v>
      </c>
      <c r="U110" s="807"/>
      <c r="V110" s="239"/>
      <c r="W110" s="806" cm="1">
        <f t="array" ref="W110">INDEX(DataSheet1!$A$8:$DD$317,$F$1,64)</f>
        <v>14201057885</v>
      </c>
      <c r="X110" s="807"/>
      <c r="Y110" s="229"/>
      <c r="Z110" s="51"/>
      <c r="AA110" s="636"/>
      <c r="AB110" s="636"/>
      <c r="AC110" s="633"/>
      <c r="AD110" s="633"/>
      <c r="AE110" s="633"/>
      <c r="AF110" s="633"/>
      <c r="AG110" s="633"/>
      <c r="AH110" s="633"/>
      <c r="AI110" s="633"/>
      <c r="AJ110" s="633"/>
    </row>
    <row r="111" spans="1:48" s="564" customFormat="1" ht="15.75" thickBot="1" x14ac:dyDescent="0.25">
      <c r="A111" s="214"/>
      <c r="B111" s="480"/>
      <c r="C111" s="481"/>
      <c r="D111" s="481"/>
      <c r="E111" s="481"/>
      <c r="F111" s="481"/>
      <c r="G111" s="481"/>
      <c r="H111" s="481"/>
      <c r="I111" s="481"/>
      <c r="J111" s="482"/>
      <c r="K111" s="482"/>
      <c r="L111" s="482"/>
      <c r="M111" s="482"/>
      <c r="N111" s="482"/>
      <c r="O111" s="482"/>
      <c r="P111" s="482"/>
      <c r="Q111" s="482"/>
      <c r="R111" s="482"/>
      <c r="S111" s="482"/>
      <c r="T111" s="482"/>
      <c r="U111" s="482"/>
      <c r="V111" s="482"/>
      <c r="W111" s="482"/>
      <c r="X111" s="482"/>
      <c r="Y111" s="483"/>
      <c r="Z111" s="484"/>
      <c r="AA111" s="639"/>
      <c r="AB111" s="639"/>
      <c r="AC111" s="638"/>
      <c r="AD111" s="638"/>
      <c r="AE111" s="638"/>
      <c r="AF111" s="638"/>
      <c r="AG111" s="638"/>
      <c r="AH111" s="638"/>
      <c r="AI111" s="638"/>
      <c r="AJ111" s="638"/>
      <c r="AK111" s="485"/>
      <c r="AL111" s="485"/>
      <c r="AM111" s="485"/>
      <c r="AN111" s="485"/>
      <c r="AO111" s="485"/>
      <c r="AP111" s="485"/>
      <c r="AQ111" s="485"/>
      <c r="AR111" s="485"/>
      <c r="AS111" s="485"/>
      <c r="AT111" s="485"/>
      <c r="AU111" s="485"/>
      <c r="AV111" s="485"/>
    </row>
    <row r="112" spans="1:48" s="564" customFormat="1" x14ac:dyDescent="0.2">
      <c r="A112" s="214"/>
      <c r="B112" s="486"/>
      <c r="C112" s="486"/>
      <c r="D112" s="486"/>
      <c r="E112" s="486"/>
      <c r="F112" s="486"/>
      <c r="G112" s="486"/>
      <c r="H112" s="486"/>
      <c r="I112" s="486"/>
      <c r="J112" s="486"/>
      <c r="K112" s="486"/>
      <c r="L112" s="486"/>
      <c r="M112" s="486"/>
      <c r="N112" s="486"/>
      <c r="O112" s="486"/>
      <c r="P112" s="486"/>
      <c r="Q112" s="486"/>
      <c r="R112" s="486"/>
      <c r="S112" s="486"/>
      <c r="T112" s="486"/>
      <c r="U112" s="486"/>
      <c r="V112" s="486"/>
      <c r="W112" s="486"/>
      <c r="X112" s="486"/>
      <c r="Y112" s="486"/>
      <c r="Z112" s="484"/>
      <c r="AA112" s="639"/>
      <c r="AB112" s="639"/>
      <c r="AC112" s="638"/>
      <c r="AD112" s="638"/>
      <c r="AE112" s="638"/>
      <c r="AF112" s="638"/>
      <c r="AG112" s="638"/>
      <c r="AH112" s="638"/>
      <c r="AI112" s="638"/>
      <c r="AJ112" s="638"/>
      <c r="AK112" s="485"/>
      <c r="AL112" s="485"/>
      <c r="AM112" s="485"/>
      <c r="AN112" s="485"/>
      <c r="AO112" s="485"/>
      <c r="AP112" s="485"/>
      <c r="AQ112" s="485"/>
      <c r="AR112" s="485"/>
      <c r="AS112" s="485"/>
      <c r="AT112" s="485"/>
      <c r="AU112" s="485"/>
      <c r="AV112" s="485"/>
    </row>
    <row r="113" spans="1:48" s="564" customFormat="1" x14ac:dyDescent="0.2">
      <c r="A113" s="216"/>
      <c r="B113" s="487"/>
      <c r="C113" s="487"/>
      <c r="D113" s="487"/>
      <c r="E113" s="487"/>
      <c r="F113" s="487"/>
      <c r="G113" s="487"/>
      <c r="H113" s="487"/>
      <c r="I113" s="487"/>
      <c r="J113" s="487"/>
      <c r="K113" s="487"/>
      <c r="L113" s="487"/>
      <c r="M113" s="487"/>
      <c r="N113" s="487"/>
      <c r="O113" s="487"/>
      <c r="P113" s="487"/>
      <c r="Q113" s="487"/>
      <c r="R113" s="487"/>
      <c r="S113" s="487"/>
      <c r="T113" s="487"/>
      <c r="U113" s="487"/>
      <c r="V113" s="487"/>
      <c r="W113" s="487"/>
      <c r="X113" s="487"/>
      <c r="Y113" s="487"/>
      <c r="Z113" s="488"/>
      <c r="AA113" s="639"/>
      <c r="AB113" s="639"/>
      <c r="AC113" s="638"/>
      <c r="AD113" s="638"/>
      <c r="AE113" s="638"/>
      <c r="AF113" s="638"/>
      <c r="AG113" s="638"/>
      <c r="AH113" s="638"/>
      <c r="AI113" s="638"/>
      <c r="AJ113" s="638"/>
      <c r="AK113" s="485"/>
      <c r="AL113" s="485"/>
      <c r="AM113" s="485"/>
      <c r="AN113" s="485"/>
      <c r="AO113" s="485"/>
      <c r="AP113" s="485"/>
      <c r="AQ113" s="485"/>
      <c r="AR113" s="485"/>
      <c r="AS113" s="485"/>
      <c r="AT113" s="485"/>
      <c r="AU113" s="485"/>
      <c r="AV113" s="485"/>
    </row>
    <row r="114" spans="1:48" s="564" customFormat="1" ht="15.75" hidden="1" x14ac:dyDescent="0.25">
      <c r="A114" s="398"/>
      <c r="B114" s="489"/>
      <c r="C114" s="500" t="e">
        <f>+IF(B137=0,"","Please investigate the error messages shown below and make the appropriate changes to the form.  Any comments should be added at the bottom of Part 4")</f>
        <v>#REF!</v>
      </c>
      <c r="D114" s="490"/>
      <c r="E114" s="490"/>
      <c r="F114" s="490"/>
      <c r="G114" s="490"/>
      <c r="H114" s="490"/>
      <c r="I114" s="490"/>
      <c r="J114" s="490"/>
      <c r="K114" s="490"/>
      <c r="L114" s="491"/>
      <c r="M114" s="491"/>
      <c r="N114" s="491"/>
      <c r="O114" s="491"/>
      <c r="P114" s="491"/>
      <c r="Q114" s="491"/>
      <c r="R114" s="491"/>
      <c r="S114" s="491"/>
      <c r="T114" s="491"/>
      <c r="U114" s="491"/>
      <c r="V114" s="491"/>
      <c r="W114" s="491"/>
      <c r="X114" s="491"/>
      <c r="Y114" s="492"/>
      <c r="Z114" s="493"/>
      <c r="AA114" s="639"/>
      <c r="AB114" s="639"/>
      <c r="AC114" s="638"/>
      <c r="AD114" s="638"/>
      <c r="AE114" s="638"/>
      <c r="AF114" s="638"/>
      <c r="AG114" s="638"/>
      <c r="AH114" s="638"/>
      <c r="AI114" s="638"/>
      <c r="AJ114" s="638"/>
      <c r="AK114" s="485"/>
      <c r="AL114" s="485"/>
      <c r="AM114" s="485"/>
      <c r="AN114" s="485"/>
      <c r="AO114" s="485"/>
      <c r="AP114" s="485"/>
      <c r="AQ114" s="485"/>
      <c r="AR114" s="485"/>
      <c r="AS114" s="485"/>
      <c r="AT114" s="485"/>
      <c r="AU114" s="485"/>
      <c r="AV114" s="485"/>
    </row>
    <row r="115" spans="1:48" s="564" customFormat="1" ht="15.75" hidden="1" x14ac:dyDescent="0.25">
      <c r="A115" s="398"/>
      <c r="B115" s="507"/>
      <c r="C115" s="508"/>
      <c r="D115" s="508"/>
      <c r="E115" s="508"/>
      <c r="F115" s="508"/>
      <c r="G115" s="508"/>
      <c r="H115" s="508"/>
      <c r="I115" s="508"/>
      <c r="J115" s="508"/>
      <c r="K115" s="508"/>
      <c r="L115" s="494"/>
      <c r="M115" s="494"/>
      <c r="N115" s="494"/>
      <c r="O115" s="494"/>
      <c r="P115" s="494"/>
      <c r="Q115" s="494"/>
      <c r="R115" s="494"/>
      <c r="S115" s="494"/>
      <c r="T115" s="494"/>
      <c r="U115" s="494"/>
      <c r="V115" s="494"/>
      <c r="W115" s="494"/>
      <c r="X115" s="494"/>
      <c r="Y115" s="495"/>
      <c r="Z115" s="493"/>
      <c r="AA115" s="639"/>
      <c r="AB115" s="639"/>
      <c r="AC115" s="638"/>
      <c r="AD115" s="638"/>
      <c r="AE115" s="638"/>
      <c r="AF115" s="638"/>
      <c r="AG115" s="638"/>
      <c r="AH115" s="638"/>
      <c r="AI115" s="638"/>
      <c r="AJ115" s="638"/>
      <c r="AK115" s="485"/>
      <c r="AL115" s="485"/>
      <c r="AM115" s="485"/>
      <c r="AN115" s="485"/>
      <c r="AO115" s="485"/>
      <c r="AP115" s="485"/>
      <c r="AQ115" s="485"/>
      <c r="AR115" s="485"/>
      <c r="AS115" s="485"/>
      <c r="AT115" s="485"/>
      <c r="AU115" s="485"/>
      <c r="AV115" s="485"/>
    </row>
    <row r="116" spans="1:48" s="564" customFormat="1" ht="15.75" hidden="1" x14ac:dyDescent="0.25">
      <c r="A116" s="499" t="e">
        <f t="shared" ref="A116:A136" si="0">+IF(C116="",0,1)</f>
        <v>#REF!</v>
      </c>
      <c r="B116" s="507"/>
      <c r="C116" s="869" t="e">
        <f>IF(#REF!=0,"","Line 14 column 5 doesn't equal line 12. Please check why.")</f>
        <v>#REF!</v>
      </c>
      <c r="D116" s="869"/>
      <c r="E116" s="869"/>
      <c r="F116" s="869"/>
      <c r="G116" s="869"/>
      <c r="H116" s="869"/>
      <c r="I116" s="869"/>
      <c r="J116" s="869"/>
      <c r="K116" s="869"/>
      <c r="L116" s="494"/>
      <c r="M116" s="494"/>
      <c r="N116" s="494"/>
      <c r="O116" s="494"/>
      <c r="P116" s="494"/>
      <c r="Q116" s="494"/>
      <c r="R116" s="494"/>
      <c r="S116" s="494"/>
      <c r="T116" s="494"/>
      <c r="U116" s="494"/>
      <c r="V116" s="494"/>
      <c r="W116" s="494"/>
      <c r="X116" s="494"/>
      <c r="Y116" s="495"/>
      <c r="Z116" s="493"/>
      <c r="AA116" s="639"/>
      <c r="AB116" s="639"/>
      <c r="AC116" s="638"/>
      <c r="AD116" s="638"/>
      <c r="AE116" s="638"/>
      <c r="AF116" s="638"/>
      <c r="AG116" s="638"/>
      <c r="AH116" s="638"/>
      <c r="AI116" s="638"/>
      <c r="AJ116" s="638"/>
      <c r="AK116" s="485"/>
      <c r="AL116" s="485"/>
      <c r="AM116" s="485"/>
      <c r="AN116" s="485"/>
      <c r="AO116" s="485"/>
      <c r="AP116" s="485"/>
      <c r="AQ116" s="485"/>
      <c r="AR116" s="485"/>
      <c r="AS116" s="485"/>
      <c r="AT116" s="485"/>
      <c r="AU116" s="485"/>
      <c r="AV116" s="485"/>
    </row>
    <row r="117" spans="1:48" s="564" customFormat="1" ht="15.75" hidden="1" x14ac:dyDescent="0.25">
      <c r="A117" s="499"/>
      <c r="B117" s="507"/>
      <c r="C117" s="869"/>
      <c r="D117" s="869"/>
      <c r="E117" s="869"/>
      <c r="F117" s="869"/>
      <c r="G117" s="869"/>
      <c r="H117" s="869"/>
      <c r="I117" s="869"/>
      <c r="J117" s="869"/>
      <c r="K117" s="869"/>
      <c r="L117" s="494"/>
      <c r="M117" s="494"/>
      <c r="N117" s="494"/>
      <c r="O117" s="494"/>
      <c r="P117" s="494"/>
      <c r="Q117" s="494"/>
      <c r="R117" s="494"/>
      <c r="S117" s="494"/>
      <c r="T117" s="494"/>
      <c r="U117" s="494"/>
      <c r="V117" s="494"/>
      <c r="W117" s="494"/>
      <c r="X117" s="494"/>
      <c r="Y117" s="495"/>
      <c r="Z117" s="493"/>
      <c r="AA117" s="639"/>
      <c r="AB117" s="639"/>
      <c r="AC117" s="638"/>
      <c r="AD117" s="638"/>
      <c r="AE117" s="638"/>
      <c r="AF117" s="638"/>
      <c r="AG117" s="638"/>
      <c r="AH117" s="638"/>
      <c r="AI117" s="638"/>
      <c r="AJ117" s="638"/>
      <c r="AK117" s="485"/>
      <c r="AL117" s="485"/>
      <c r="AM117" s="485"/>
      <c r="AN117" s="485"/>
      <c r="AO117" s="485"/>
      <c r="AP117" s="485"/>
      <c r="AQ117" s="485"/>
      <c r="AR117" s="485"/>
      <c r="AS117" s="485"/>
      <c r="AT117" s="485"/>
      <c r="AU117" s="485"/>
      <c r="AV117" s="485"/>
    </row>
    <row r="118" spans="1:48" s="564" customFormat="1" ht="15.75" hidden="1" x14ac:dyDescent="0.25">
      <c r="A118" s="499" t="e">
        <f t="shared" si="0"/>
        <v>#REF!</v>
      </c>
      <c r="B118" s="507"/>
      <c r="C118" s="506" t="e">
        <f>IF(#REF!=0,"","Line 14 column 5 doesn't equal the sum of columns 1 to 4. Please check why.")</f>
        <v>#REF!</v>
      </c>
      <c r="D118" s="506"/>
      <c r="E118" s="506"/>
      <c r="F118" s="506"/>
      <c r="G118" s="506"/>
      <c r="H118" s="506"/>
      <c r="I118" s="506"/>
      <c r="J118" s="506"/>
      <c r="K118" s="506"/>
      <c r="L118" s="494"/>
      <c r="M118" s="494"/>
      <c r="N118" s="494"/>
      <c r="O118" s="494"/>
      <c r="P118" s="494"/>
      <c r="Q118" s="494"/>
      <c r="R118" s="494"/>
      <c r="S118" s="494"/>
      <c r="T118" s="494"/>
      <c r="U118" s="494"/>
      <c r="V118" s="494"/>
      <c r="W118" s="494"/>
      <c r="X118" s="494"/>
      <c r="Y118" s="495"/>
      <c r="Z118" s="493"/>
      <c r="AA118" s="639"/>
      <c r="AB118" s="639"/>
      <c r="AC118" s="638"/>
      <c r="AD118" s="638"/>
      <c r="AE118" s="638"/>
      <c r="AF118" s="638"/>
      <c r="AG118" s="638"/>
      <c r="AH118" s="638"/>
      <c r="AI118" s="638"/>
      <c r="AJ118" s="638"/>
      <c r="AK118" s="485"/>
      <c r="AL118" s="485"/>
      <c r="AM118" s="485"/>
      <c r="AN118" s="485"/>
      <c r="AO118" s="485"/>
      <c r="AP118" s="485"/>
      <c r="AQ118" s="485"/>
      <c r="AR118" s="485"/>
      <c r="AS118" s="485"/>
      <c r="AT118" s="485"/>
      <c r="AU118" s="485"/>
      <c r="AV118" s="485"/>
    </row>
    <row r="119" spans="1:48" s="564" customFormat="1" ht="15.75" hidden="1" x14ac:dyDescent="0.25">
      <c r="A119" s="499"/>
      <c r="B119" s="507"/>
      <c r="C119" s="869"/>
      <c r="D119" s="869"/>
      <c r="E119" s="869"/>
      <c r="F119" s="869"/>
      <c r="G119" s="869"/>
      <c r="H119" s="869"/>
      <c r="I119" s="869"/>
      <c r="J119" s="869"/>
      <c r="K119" s="869"/>
      <c r="L119" s="494"/>
      <c r="M119" s="494"/>
      <c r="N119" s="494"/>
      <c r="O119" s="494"/>
      <c r="P119" s="494"/>
      <c r="Q119" s="494"/>
      <c r="R119" s="494"/>
      <c r="S119" s="494"/>
      <c r="T119" s="494"/>
      <c r="U119" s="494"/>
      <c r="V119" s="494"/>
      <c r="W119" s="494"/>
      <c r="X119" s="494"/>
      <c r="Y119" s="495"/>
      <c r="Z119" s="493"/>
      <c r="AA119" s="638"/>
      <c r="AB119" s="638"/>
      <c r="AC119" s="638"/>
      <c r="AD119" s="638"/>
      <c r="AE119" s="638"/>
      <c r="AF119" s="638"/>
      <c r="AG119" s="638"/>
      <c r="AH119" s="638"/>
      <c r="AI119" s="638"/>
      <c r="AJ119" s="638"/>
      <c r="AK119" s="485"/>
      <c r="AL119" s="485"/>
      <c r="AM119" s="485"/>
      <c r="AN119" s="485"/>
      <c r="AO119" s="485"/>
      <c r="AP119" s="485"/>
      <c r="AQ119" s="485"/>
      <c r="AR119" s="485"/>
      <c r="AS119" s="485"/>
      <c r="AT119" s="485"/>
      <c r="AU119" s="485"/>
      <c r="AV119" s="485"/>
    </row>
    <row r="120" spans="1:48" s="564" customFormat="1" ht="15.75" hidden="1" x14ac:dyDescent="0.25">
      <c r="A120" s="499" t="e">
        <f t="shared" si="0"/>
        <v>#REF!</v>
      </c>
      <c r="B120" s="507"/>
      <c r="C120" s="869" t="e">
        <f>IF(#REF!=0,"","Line 16 column 1 doesn't equal line 14 col 1 less line 15 col 1. Please check why.")</f>
        <v>#REF!</v>
      </c>
      <c r="D120" s="869"/>
      <c r="E120" s="869"/>
      <c r="F120" s="869"/>
      <c r="G120" s="869"/>
      <c r="H120" s="869"/>
      <c r="I120" s="869"/>
      <c r="J120" s="869"/>
      <c r="K120" s="869"/>
      <c r="L120" s="494"/>
      <c r="M120" s="494"/>
      <c r="N120" s="494"/>
      <c r="O120" s="494"/>
      <c r="P120" s="494"/>
      <c r="Q120" s="494"/>
      <c r="R120" s="494"/>
      <c r="S120" s="494"/>
      <c r="T120" s="494"/>
      <c r="U120" s="494"/>
      <c r="V120" s="494"/>
      <c r="W120" s="494"/>
      <c r="X120" s="494"/>
      <c r="Y120" s="495"/>
      <c r="Z120" s="493"/>
      <c r="AA120" s="638"/>
      <c r="AB120" s="638"/>
      <c r="AC120" s="638"/>
      <c r="AD120" s="638"/>
      <c r="AE120" s="638"/>
      <c r="AF120" s="638"/>
      <c r="AG120" s="638"/>
      <c r="AH120" s="638"/>
      <c r="AI120" s="638"/>
      <c r="AJ120" s="638"/>
      <c r="AK120" s="485"/>
      <c r="AL120" s="485"/>
      <c r="AM120" s="485"/>
      <c r="AN120" s="485"/>
      <c r="AO120" s="485"/>
      <c r="AP120" s="485"/>
      <c r="AQ120" s="485"/>
      <c r="AR120" s="485"/>
      <c r="AS120" s="485"/>
      <c r="AT120" s="485"/>
      <c r="AU120" s="485"/>
      <c r="AV120" s="485"/>
    </row>
    <row r="121" spans="1:48" s="564" customFormat="1" ht="15.75" hidden="1" x14ac:dyDescent="0.25">
      <c r="A121" s="499"/>
      <c r="B121" s="507"/>
      <c r="C121" s="506"/>
      <c r="D121" s="506"/>
      <c r="E121" s="506"/>
      <c r="F121" s="506"/>
      <c r="G121" s="506"/>
      <c r="H121" s="506"/>
      <c r="I121" s="506"/>
      <c r="J121" s="506"/>
      <c r="K121" s="506"/>
      <c r="L121" s="494"/>
      <c r="M121" s="494"/>
      <c r="N121" s="494"/>
      <c r="O121" s="494"/>
      <c r="P121" s="494"/>
      <c r="Q121" s="494"/>
      <c r="R121" s="494"/>
      <c r="S121" s="494"/>
      <c r="T121" s="494"/>
      <c r="U121" s="494"/>
      <c r="V121" s="494"/>
      <c r="W121" s="494"/>
      <c r="X121" s="494"/>
      <c r="Y121" s="495"/>
      <c r="Z121" s="493"/>
      <c r="AA121" s="638"/>
      <c r="AB121" s="638"/>
      <c r="AC121" s="638"/>
      <c r="AD121" s="638"/>
      <c r="AE121" s="638"/>
      <c r="AF121" s="638"/>
      <c r="AG121" s="638"/>
      <c r="AH121" s="638"/>
      <c r="AI121" s="638"/>
      <c r="AJ121" s="638"/>
      <c r="AK121" s="485"/>
      <c r="AL121" s="485"/>
      <c r="AM121" s="485"/>
      <c r="AN121" s="485"/>
      <c r="AO121" s="485"/>
      <c r="AP121" s="485"/>
      <c r="AQ121" s="485"/>
      <c r="AR121" s="485"/>
      <c r="AS121" s="485"/>
      <c r="AT121" s="485"/>
      <c r="AU121" s="485"/>
      <c r="AV121" s="485"/>
    </row>
    <row r="122" spans="1:48" s="564" customFormat="1" ht="15.75" hidden="1" x14ac:dyDescent="0.25">
      <c r="A122" s="499" t="e">
        <f t="shared" si="0"/>
        <v>#REF!</v>
      </c>
      <c r="B122" s="507"/>
      <c r="C122" s="869" t="e">
        <f>IF(#REF!=0,"","Line 17 column 5 doesn't equal column 2. Please check why.")</f>
        <v>#REF!</v>
      </c>
      <c r="D122" s="869"/>
      <c r="E122" s="869"/>
      <c r="F122" s="869"/>
      <c r="G122" s="869"/>
      <c r="H122" s="869"/>
      <c r="I122" s="869"/>
      <c r="J122" s="869"/>
      <c r="K122" s="869"/>
      <c r="L122" s="494"/>
      <c r="M122" s="494"/>
      <c r="N122" s="494"/>
      <c r="O122" s="494"/>
      <c r="P122" s="494"/>
      <c r="Q122" s="494"/>
      <c r="R122" s="494"/>
      <c r="S122" s="494"/>
      <c r="T122" s="494"/>
      <c r="U122" s="494"/>
      <c r="V122" s="494"/>
      <c r="W122" s="494"/>
      <c r="X122" s="494"/>
      <c r="Y122" s="495"/>
      <c r="Z122" s="493"/>
      <c r="AA122" s="638"/>
      <c r="AB122" s="638"/>
      <c r="AC122" s="638"/>
      <c r="AD122" s="638"/>
      <c r="AE122" s="638"/>
      <c r="AF122" s="638"/>
      <c r="AG122" s="638"/>
      <c r="AH122" s="638"/>
      <c r="AI122" s="638"/>
      <c r="AJ122" s="638"/>
      <c r="AK122" s="485"/>
      <c r="AL122" s="485"/>
      <c r="AM122" s="485"/>
      <c r="AN122" s="485"/>
      <c r="AO122" s="485"/>
      <c r="AP122" s="485"/>
      <c r="AQ122" s="485"/>
      <c r="AR122" s="485"/>
      <c r="AS122" s="485"/>
      <c r="AT122" s="485"/>
      <c r="AU122" s="485"/>
      <c r="AV122" s="485"/>
    </row>
    <row r="123" spans="1:48" s="564" customFormat="1" ht="15.75" hidden="1" x14ac:dyDescent="0.25">
      <c r="A123" s="499"/>
      <c r="B123" s="507"/>
      <c r="C123" s="869"/>
      <c r="D123" s="869"/>
      <c r="E123" s="869"/>
      <c r="F123" s="869"/>
      <c r="G123" s="869"/>
      <c r="H123" s="869"/>
      <c r="I123" s="869"/>
      <c r="J123" s="869"/>
      <c r="K123" s="869"/>
      <c r="L123" s="494"/>
      <c r="M123" s="494"/>
      <c r="N123" s="494"/>
      <c r="O123" s="494"/>
      <c r="P123" s="494"/>
      <c r="Q123" s="494"/>
      <c r="R123" s="494"/>
      <c r="S123" s="494"/>
      <c r="T123" s="494"/>
      <c r="U123" s="494"/>
      <c r="V123" s="494"/>
      <c r="W123" s="494"/>
      <c r="X123" s="494"/>
      <c r="Y123" s="495"/>
      <c r="Z123" s="493"/>
      <c r="AA123" s="638"/>
      <c r="AB123" s="638"/>
      <c r="AC123" s="638"/>
      <c r="AD123" s="638"/>
      <c r="AE123" s="638"/>
      <c r="AF123" s="638"/>
      <c r="AG123" s="638"/>
      <c r="AH123" s="638"/>
      <c r="AI123" s="638"/>
      <c r="AJ123" s="638"/>
      <c r="AK123" s="485"/>
      <c r="AL123" s="485"/>
      <c r="AM123" s="485"/>
      <c r="AN123" s="485"/>
      <c r="AO123" s="485"/>
      <c r="AP123" s="485"/>
      <c r="AQ123" s="485"/>
      <c r="AR123" s="485"/>
      <c r="AS123" s="485"/>
      <c r="AT123" s="485"/>
      <c r="AU123" s="485"/>
      <c r="AV123" s="485"/>
    </row>
    <row r="124" spans="1:48" s="564" customFormat="1" ht="15.75" hidden="1" x14ac:dyDescent="0.25">
      <c r="A124" s="499" t="e">
        <f t="shared" si="0"/>
        <v>#REF!</v>
      </c>
      <c r="B124" s="507"/>
      <c r="C124" s="869" t="e">
        <f>IF(#REF!=0,"","Line 18 column 5 doesn't equal column 2. Please check why.")</f>
        <v>#REF!</v>
      </c>
      <c r="D124" s="869"/>
      <c r="E124" s="869"/>
      <c r="F124" s="869"/>
      <c r="G124" s="869"/>
      <c r="H124" s="869"/>
      <c r="I124" s="869"/>
      <c r="J124" s="869"/>
      <c r="K124" s="869"/>
      <c r="L124" s="494"/>
      <c r="M124" s="494"/>
      <c r="N124" s="494"/>
      <c r="O124" s="494"/>
      <c r="P124" s="494"/>
      <c r="Q124" s="494"/>
      <c r="R124" s="494"/>
      <c r="S124" s="494"/>
      <c r="T124" s="494"/>
      <c r="U124" s="494"/>
      <c r="V124" s="494"/>
      <c r="W124" s="494"/>
      <c r="X124" s="494"/>
      <c r="Y124" s="495"/>
      <c r="Z124" s="493"/>
      <c r="AA124" s="638"/>
      <c r="AB124" s="638"/>
      <c r="AC124" s="638"/>
      <c r="AD124" s="638"/>
      <c r="AE124" s="638"/>
      <c r="AF124" s="638"/>
      <c r="AG124" s="638"/>
      <c r="AH124" s="638"/>
      <c r="AI124" s="638"/>
      <c r="AJ124" s="638"/>
      <c r="AK124" s="485"/>
      <c r="AL124" s="485"/>
      <c r="AM124" s="485"/>
      <c r="AN124" s="485"/>
      <c r="AO124" s="485"/>
      <c r="AP124" s="485"/>
      <c r="AQ124" s="485"/>
      <c r="AR124" s="485"/>
      <c r="AS124" s="485"/>
      <c r="AT124" s="485"/>
      <c r="AU124" s="485"/>
      <c r="AV124" s="485"/>
    </row>
    <row r="125" spans="1:48" s="564" customFormat="1" ht="15.75" hidden="1" x14ac:dyDescent="0.25">
      <c r="A125" s="499"/>
      <c r="B125" s="507"/>
      <c r="C125" s="869"/>
      <c r="D125" s="869"/>
      <c r="E125" s="869"/>
      <c r="F125" s="869"/>
      <c r="G125" s="869"/>
      <c r="H125" s="869"/>
      <c r="I125" s="869"/>
      <c r="J125" s="869"/>
      <c r="K125" s="869"/>
      <c r="L125" s="494"/>
      <c r="M125" s="494"/>
      <c r="N125" s="494"/>
      <c r="O125" s="494"/>
      <c r="P125" s="494"/>
      <c r="Q125" s="494"/>
      <c r="R125" s="494"/>
      <c r="S125" s="494"/>
      <c r="T125" s="494"/>
      <c r="U125" s="494"/>
      <c r="V125" s="494"/>
      <c r="W125" s="494"/>
      <c r="X125" s="494"/>
      <c r="Y125" s="495"/>
      <c r="Z125" s="493"/>
      <c r="AA125" s="638"/>
      <c r="AB125" s="638"/>
      <c r="AC125" s="638"/>
      <c r="AD125" s="638"/>
      <c r="AE125" s="638"/>
      <c r="AF125" s="638"/>
      <c r="AG125" s="638"/>
      <c r="AH125" s="638"/>
      <c r="AI125" s="638"/>
      <c r="AJ125" s="638"/>
      <c r="AK125" s="485"/>
      <c r="AL125" s="485"/>
      <c r="AM125" s="485"/>
      <c r="AN125" s="485"/>
      <c r="AO125" s="485"/>
      <c r="AP125" s="485"/>
      <c r="AQ125" s="485"/>
      <c r="AR125" s="485"/>
      <c r="AS125" s="485"/>
      <c r="AT125" s="485"/>
      <c r="AU125" s="485"/>
      <c r="AV125" s="485"/>
    </row>
    <row r="126" spans="1:48" s="564" customFormat="1" ht="15.75" hidden="1" x14ac:dyDescent="0.25">
      <c r="A126" s="499" t="e">
        <f t="shared" si="0"/>
        <v>#REF!</v>
      </c>
      <c r="B126" s="507"/>
      <c r="C126" s="869" t="e">
        <f>IF(#REF!=0,"","Line 19 column 5 doesn't equal column 2 plus column 3. Please check why.")</f>
        <v>#REF!</v>
      </c>
      <c r="D126" s="869"/>
      <c r="E126" s="869"/>
      <c r="F126" s="869"/>
      <c r="G126" s="869"/>
      <c r="H126" s="869"/>
      <c r="I126" s="869"/>
      <c r="J126" s="869"/>
      <c r="K126" s="869"/>
      <c r="L126" s="494"/>
      <c r="M126" s="494"/>
      <c r="N126" s="494"/>
      <c r="O126" s="494"/>
      <c r="P126" s="494"/>
      <c r="Q126" s="494"/>
      <c r="R126" s="494"/>
      <c r="S126" s="494"/>
      <c r="T126" s="494"/>
      <c r="U126" s="494"/>
      <c r="V126" s="494"/>
      <c r="W126" s="494"/>
      <c r="X126" s="494"/>
      <c r="Y126" s="495"/>
      <c r="Z126" s="493"/>
      <c r="AA126" s="638"/>
      <c r="AB126" s="638"/>
      <c r="AC126" s="638"/>
      <c r="AD126" s="638"/>
      <c r="AE126" s="638"/>
      <c r="AF126" s="638"/>
      <c r="AG126" s="638"/>
      <c r="AH126" s="638"/>
      <c r="AI126" s="638"/>
      <c r="AJ126" s="638"/>
      <c r="AK126" s="485"/>
      <c r="AL126" s="485"/>
      <c r="AM126" s="485"/>
      <c r="AN126" s="485"/>
      <c r="AO126" s="485"/>
      <c r="AP126" s="485"/>
      <c r="AQ126" s="485"/>
      <c r="AR126" s="485"/>
      <c r="AS126" s="485"/>
      <c r="AT126" s="485"/>
      <c r="AU126" s="485"/>
      <c r="AV126" s="485"/>
    </row>
    <row r="127" spans="1:48" s="564" customFormat="1" ht="15.75" hidden="1" x14ac:dyDescent="0.25">
      <c r="A127" s="499"/>
      <c r="B127" s="507"/>
      <c r="C127" s="506"/>
      <c r="D127" s="506"/>
      <c r="E127" s="506"/>
      <c r="F127" s="506"/>
      <c r="G127" s="506"/>
      <c r="H127" s="506"/>
      <c r="I127" s="506"/>
      <c r="J127" s="506"/>
      <c r="K127" s="506"/>
      <c r="L127" s="494"/>
      <c r="M127" s="494"/>
      <c r="N127" s="494"/>
      <c r="O127" s="494"/>
      <c r="P127" s="494"/>
      <c r="Q127" s="494"/>
      <c r="R127" s="494"/>
      <c r="S127" s="494"/>
      <c r="T127" s="494"/>
      <c r="U127" s="494"/>
      <c r="V127" s="494"/>
      <c r="W127" s="494"/>
      <c r="X127" s="494"/>
      <c r="Y127" s="495"/>
      <c r="Z127" s="498"/>
      <c r="AA127" s="638"/>
      <c r="AB127" s="638"/>
      <c r="AC127" s="638"/>
      <c r="AD127" s="638"/>
      <c r="AE127" s="638"/>
      <c r="AF127" s="638"/>
      <c r="AG127" s="638"/>
      <c r="AH127" s="638"/>
      <c r="AI127" s="638"/>
      <c r="AJ127" s="638"/>
      <c r="AK127" s="485"/>
      <c r="AL127" s="485"/>
      <c r="AM127" s="485"/>
      <c r="AN127" s="485"/>
      <c r="AO127" s="485"/>
      <c r="AP127" s="485"/>
      <c r="AQ127" s="485"/>
      <c r="AR127" s="485"/>
      <c r="AS127" s="485"/>
      <c r="AT127" s="485"/>
      <c r="AU127" s="485"/>
      <c r="AV127" s="485"/>
    </row>
    <row r="128" spans="1:48" s="564" customFormat="1" ht="15.75" hidden="1" x14ac:dyDescent="0.25">
      <c r="A128" s="499" t="e">
        <f t="shared" si="0"/>
        <v>#REF!</v>
      </c>
      <c r="B128" s="507"/>
      <c r="C128" s="869" t="e">
        <f>IF(#REF!=0,"","Line 19 column 5 doesn't equal column 2 plus column 3. Please check why.")</f>
        <v>#REF!</v>
      </c>
      <c r="D128" s="869"/>
      <c r="E128" s="869"/>
      <c r="F128" s="869"/>
      <c r="G128" s="869"/>
      <c r="H128" s="869"/>
      <c r="I128" s="869"/>
      <c r="J128" s="869"/>
      <c r="K128" s="869"/>
      <c r="L128" s="494"/>
      <c r="M128" s="494"/>
      <c r="N128" s="494"/>
      <c r="O128" s="494"/>
      <c r="P128" s="494"/>
      <c r="Q128" s="494"/>
      <c r="R128" s="494"/>
      <c r="S128" s="494"/>
      <c r="T128" s="494"/>
      <c r="U128" s="494"/>
      <c r="V128" s="494"/>
      <c r="W128" s="494"/>
      <c r="X128" s="494"/>
      <c r="Y128" s="495"/>
      <c r="Z128" s="498"/>
      <c r="AA128" s="638"/>
      <c r="AB128" s="638"/>
      <c r="AC128" s="638"/>
      <c r="AD128" s="638"/>
      <c r="AE128" s="638"/>
      <c r="AF128" s="638"/>
      <c r="AG128" s="638"/>
      <c r="AH128" s="638"/>
      <c r="AI128" s="638"/>
      <c r="AJ128" s="638"/>
      <c r="AK128" s="485"/>
      <c r="AL128" s="485"/>
      <c r="AM128" s="485"/>
      <c r="AN128" s="485"/>
      <c r="AO128" s="485"/>
      <c r="AP128" s="485"/>
      <c r="AQ128" s="485"/>
      <c r="AR128" s="485"/>
      <c r="AS128" s="485"/>
      <c r="AT128" s="485"/>
      <c r="AU128" s="485"/>
      <c r="AV128" s="485"/>
    </row>
    <row r="129" spans="1:248" s="564" customFormat="1" ht="15.75" hidden="1" x14ac:dyDescent="0.25">
      <c r="A129" s="499"/>
      <c r="B129" s="507"/>
      <c r="C129" s="869"/>
      <c r="D129" s="869"/>
      <c r="E129" s="869"/>
      <c r="F129" s="869"/>
      <c r="G129" s="869"/>
      <c r="H129" s="869"/>
      <c r="I129" s="869"/>
      <c r="J129" s="869"/>
      <c r="K129" s="869"/>
      <c r="L129" s="494"/>
      <c r="M129" s="494"/>
      <c r="N129" s="494"/>
      <c r="O129" s="494"/>
      <c r="P129" s="494"/>
      <c r="Q129" s="494"/>
      <c r="R129" s="494"/>
      <c r="S129" s="494"/>
      <c r="T129" s="494"/>
      <c r="U129" s="494"/>
      <c r="V129" s="494"/>
      <c r="W129" s="494"/>
      <c r="X129" s="494"/>
      <c r="Y129" s="495"/>
      <c r="Z129" s="493"/>
      <c r="AA129" s="638"/>
      <c r="AB129" s="638"/>
      <c r="AC129" s="638"/>
      <c r="AD129" s="638"/>
      <c r="AE129" s="638"/>
      <c r="AF129" s="638"/>
      <c r="AG129" s="638"/>
      <c r="AH129" s="638"/>
      <c r="AI129" s="638"/>
      <c r="AJ129" s="638"/>
      <c r="AK129" s="485"/>
      <c r="AL129" s="485"/>
      <c r="AM129" s="485"/>
      <c r="AN129" s="485"/>
      <c r="AO129" s="485"/>
      <c r="AP129" s="485"/>
      <c r="AQ129" s="485"/>
      <c r="AR129" s="485"/>
      <c r="AS129" s="485"/>
      <c r="AT129" s="485"/>
      <c r="AU129" s="485"/>
      <c r="AV129" s="485"/>
    </row>
    <row r="130" spans="1:248" s="564" customFormat="1" ht="15.75" hidden="1" x14ac:dyDescent="0.25">
      <c r="A130" s="499" t="e">
        <f t="shared" si="0"/>
        <v>#REF!</v>
      </c>
      <c r="B130" s="507"/>
      <c r="C130" s="869" t="e">
        <f>IF(#REF!=0,"","Line 21 column 5 doesn't equal the sum of columns 2, 3 &amp; 4. Please check why.")</f>
        <v>#REF!</v>
      </c>
      <c r="D130" s="869"/>
      <c r="E130" s="869"/>
      <c r="F130" s="869"/>
      <c r="G130" s="869"/>
      <c r="H130" s="869"/>
      <c r="I130" s="869"/>
      <c r="J130" s="869"/>
      <c r="K130" s="869"/>
      <c r="L130" s="494"/>
      <c r="M130" s="494"/>
      <c r="N130" s="494"/>
      <c r="O130" s="494"/>
      <c r="P130" s="494"/>
      <c r="Q130" s="494"/>
      <c r="R130" s="494"/>
      <c r="S130" s="494"/>
      <c r="T130" s="494"/>
      <c r="U130" s="494"/>
      <c r="V130" s="494"/>
      <c r="W130" s="494"/>
      <c r="X130" s="494"/>
      <c r="Y130" s="495"/>
      <c r="Z130" s="493"/>
      <c r="AA130" s="638"/>
      <c r="AB130" s="638"/>
      <c r="AC130" s="638"/>
      <c r="AD130" s="638"/>
      <c r="AE130" s="638"/>
      <c r="AF130" s="638"/>
      <c r="AG130" s="638"/>
      <c r="AH130" s="638"/>
      <c r="AI130" s="638"/>
      <c r="AJ130" s="638"/>
      <c r="AK130" s="485"/>
      <c r="AL130" s="485"/>
      <c r="AM130" s="485"/>
      <c r="AN130" s="485"/>
      <c r="AO130" s="485"/>
      <c r="AP130" s="485"/>
      <c r="AQ130" s="485"/>
      <c r="AR130" s="485"/>
      <c r="AS130" s="485"/>
      <c r="AT130" s="485"/>
      <c r="AU130" s="485"/>
      <c r="AV130" s="485"/>
    </row>
    <row r="131" spans="1:248" s="564" customFormat="1" ht="15.75" hidden="1" x14ac:dyDescent="0.25">
      <c r="A131" s="499"/>
      <c r="B131" s="507"/>
      <c r="C131" s="869"/>
      <c r="D131" s="869"/>
      <c r="E131" s="869"/>
      <c r="F131" s="869"/>
      <c r="G131" s="869"/>
      <c r="H131" s="869"/>
      <c r="I131" s="869"/>
      <c r="J131" s="869"/>
      <c r="K131" s="869"/>
      <c r="L131" s="494"/>
      <c r="M131" s="494"/>
      <c r="N131" s="494"/>
      <c r="O131" s="494"/>
      <c r="P131" s="494"/>
      <c r="Q131" s="494"/>
      <c r="R131" s="494"/>
      <c r="S131" s="494"/>
      <c r="T131" s="494"/>
      <c r="U131" s="494"/>
      <c r="V131" s="494"/>
      <c r="W131" s="494"/>
      <c r="X131" s="494"/>
      <c r="Y131" s="495"/>
      <c r="Z131" s="493"/>
      <c r="AA131" s="638"/>
      <c r="AB131" s="638"/>
      <c r="AC131" s="638"/>
      <c r="AD131" s="638"/>
      <c r="AE131" s="638"/>
      <c r="AF131" s="638"/>
      <c r="AG131" s="638"/>
      <c r="AH131" s="638"/>
      <c r="AI131" s="638"/>
      <c r="AJ131" s="638"/>
      <c r="AK131" s="485"/>
      <c r="AL131" s="485"/>
      <c r="AM131" s="485"/>
      <c r="AN131" s="485"/>
      <c r="AO131" s="485"/>
      <c r="AP131" s="485"/>
      <c r="AQ131" s="485"/>
      <c r="AR131" s="485"/>
      <c r="AS131" s="485"/>
      <c r="AT131" s="485"/>
      <c r="AU131" s="485"/>
      <c r="AV131" s="485"/>
    </row>
    <row r="132" spans="1:248" s="564" customFormat="1" ht="15.75" hidden="1" x14ac:dyDescent="0.25">
      <c r="A132" s="499" t="e">
        <f t="shared" si="0"/>
        <v>#REF!</v>
      </c>
      <c r="B132" s="507"/>
      <c r="C132" s="869" t="e">
        <f>IF(#REF!=0,"","Line 22 column 5 doesn't equal column 2. Please check why.")</f>
        <v>#REF!</v>
      </c>
      <c r="D132" s="869"/>
      <c r="E132" s="869"/>
      <c r="F132" s="869"/>
      <c r="G132" s="869"/>
      <c r="H132" s="869"/>
      <c r="I132" s="869"/>
      <c r="J132" s="869"/>
      <c r="K132" s="869"/>
      <c r="L132" s="494"/>
      <c r="M132" s="494"/>
      <c r="N132" s="494"/>
      <c r="O132" s="494"/>
      <c r="P132" s="494"/>
      <c r="Q132" s="494"/>
      <c r="R132" s="494"/>
      <c r="S132" s="494"/>
      <c r="T132" s="494"/>
      <c r="U132" s="494"/>
      <c r="V132" s="494"/>
      <c r="W132" s="494"/>
      <c r="X132" s="494"/>
      <c r="Y132" s="495"/>
      <c r="Z132" s="493"/>
      <c r="AA132" s="638"/>
      <c r="AB132" s="638"/>
      <c r="AC132" s="638"/>
      <c r="AD132" s="638"/>
      <c r="AE132" s="638"/>
      <c r="AF132" s="638"/>
      <c r="AG132" s="638"/>
      <c r="AH132" s="638"/>
      <c r="AI132" s="638"/>
      <c r="AJ132" s="638"/>
      <c r="AK132" s="485"/>
      <c r="AL132" s="485"/>
      <c r="AM132" s="485"/>
      <c r="AN132" s="485"/>
      <c r="AO132" s="485"/>
      <c r="AP132" s="485"/>
      <c r="AQ132" s="485"/>
      <c r="AR132" s="485"/>
      <c r="AS132" s="485"/>
      <c r="AT132" s="485"/>
      <c r="AU132" s="485"/>
      <c r="AV132" s="485"/>
    </row>
    <row r="133" spans="1:248" s="564" customFormat="1" ht="15.75" hidden="1" x14ac:dyDescent="0.25">
      <c r="A133" s="499"/>
      <c r="B133" s="507"/>
      <c r="C133" s="506"/>
      <c r="D133" s="506"/>
      <c r="E133" s="506"/>
      <c r="F133" s="506"/>
      <c r="G133" s="506"/>
      <c r="H133" s="506"/>
      <c r="I133" s="506"/>
      <c r="J133" s="506"/>
      <c r="K133" s="506"/>
      <c r="L133" s="494"/>
      <c r="M133" s="494"/>
      <c r="N133" s="494"/>
      <c r="O133" s="494"/>
      <c r="P133" s="494"/>
      <c r="Q133" s="494"/>
      <c r="R133" s="494"/>
      <c r="S133" s="494"/>
      <c r="T133" s="494"/>
      <c r="U133" s="494"/>
      <c r="V133" s="494"/>
      <c r="W133" s="494"/>
      <c r="X133" s="494"/>
      <c r="Y133" s="495"/>
      <c r="Z133" s="493"/>
      <c r="AA133" s="638"/>
      <c r="AB133" s="638"/>
      <c r="AC133" s="638"/>
      <c r="AD133" s="638"/>
      <c r="AE133" s="638"/>
      <c r="AF133" s="638"/>
      <c r="AG133" s="638"/>
      <c r="AH133" s="638"/>
      <c r="AI133" s="638"/>
      <c r="AJ133" s="638"/>
      <c r="AK133" s="485"/>
      <c r="AL133" s="485"/>
      <c r="AM133" s="485"/>
      <c r="AN133" s="485"/>
      <c r="AO133" s="485"/>
      <c r="AP133" s="485"/>
      <c r="AQ133" s="485"/>
      <c r="AR133" s="485"/>
      <c r="AS133" s="485"/>
      <c r="AT133" s="485"/>
      <c r="AU133" s="485"/>
      <c r="AV133" s="485"/>
    </row>
    <row r="134" spans="1:248" s="564" customFormat="1" ht="15.75" hidden="1" x14ac:dyDescent="0.25">
      <c r="A134" s="499" t="e">
        <f>+IF(C134="",0,1)</f>
        <v>#REF!</v>
      </c>
      <c r="B134" s="507"/>
      <c r="C134" s="869" t="e">
        <f>IF(#REF!=0,"","Line 24 column 5 doesn't equal the sum of columns 1 to 4. Please check why.")</f>
        <v>#REF!</v>
      </c>
      <c r="D134" s="869"/>
      <c r="E134" s="869"/>
      <c r="F134" s="869"/>
      <c r="G134" s="869"/>
      <c r="H134" s="869"/>
      <c r="I134" s="869"/>
      <c r="J134" s="869"/>
      <c r="K134" s="869"/>
      <c r="L134" s="494"/>
      <c r="M134" s="494"/>
      <c r="N134" s="494"/>
      <c r="O134" s="494"/>
      <c r="P134" s="494"/>
      <c r="Q134" s="494"/>
      <c r="R134" s="494"/>
      <c r="S134" s="494"/>
      <c r="T134" s="494"/>
      <c r="U134" s="494"/>
      <c r="V134" s="494"/>
      <c r="W134" s="494"/>
      <c r="X134" s="494"/>
      <c r="Y134" s="495"/>
      <c r="Z134" s="493"/>
      <c r="AA134" s="638"/>
      <c r="AB134" s="638"/>
      <c r="AC134" s="638"/>
      <c r="AD134" s="638"/>
      <c r="AE134" s="638"/>
      <c r="AF134" s="638"/>
      <c r="AG134" s="638"/>
      <c r="AH134" s="638"/>
      <c r="AI134" s="638"/>
      <c r="AJ134" s="638"/>
      <c r="AK134" s="485"/>
      <c r="AL134" s="485"/>
      <c r="AM134" s="485"/>
      <c r="AN134" s="485"/>
      <c r="AO134" s="485"/>
      <c r="AP134" s="485"/>
      <c r="AQ134" s="485"/>
      <c r="AR134" s="485"/>
      <c r="AS134" s="485"/>
      <c r="AT134" s="485"/>
      <c r="AU134" s="485"/>
      <c r="AV134" s="485"/>
    </row>
    <row r="135" spans="1:248" s="564" customFormat="1" ht="15.75" hidden="1" x14ac:dyDescent="0.25">
      <c r="A135" s="499"/>
      <c r="B135" s="507"/>
      <c r="C135" s="869"/>
      <c r="D135" s="869"/>
      <c r="E135" s="869"/>
      <c r="F135" s="869"/>
      <c r="G135" s="869"/>
      <c r="H135" s="869"/>
      <c r="I135" s="869"/>
      <c r="J135" s="869"/>
      <c r="K135" s="869"/>
      <c r="L135" s="494"/>
      <c r="M135" s="494"/>
      <c r="N135" s="494"/>
      <c r="O135" s="494"/>
      <c r="P135" s="494"/>
      <c r="Q135" s="494"/>
      <c r="R135" s="494"/>
      <c r="S135" s="494"/>
      <c r="T135" s="494"/>
      <c r="U135" s="494"/>
      <c r="V135" s="494"/>
      <c r="W135" s="494"/>
      <c r="X135" s="494"/>
      <c r="Y135" s="495"/>
      <c r="Z135" s="493"/>
      <c r="AA135" s="638"/>
      <c r="AB135" s="638"/>
      <c r="AC135" s="638"/>
      <c r="AD135" s="638"/>
      <c r="AE135" s="638"/>
      <c r="AF135" s="638"/>
      <c r="AG135" s="638"/>
      <c r="AH135" s="638"/>
      <c r="AI135" s="638"/>
      <c r="AJ135" s="638"/>
      <c r="AK135" s="485"/>
      <c r="AL135" s="485"/>
      <c r="AM135" s="485"/>
      <c r="AN135" s="485"/>
      <c r="AO135" s="485"/>
      <c r="AP135" s="485"/>
      <c r="AQ135" s="485"/>
      <c r="AR135" s="485"/>
      <c r="AS135" s="485"/>
      <c r="AT135" s="485"/>
      <c r="AU135" s="485"/>
      <c r="AV135" s="485"/>
    </row>
    <row r="136" spans="1:248" s="564" customFormat="1" ht="15.75" hidden="1" x14ac:dyDescent="0.25">
      <c r="A136" s="499" t="e">
        <f t="shared" si="0"/>
        <v>#REF!</v>
      </c>
      <c r="B136" s="507"/>
      <c r="C136" s="506" t="e">
        <f>IF(#REF!=0,"","Line 25 column 5 doesn't equal the sum of columns 1 to 4. Please check why.")</f>
        <v>#REF!</v>
      </c>
      <c r="D136" s="506"/>
      <c r="E136" s="506"/>
      <c r="F136" s="506"/>
      <c r="G136" s="506"/>
      <c r="H136" s="506"/>
      <c r="I136" s="506"/>
      <c r="J136" s="506"/>
      <c r="K136" s="506"/>
      <c r="L136" s="494"/>
      <c r="M136" s="494"/>
      <c r="N136" s="494"/>
      <c r="O136" s="494"/>
      <c r="P136" s="494"/>
      <c r="Q136" s="494"/>
      <c r="R136" s="494"/>
      <c r="S136" s="494"/>
      <c r="T136" s="494"/>
      <c r="U136" s="494"/>
      <c r="V136" s="494"/>
      <c r="W136" s="494"/>
      <c r="X136" s="494"/>
      <c r="Y136" s="495"/>
      <c r="Z136" s="493"/>
      <c r="AA136" s="638"/>
      <c r="AB136" s="638"/>
      <c r="AC136" s="638"/>
      <c r="AD136" s="638"/>
      <c r="AE136" s="638"/>
      <c r="AF136" s="638"/>
      <c r="AG136" s="638"/>
      <c r="AH136" s="638"/>
      <c r="AI136" s="638"/>
      <c r="AJ136" s="638"/>
      <c r="AK136" s="485"/>
      <c r="AL136" s="485"/>
      <c r="AM136" s="485"/>
      <c r="AN136" s="485"/>
      <c r="AO136" s="485"/>
      <c r="AP136" s="485"/>
      <c r="AQ136" s="485"/>
      <c r="AR136" s="485"/>
      <c r="AS136" s="485"/>
      <c r="AT136" s="485"/>
      <c r="AU136" s="485"/>
      <c r="AV136" s="485"/>
    </row>
    <row r="137" spans="1:248" s="564" customFormat="1" ht="15.75" hidden="1" x14ac:dyDescent="0.25">
      <c r="A137" s="217"/>
      <c r="B137" s="871" t="e">
        <f>SUM(A116:A136)</f>
        <v>#REF!</v>
      </c>
      <c r="C137" s="872"/>
      <c r="D137" s="872"/>
      <c r="E137" s="872"/>
      <c r="F137" s="872"/>
      <c r="G137" s="872"/>
      <c r="H137" s="872"/>
      <c r="I137" s="509"/>
      <c r="J137" s="509"/>
      <c r="K137" s="509"/>
      <c r="L137" s="496"/>
      <c r="M137" s="496"/>
      <c r="N137" s="496"/>
      <c r="O137" s="496"/>
      <c r="P137" s="496"/>
      <c r="Q137" s="496"/>
      <c r="R137" s="496"/>
      <c r="S137" s="496"/>
      <c r="T137" s="496"/>
      <c r="U137" s="496"/>
      <c r="V137" s="496"/>
      <c r="W137" s="496"/>
      <c r="X137" s="496"/>
      <c r="Y137" s="497"/>
      <c r="Z137" s="493"/>
      <c r="AA137" s="638"/>
      <c r="AB137" s="638"/>
      <c r="AC137" s="638"/>
      <c r="AD137" s="638"/>
      <c r="AE137" s="638"/>
      <c r="AF137" s="638"/>
      <c r="AG137" s="638"/>
      <c r="AH137" s="638"/>
      <c r="AI137" s="638"/>
      <c r="AJ137" s="638"/>
      <c r="AK137" s="485"/>
      <c r="AL137" s="485"/>
      <c r="AM137" s="485"/>
      <c r="AN137" s="485"/>
      <c r="AO137" s="485"/>
      <c r="AP137" s="485"/>
      <c r="AQ137" s="485"/>
      <c r="AR137" s="485"/>
      <c r="AS137" s="485"/>
      <c r="AT137" s="485"/>
      <c r="AU137" s="485"/>
      <c r="AV137" s="485"/>
    </row>
    <row r="138" spans="1:248" ht="15.75" thickBot="1" x14ac:dyDescent="0.25">
      <c r="A138" s="218"/>
      <c r="B138" s="85"/>
      <c r="C138" s="870"/>
      <c r="D138" s="870"/>
      <c r="E138" s="870"/>
      <c r="F138" s="870"/>
      <c r="G138" s="870"/>
      <c r="H138" s="870"/>
      <c r="I138" s="870"/>
      <c r="J138" s="85"/>
      <c r="K138" s="85"/>
      <c r="L138" s="85"/>
      <c r="M138" s="85"/>
      <c r="N138" s="85"/>
      <c r="O138" s="85"/>
      <c r="P138" s="85"/>
      <c r="Q138" s="85"/>
      <c r="R138" s="85"/>
      <c r="S138" s="85"/>
      <c r="T138" s="85"/>
      <c r="U138" s="85"/>
      <c r="V138" s="85"/>
      <c r="W138" s="85"/>
      <c r="X138" s="85"/>
      <c r="Y138" s="85"/>
      <c r="Z138" s="105"/>
      <c r="AA138" s="633"/>
      <c r="AB138" s="633"/>
      <c r="AC138" s="633"/>
      <c r="AD138" s="633"/>
      <c r="AE138" s="633"/>
      <c r="AF138" s="633"/>
      <c r="AG138" s="633"/>
      <c r="AH138" s="633"/>
      <c r="AI138" s="633"/>
      <c r="AJ138" s="633"/>
    </row>
    <row r="139" spans="1:248" x14ac:dyDescent="0.2">
      <c r="A139" s="625"/>
      <c r="B139" s="263"/>
      <c r="C139" s="263"/>
      <c r="D139" s="263"/>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533"/>
      <c r="AA139" s="633"/>
      <c r="AB139" s="633"/>
      <c r="AC139" s="633"/>
      <c r="AD139" s="633"/>
      <c r="AE139" s="633"/>
      <c r="AF139" s="633"/>
      <c r="AG139" s="633"/>
      <c r="AH139" s="633"/>
      <c r="AI139" s="633"/>
      <c r="AJ139" s="633"/>
    </row>
    <row r="140" spans="1:248" ht="15.75" x14ac:dyDescent="0.25">
      <c r="A140" s="219"/>
      <c r="B140" s="2"/>
      <c r="C140" s="12" t="str">
        <f>+CONCATENATE("Local Authority : ",+'Part 1'!$L$14)</f>
        <v>Local Authority : England</v>
      </c>
      <c r="D140" s="2"/>
      <c r="E140" s="2"/>
      <c r="F140" s="2"/>
      <c r="G140" s="2"/>
      <c r="H140" s="2"/>
      <c r="I140" s="2"/>
      <c r="J140" s="2"/>
      <c r="K140" s="2"/>
      <c r="L140" s="2"/>
      <c r="M140" s="2"/>
      <c r="N140" s="2"/>
      <c r="O140" s="2"/>
      <c r="P140" s="2"/>
      <c r="Q140" s="2"/>
      <c r="R140" s="2"/>
      <c r="S140" s="2"/>
      <c r="T140" s="2"/>
      <c r="U140" s="2"/>
      <c r="V140" s="2"/>
      <c r="W140" s="313" t="str">
        <f>+W19</f>
        <v>Ver</v>
      </c>
      <c r="X140" s="527">
        <f>+X62</f>
        <v>1.1000000000000001</v>
      </c>
      <c r="Y140" s="2"/>
      <c r="Z140" s="11"/>
      <c r="AA140" s="633"/>
      <c r="AB140" s="633"/>
      <c r="AC140" s="633"/>
      <c r="AD140" s="633"/>
      <c r="AE140" s="633"/>
      <c r="AF140" s="633"/>
      <c r="AG140" s="633"/>
      <c r="AH140" s="633"/>
      <c r="AI140" s="633"/>
      <c r="AJ140" s="633"/>
    </row>
    <row r="141" spans="1:248" ht="15.75" x14ac:dyDescent="0.25">
      <c r="A141" s="219"/>
      <c r="B141" s="2"/>
      <c r="C141" s="12"/>
      <c r="D141" s="2"/>
      <c r="E141" s="2"/>
      <c r="F141" s="2"/>
      <c r="G141" s="2"/>
      <c r="H141" s="2"/>
      <c r="I141" s="2"/>
      <c r="J141" s="2"/>
      <c r="K141" s="2"/>
      <c r="L141" s="2"/>
      <c r="M141" s="2"/>
      <c r="N141" s="2"/>
      <c r="O141" s="2"/>
      <c r="P141" s="2"/>
      <c r="Q141" s="2"/>
      <c r="R141" s="2"/>
      <c r="S141" s="2"/>
      <c r="T141" s="2"/>
      <c r="U141" s="2"/>
      <c r="V141" s="2"/>
      <c r="W141" s="2"/>
      <c r="X141" s="2"/>
      <c r="Y141" s="2"/>
      <c r="Z141" s="11"/>
      <c r="AA141" s="633"/>
      <c r="AB141" s="633"/>
      <c r="AC141" s="633"/>
      <c r="AD141" s="633"/>
      <c r="AE141" s="633"/>
      <c r="AF141" s="633"/>
      <c r="AG141" s="633"/>
      <c r="AH141" s="633"/>
      <c r="AI141" s="633"/>
      <c r="AJ141" s="633"/>
    </row>
    <row r="142" spans="1:248" ht="15.75" x14ac:dyDescent="0.25">
      <c r="A142" s="219"/>
      <c r="B142" s="2"/>
      <c r="C142" s="13" t="s">
        <v>1034</v>
      </c>
      <c r="D142" s="2"/>
      <c r="E142" s="2"/>
      <c r="F142" s="2"/>
      <c r="G142" s="2"/>
      <c r="H142" s="2"/>
      <c r="I142" s="2"/>
      <c r="J142" s="2"/>
      <c r="K142" s="2"/>
      <c r="L142" s="2"/>
      <c r="M142" s="2"/>
      <c r="N142" s="2"/>
      <c r="O142" s="2"/>
      <c r="P142" s="2"/>
      <c r="Q142" s="2"/>
      <c r="R142" s="2"/>
      <c r="S142" s="2"/>
      <c r="T142" s="2"/>
      <c r="U142" s="2"/>
      <c r="V142" s="2"/>
      <c r="W142" s="2"/>
      <c r="X142" s="2"/>
      <c r="Y142" s="2"/>
      <c r="Z142" s="11"/>
      <c r="AA142" s="633"/>
      <c r="AB142" s="633"/>
      <c r="AC142" s="633"/>
      <c r="AD142" s="633"/>
      <c r="AE142" s="633"/>
      <c r="AF142" s="633"/>
      <c r="AG142" s="633"/>
      <c r="AH142" s="633"/>
      <c r="AI142" s="633"/>
      <c r="AJ142" s="633"/>
      <c r="AK142" s="289"/>
      <c r="AL142" s="289"/>
      <c r="AM142" s="289"/>
      <c r="AN142" s="289"/>
      <c r="AO142" s="289"/>
      <c r="AP142" s="289"/>
      <c r="AQ142" s="289"/>
      <c r="AR142" s="289"/>
      <c r="AS142" s="289"/>
      <c r="AT142" s="289"/>
      <c r="AU142" s="289"/>
      <c r="AV142" s="289"/>
      <c r="AW142" s="565"/>
      <c r="AX142" s="565"/>
      <c r="AY142" s="565"/>
      <c r="AZ142" s="565"/>
      <c r="BA142" s="565"/>
      <c r="BB142" s="565"/>
      <c r="BC142" s="565"/>
      <c r="BD142" s="565"/>
      <c r="BE142" s="565"/>
      <c r="BF142" s="565"/>
      <c r="BG142" s="565"/>
      <c r="BH142" s="565"/>
      <c r="BI142" s="565"/>
      <c r="BJ142" s="565"/>
      <c r="BK142" s="565"/>
      <c r="BL142" s="565"/>
      <c r="BM142" s="565"/>
      <c r="BN142" s="565"/>
      <c r="BO142" s="565"/>
      <c r="BP142" s="565"/>
      <c r="BQ142" s="565"/>
      <c r="BR142" s="565"/>
      <c r="BS142" s="565"/>
      <c r="BT142" s="565"/>
      <c r="BU142" s="565"/>
      <c r="BV142" s="565"/>
      <c r="BW142" s="565"/>
      <c r="BX142" s="565"/>
      <c r="BY142" s="565"/>
      <c r="BZ142" s="565"/>
      <c r="CA142" s="565"/>
      <c r="CB142" s="565"/>
      <c r="CC142" s="565"/>
      <c r="CD142" s="565"/>
      <c r="CE142" s="565"/>
      <c r="CF142" s="565"/>
      <c r="CG142" s="565"/>
      <c r="CH142" s="565"/>
      <c r="CI142" s="565"/>
      <c r="CJ142" s="565"/>
      <c r="CK142" s="565"/>
      <c r="CL142" s="565"/>
      <c r="CM142" s="565"/>
      <c r="CN142" s="565"/>
      <c r="CO142" s="565"/>
      <c r="CP142" s="565"/>
      <c r="CQ142" s="565"/>
      <c r="CR142" s="565"/>
      <c r="CS142" s="565"/>
      <c r="CT142" s="565"/>
      <c r="CU142" s="565"/>
      <c r="CV142" s="565"/>
      <c r="CW142" s="565"/>
      <c r="CX142" s="565"/>
      <c r="CY142" s="565"/>
      <c r="CZ142" s="565"/>
      <c r="DA142" s="565"/>
      <c r="DB142" s="565"/>
      <c r="DC142" s="565"/>
      <c r="DD142" s="565"/>
      <c r="DE142" s="565"/>
      <c r="DF142" s="565"/>
      <c r="DG142" s="565"/>
      <c r="DH142" s="565"/>
      <c r="DI142" s="565"/>
      <c r="DJ142" s="565"/>
      <c r="DK142" s="565"/>
      <c r="DL142" s="565"/>
      <c r="DM142" s="565"/>
      <c r="DN142" s="565"/>
      <c r="DO142" s="565"/>
      <c r="DP142" s="565"/>
      <c r="DQ142" s="565"/>
      <c r="DR142" s="565"/>
      <c r="DS142" s="565"/>
      <c r="DT142" s="565"/>
      <c r="DU142" s="565"/>
      <c r="DV142" s="565"/>
      <c r="DW142" s="565"/>
      <c r="DX142" s="565"/>
      <c r="DY142" s="565"/>
      <c r="DZ142" s="565"/>
      <c r="EA142" s="565"/>
      <c r="EB142" s="565"/>
      <c r="EC142" s="565"/>
      <c r="ED142" s="565"/>
      <c r="EE142" s="565"/>
      <c r="EF142" s="565"/>
      <c r="EG142" s="565"/>
      <c r="EH142" s="565"/>
      <c r="EI142" s="565"/>
      <c r="EJ142" s="565"/>
      <c r="EK142" s="565"/>
      <c r="EL142" s="565"/>
      <c r="EM142" s="565"/>
      <c r="EN142" s="565"/>
      <c r="EO142" s="565"/>
      <c r="EP142" s="565"/>
      <c r="EQ142" s="565"/>
      <c r="ER142" s="565"/>
      <c r="ES142" s="565"/>
      <c r="ET142" s="565"/>
      <c r="EU142" s="565"/>
      <c r="EV142" s="565"/>
      <c r="EW142" s="565"/>
      <c r="EX142" s="565"/>
      <c r="EY142" s="565"/>
      <c r="EZ142" s="565"/>
      <c r="FA142" s="565"/>
      <c r="FB142" s="565"/>
      <c r="FC142" s="565"/>
      <c r="FD142" s="565"/>
      <c r="FE142" s="565"/>
      <c r="FF142" s="565"/>
      <c r="FG142" s="565"/>
      <c r="FH142" s="565"/>
      <c r="FI142" s="565"/>
      <c r="FJ142" s="565"/>
      <c r="FK142" s="565"/>
      <c r="FL142" s="565"/>
      <c r="FM142" s="565"/>
      <c r="FN142" s="565"/>
      <c r="FO142" s="565"/>
      <c r="FP142" s="565"/>
      <c r="FQ142" s="565"/>
      <c r="FR142" s="565"/>
      <c r="FS142" s="565"/>
      <c r="FT142" s="565"/>
      <c r="FU142" s="565"/>
      <c r="FV142" s="565"/>
    </row>
    <row r="143" spans="1:248" ht="15.75" x14ac:dyDescent="0.25">
      <c r="A143" s="264"/>
      <c r="B143" s="155"/>
      <c r="C143" s="155" t="s">
        <v>770</v>
      </c>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265"/>
      <c r="AA143" s="634"/>
      <c r="AB143" s="634"/>
      <c r="AC143" s="634"/>
      <c r="AD143" s="634"/>
      <c r="AE143" s="634"/>
      <c r="AF143" s="634"/>
      <c r="AG143" s="634"/>
      <c r="AH143" s="634"/>
      <c r="AI143" s="634"/>
      <c r="AJ143" s="634"/>
      <c r="AK143" s="288"/>
      <c r="AL143" s="288"/>
      <c r="AM143" s="288"/>
      <c r="AN143" s="288"/>
      <c r="AO143" s="288"/>
      <c r="AP143" s="288"/>
      <c r="AQ143" s="288"/>
      <c r="AR143" s="288"/>
      <c r="AS143" s="288"/>
      <c r="AT143" s="288"/>
      <c r="AU143" s="288"/>
      <c r="AV143" s="288"/>
      <c r="AW143" s="566"/>
      <c r="AX143" s="566"/>
      <c r="AY143" s="566"/>
      <c r="AZ143" s="566"/>
      <c r="BA143" s="566"/>
      <c r="BB143" s="566"/>
      <c r="BC143" s="566"/>
      <c r="BD143" s="566"/>
      <c r="BE143" s="566"/>
      <c r="BF143" s="566"/>
      <c r="BG143" s="566"/>
      <c r="BH143" s="566"/>
      <c r="BI143" s="566"/>
      <c r="BJ143" s="566"/>
      <c r="BK143" s="566"/>
      <c r="BL143" s="566"/>
      <c r="BM143" s="566"/>
      <c r="BN143" s="566"/>
      <c r="BO143" s="566"/>
      <c r="BP143" s="566"/>
      <c r="BQ143" s="566"/>
      <c r="BR143" s="566"/>
      <c r="BS143" s="566"/>
      <c r="BT143" s="566"/>
      <c r="BU143" s="566"/>
      <c r="BV143" s="566"/>
      <c r="BW143" s="566"/>
      <c r="BX143" s="566"/>
      <c r="BY143" s="566"/>
      <c r="BZ143" s="566"/>
      <c r="CA143" s="566"/>
      <c r="CB143" s="566"/>
      <c r="CC143" s="566"/>
      <c r="CD143" s="566"/>
      <c r="CE143" s="566"/>
      <c r="CF143" s="566"/>
      <c r="CG143" s="566"/>
      <c r="CH143" s="566"/>
      <c r="CI143" s="566"/>
      <c r="CJ143" s="566"/>
      <c r="CK143" s="566"/>
      <c r="CL143" s="566"/>
      <c r="CM143" s="566"/>
      <c r="CN143" s="566"/>
      <c r="CO143" s="566"/>
      <c r="CP143" s="566"/>
      <c r="CQ143" s="566"/>
      <c r="CR143" s="566"/>
      <c r="CS143" s="566"/>
      <c r="CT143" s="566"/>
      <c r="CU143" s="566"/>
      <c r="CV143" s="566"/>
      <c r="CW143" s="566"/>
      <c r="CX143" s="566"/>
      <c r="CY143" s="566"/>
      <c r="CZ143" s="566"/>
      <c r="DA143" s="566"/>
      <c r="DB143" s="566"/>
      <c r="DC143" s="566"/>
      <c r="DD143" s="566"/>
      <c r="DE143" s="566"/>
      <c r="DF143" s="566"/>
      <c r="DG143" s="566"/>
      <c r="DH143" s="566"/>
      <c r="DI143" s="566"/>
      <c r="DJ143" s="566"/>
      <c r="DK143" s="566"/>
      <c r="DL143" s="566"/>
      <c r="DM143" s="566"/>
      <c r="DN143" s="566"/>
      <c r="DO143" s="566"/>
      <c r="DP143" s="566"/>
      <c r="DQ143" s="566"/>
      <c r="DR143" s="566"/>
      <c r="DS143" s="566"/>
      <c r="DT143" s="566"/>
      <c r="DU143" s="566"/>
      <c r="DV143" s="566"/>
      <c r="DW143" s="566"/>
      <c r="DX143" s="566"/>
      <c r="DY143" s="566"/>
      <c r="DZ143" s="566"/>
      <c r="EA143" s="566"/>
      <c r="EB143" s="566"/>
      <c r="EC143" s="566"/>
      <c r="ED143" s="566"/>
      <c r="EE143" s="566"/>
      <c r="EF143" s="566"/>
      <c r="EG143" s="566"/>
      <c r="EH143" s="566"/>
      <c r="EI143" s="566"/>
      <c r="EJ143" s="566"/>
      <c r="EK143" s="566"/>
      <c r="EL143" s="566"/>
      <c r="EM143" s="566"/>
      <c r="EN143" s="566"/>
      <c r="EO143" s="566"/>
      <c r="EP143" s="566"/>
      <c r="EQ143" s="566"/>
      <c r="ER143" s="566"/>
      <c r="ES143" s="566"/>
      <c r="ET143" s="566"/>
      <c r="EU143" s="566"/>
      <c r="EV143" s="566"/>
      <c r="EW143" s="566"/>
      <c r="EX143" s="566"/>
      <c r="EY143" s="566"/>
      <c r="EZ143" s="566"/>
      <c r="FA143" s="566"/>
      <c r="FB143" s="566"/>
      <c r="FC143" s="566"/>
      <c r="FD143" s="566"/>
      <c r="FE143" s="566"/>
      <c r="FF143" s="566"/>
      <c r="FG143" s="566"/>
      <c r="FH143" s="566"/>
      <c r="FI143" s="566"/>
      <c r="FJ143" s="566"/>
      <c r="FK143" s="566"/>
      <c r="FL143" s="566"/>
      <c r="FM143" s="566"/>
      <c r="FN143" s="566"/>
      <c r="FO143" s="566"/>
      <c r="FP143" s="566"/>
      <c r="FQ143" s="566"/>
      <c r="FR143" s="566"/>
      <c r="FS143" s="566"/>
      <c r="FT143" s="566"/>
      <c r="FU143" s="566"/>
      <c r="FV143" s="566"/>
      <c r="FW143" s="567"/>
      <c r="FX143" s="567"/>
      <c r="FY143" s="567"/>
      <c r="FZ143" s="567"/>
      <c r="GA143" s="567"/>
      <c r="GB143" s="567"/>
      <c r="GC143" s="567"/>
      <c r="GD143" s="567"/>
      <c r="GE143" s="567"/>
      <c r="GF143" s="567"/>
      <c r="GG143" s="567"/>
      <c r="GH143" s="567"/>
      <c r="GI143" s="567"/>
      <c r="GJ143" s="567"/>
      <c r="GK143" s="567"/>
      <c r="GL143" s="567"/>
      <c r="GM143" s="567"/>
      <c r="GN143" s="567"/>
      <c r="GO143" s="567"/>
      <c r="GP143" s="567"/>
      <c r="GQ143" s="567"/>
      <c r="GR143" s="567"/>
      <c r="GS143" s="567"/>
      <c r="GT143" s="567"/>
      <c r="GU143" s="567"/>
      <c r="GV143" s="567"/>
      <c r="GW143" s="567"/>
      <c r="GX143" s="567"/>
      <c r="GY143" s="567"/>
      <c r="GZ143" s="567"/>
      <c r="HA143" s="567"/>
      <c r="HB143" s="567"/>
      <c r="HC143" s="567"/>
      <c r="HD143" s="567"/>
      <c r="HE143" s="567"/>
      <c r="HF143" s="567"/>
      <c r="HG143" s="567"/>
      <c r="HH143" s="567"/>
      <c r="HI143" s="567"/>
      <c r="HJ143" s="567"/>
      <c r="HK143" s="567"/>
      <c r="HL143" s="567"/>
      <c r="HM143" s="567"/>
      <c r="HN143" s="567"/>
      <c r="HO143" s="567"/>
      <c r="HP143" s="567"/>
      <c r="HQ143" s="567"/>
      <c r="HR143" s="567"/>
      <c r="HS143" s="567"/>
      <c r="HT143" s="567"/>
      <c r="HU143" s="567"/>
      <c r="HV143" s="567"/>
      <c r="HW143" s="567"/>
      <c r="HX143" s="567"/>
      <c r="HY143" s="567"/>
      <c r="HZ143" s="567"/>
      <c r="IA143" s="567"/>
      <c r="IB143" s="567"/>
      <c r="IC143" s="567"/>
      <c r="ID143" s="567"/>
      <c r="IE143" s="567"/>
      <c r="IF143" s="567"/>
      <c r="IG143" s="567"/>
      <c r="IH143" s="567"/>
      <c r="II143" s="567"/>
      <c r="IJ143" s="567"/>
      <c r="IK143" s="567"/>
      <c r="IL143" s="567"/>
      <c r="IM143" s="567"/>
      <c r="IN143" s="567"/>
    </row>
    <row r="144" spans="1:248" ht="15" customHeight="1" x14ac:dyDescent="0.2">
      <c r="A144" s="219"/>
      <c r="B144" s="2"/>
      <c r="C144" s="875" t="s">
        <v>1148</v>
      </c>
      <c r="D144" s="875"/>
      <c r="E144" s="875"/>
      <c r="F144" s="875"/>
      <c r="G144" s="875"/>
      <c r="H144" s="875"/>
      <c r="I144" s="875"/>
      <c r="J144" s="875"/>
      <c r="K144" s="875"/>
      <c r="L144" s="875"/>
      <c r="M144" s="875"/>
      <c r="N144" s="875"/>
      <c r="O144" s="875"/>
      <c r="P144" s="875"/>
      <c r="Q144" s="875"/>
      <c r="R144" s="875"/>
      <c r="S144" s="875"/>
      <c r="T144" s="875"/>
      <c r="U144" s="875"/>
      <c r="V144" s="875"/>
      <c r="W144" s="875"/>
      <c r="X144" s="875"/>
      <c r="Y144" s="2"/>
      <c r="Z144" s="11"/>
      <c r="AA144" s="633"/>
      <c r="AB144" s="633"/>
      <c r="AC144" s="633"/>
      <c r="AD144" s="633"/>
      <c r="AE144" s="633"/>
      <c r="AF144" s="633"/>
      <c r="AG144" s="633"/>
      <c r="AH144" s="633"/>
      <c r="AI144" s="633"/>
      <c r="AJ144" s="633"/>
      <c r="AK144" s="289"/>
      <c r="AL144" s="289"/>
      <c r="AM144" s="289"/>
      <c r="AN144" s="289"/>
      <c r="AO144" s="289"/>
      <c r="AP144" s="289"/>
      <c r="AQ144" s="289"/>
      <c r="AR144" s="289"/>
      <c r="AS144" s="289"/>
      <c r="AT144" s="289"/>
      <c r="AU144" s="289"/>
      <c r="AV144" s="289"/>
      <c r="AW144" s="565"/>
      <c r="AX144" s="565"/>
      <c r="AY144" s="565"/>
      <c r="AZ144" s="565"/>
      <c r="BA144" s="565"/>
      <c r="BB144" s="565"/>
      <c r="BC144" s="565"/>
      <c r="BD144" s="565"/>
      <c r="BE144" s="565"/>
      <c r="BF144" s="565"/>
      <c r="BG144" s="565"/>
      <c r="BH144" s="565"/>
      <c r="BI144" s="565"/>
      <c r="BJ144" s="565"/>
      <c r="BK144" s="565"/>
      <c r="BL144" s="565"/>
      <c r="BM144" s="565"/>
      <c r="BN144" s="565"/>
      <c r="BO144" s="565"/>
      <c r="BP144" s="565"/>
      <c r="BQ144" s="565"/>
      <c r="BR144" s="565"/>
      <c r="BS144" s="565"/>
      <c r="BT144" s="565"/>
      <c r="BU144" s="565"/>
      <c r="BV144" s="565"/>
      <c r="BW144" s="565"/>
      <c r="BX144" s="565"/>
      <c r="BY144" s="565"/>
      <c r="BZ144" s="565"/>
      <c r="CA144" s="565"/>
      <c r="CB144" s="565"/>
      <c r="CC144" s="565"/>
      <c r="CD144" s="565"/>
      <c r="CE144" s="565"/>
      <c r="CF144" s="565"/>
      <c r="CG144" s="565"/>
      <c r="CH144" s="565"/>
      <c r="CI144" s="565"/>
      <c r="CJ144" s="565"/>
      <c r="CK144" s="565"/>
      <c r="CL144" s="565"/>
      <c r="CM144" s="565"/>
      <c r="CN144" s="565"/>
      <c r="CO144" s="565"/>
      <c r="CP144" s="565"/>
      <c r="CQ144" s="565"/>
      <c r="CR144" s="565"/>
      <c r="CS144" s="565"/>
      <c r="CT144" s="565"/>
      <c r="CU144" s="565"/>
      <c r="CV144" s="565"/>
      <c r="CW144" s="565"/>
      <c r="CX144" s="565"/>
      <c r="CY144" s="565"/>
      <c r="CZ144" s="565"/>
      <c r="DA144" s="565"/>
      <c r="DB144" s="565"/>
      <c r="DC144" s="565"/>
      <c r="DD144" s="565"/>
      <c r="DE144" s="565"/>
      <c r="DF144" s="565"/>
      <c r="DG144" s="565"/>
      <c r="DH144" s="565"/>
      <c r="DI144" s="565"/>
      <c r="DJ144" s="565"/>
      <c r="DK144" s="565"/>
      <c r="DL144" s="565"/>
      <c r="DM144" s="565"/>
      <c r="DN144" s="565"/>
      <c r="DO144" s="565"/>
      <c r="DP144" s="565"/>
      <c r="DQ144" s="565"/>
      <c r="DR144" s="565"/>
      <c r="DS144" s="565"/>
      <c r="DT144" s="565"/>
      <c r="DU144" s="565"/>
      <c r="DV144" s="565"/>
      <c r="DW144" s="565"/>
      <c r="DX144" s="565"/>
      <c r="DY144" s="565"/>
      <c r="DZ144" s="565"/>
      <c r="EA144" s="565"/>
      <c r="EB144" s="565"/>
      <c r="EC144" s="565"/>
      <c r="ED144" s="565"/>
      <c r="EE144" s="565"/>
      <c r="EF144" s="565"/>
      <c r="EG144" s="565"/>
      <c r="EH144" s="565"/>
      <c r="EI144" s="565"/>
      <c r="EJ144" s="565"/>
      <c r="EK144" s="565"/>
      <c r="EL144" s="565"/>
      <c r="EM144" s="565"/>
      <c r="EN144" s="565"/>
      <c r="EO144" s="565"/>
      <c r="EP144" s="565"/>
      <c r="EQ144" s="565"/>
      <c r="ER144" s="565"/>
      <c r="ES144" s="565"/>
      <c r="ET144" s="565"/>
      <c r="EU144" s="565"/>
      <c r="EV144" s="565"/>
      <c r="EW144" s="565"/>
      <c r="EX144" s="565"/>
      <c r="EY144" s="565"/>
      <c r="EZ144" s="565"/>
      <c r="FA144" s="565"/>
      <c r="FB144" s="565"/>
      <c r="FC144" s="565"/>
      <c r="FD144" s="565"/>
      <c r="FE144" s="565"/>
      <c r="FF144" s="565"/>
      <c r="FG144" s="565"/>
      <c r="FH144" s="565"/>
      <c r="FI144" s="565"/>
      <c r="FJ144" s="565"/>
      <c r="FK144" s="565"/>
      <c r="FL144" s="565"/>
      <c r="FM144" s="565"/>
      <c r="FN144" s="565"/>
      <c r="FO144" s="565"/>
      <c r="FP144" s="565"/>
      <c r="FQ144" s="565"/>
      <c r="FR144" s="565"/>
      <c r="FS144" s="565"/>
      <c r="FT144" s="565"/>
      <c r="FU144" s="565"/>
      <c r="FV144" s="565"/>
    </row>
    <row r="145" spans="1:36" x14ac:dyDescent="0.2">
      <c r="A145" s="219"/>
      <c r="B145" s="2"/>
      <c r="C145" s="875"/>
      <c r="D145" s="875"/>
      <c r="E145" s="875"/>
      <c r="F145" s="875"/>
      <c r="G145" s="875"/>
      <c r="H145" s="875"/>
      <c r="I145" s="875"/>
      <c r="J145" s="875"/>
      <c r="K145" s="875"/>
      <c r="L145" s="875"/>
      <c r="M145" s="875"/>
      <c r="N145" s="875"/>
      <c r="O145" s="875"/>
      <c r="P145" s="875"/>
      <c r="Q145" s="875"/>
      <c r="R145" s="875"/>
      <c r="S145" s="875"/>
      <c r="T145" s="875"/>
      <c r="U145" s="875"/>
      <c r="V145" s="875"/>
      <c r="W145" s="875"/>
      <c r="X145" s="875"/>
      <c r="Y145" s="2"/>
      <c r="Z145" s="11"/>
      <c r="AA145" s="633"/>
      <c r="AB145" s="633"/>
      <c r="AC145" s="633"/>
      <c r="AD145" s="633"/>
      <c r="AE145" s="633"/>
      <c r="AF145" s="633"/>
      <c r="AG145" s="633"/>
      <c r="AH145" s="633"/>
      <c r="AI145" s="633"/>
      <c r="AJ145" s="633"/>
    </row>
    <row r="146" spans="1:36" x14ac:dyDescent="0.2">
      <c r="A146" s="219"/>
      <c r="B146" s="2"/>
      <c r="C146" s="2"/>
      <c r="D146" s="2"/>
      <c r="E146" s="2"/>
      <c r="F146" s="2"/>
      <c r="G146" s="2"/>
      <c r="H146" s="2"/>
      <c r="I146" s="2"/>
      <c r="J146" s="2"/>
      <c r="K146" s="2"/>
      <c r="L146" s="2"/>
      <c r="M146" s="2"/>
      <c r="N146" s="802" t="s">
        <v>586</v>
      </c>
      <c r="O146" s="802"/>
      <c r="P146" s="81"/>
      <c r="Q146" s="802" t="s">
        <v>587</v>
      </c>
      <c r="R146" s="802"/>
      <c r="S146" s="81"/>
      <c r="T146" s="802" t="s">
        <v>588</v>
      </c>
      <c r="U146" s="802"/>
      <c r="V146" s="81"/>
      <c r="W146" s="802" t="s">
        <v>605</v>
      </c>
      <c r="X146" s="802"/>
      <c r="Y146" s="2"/>
      <c r="Z146" s="11"/>
      <c r="AA146" s="633"/>
      <c r="AB146" s="633"/>
      <c r="AC146" s="633"/>
      <c r="AD146" s="633"/>
      <c r="AE146" s="633"/>
      <c r="AF146" s="633"/>
      <c r="AG146" s="633"/>
      <c r="AH146" s="633"/>
      <c r="AI146" s="633"/>
      <c r="AJ146" s="633"/>
    </row>
    <row r="147" spans="1:36" ht="15.75" customHeight="1" x14ac:dyDescent="0.2">
      <c r="A147" s="219"/>
      <c r="B147" s="2"/>
      <c r="C147" s="2"/>
      <c r="D147" s="2"/>
      <c r="E147" s="2"/>
      <c r="F147" s="2"/>
      <c r="G147" s="2"/>
      <c r="H147" s="2"/>
      <c r="I147" s="2"/>
      <c r="J147" s="2"/>
      <c r="K147" s="2"/>
      <c r="L147" s="2"/>
      <c r="M147" s="2"/>
      <c r="N147" s="810" t="str">
        <f>+N73</f>
        <v>Billing Authority</v>
      </c>
      <c r="O147" s="810"/>
      <c r="P147" s="75"/>
      <c r="Q147" s="810" t="str">
        <f>+Q73</f>
        <v>County/GLA</v>
      </c>
      <c r="R147" s="810"/>
      <c r="S147" s="75"/>
      <c r="T147" s="810" t="str">
        <f>+T73</f>
        <v>Fire</v>
      </c>
      <c r="U147" s="810"/>
      <c r="V147" s="256"/>
      <c r="W147" s="805" t="s">
        <v>597</v>
      </c>
      <c r="X147" s="805"/>
      <c r="Y147" s="2"/>
      <c r="Z147" s="11"/>
      <c r="AA147" s="633"/>
      <c r="AB147" s="633"/>
      <c r="AC147" s="633"/>
      <c r="AD147" s="633"/>
      <c r="AE147" s="633"/>
      <c r="AF147" s="633"/>
      <c r="AG147" s="633"/>
      <c r="AH147" s="633"/>
      <c r="AI147" s="633"/>
      <c r="AJ147" s="633"/>
    </row>
    <row r="148" spans="1:36" ht="15.75" customHeight="1" x14ac:dyDescent="0.2">
      <c r="A148" s="219"/>
      <c r="B148" s="2"/>
      <c r="C148" s="2"/>
      <c r="D148" s="2"/>
      <c r="E148" s="2"/>
      <c r="F148" s="2"/>
      <c r="G148" s="2"/>
      <c r="H148" s="2"/>
      <c r="I148" s="2"/>
      <c r="J148" s="2"/>
      <c r="K148" s="2"/>
      <c r="L148" s="2"/>
      <c r="M148" s="2"/>
      <c r="N148" s="810"/>
      <c r="O148" s="810"/>
      <c r="P148" s="75"/>
      <c r="Q148" s="810"/>
      <c r="R148" s="810"/>
      <c r="S148" s="75"/>
      <c r="T148" s="810"/>
      <c r="U148" s="810"/>
      <c r="V148" s="75"/>
      <c r="W148" s="75"/>
      <c r="X148" s="75"/>
      <c r="Y148" s="2"/>
      <c r="Z148" s="11"/>
      <c r="AA148" s="633"/>
      <c r="AB148" s="633"/>
      <c r="AC148" s="633"/>
      <c r="AD148" s="633"/>
      <c r="AE148" s="633"/>
      <c r="AF148" s="633"/>
      <c r="AG148" s="633"/>
      <c r="AH148" s="633"/>
      <c r="AI148" s="633"/>
      <c r="AJ148" s="633"/>
    </row>
    <row r="149" spans="1:36" ht="15.75" customHeight="1" x14ac:dyDescent="0.2">
      <c r="A149" s="219"/>
      <c r="B149" s="2"/>
      <c r="C149" s="2"/>
      <c r="D149" s="2"/>
      <c r="E149" s="2"/>
      <c r="F149" s="2"/>
      <c r="G149" s="2"/>
      <c r="H149" s="2"/>
      <c r="I149" s="2"/>
      <c r="J149" s="2"/>
      <c r="K149" s="2"/>
      <c r="L149" s="2"/>
      <c r="M149" s="2"/>
      <c r="N149" s="810"/>
      <c r="O149" s="810"/>
      <c r="P149" s="75"/>
      <c r="Q149" s="810"/>
      <c r="R149" s="810"/>
      <c r="S149" s="75"/>
      <c r="T149" s="810"/>
      <c r="U149" s="810"/>
      <c r="V149" s="75"/>
      <c r="W149" s="75"/>
      <c r="X149" s="75"/>
      <c r="Y149" s="2"/>
      <c r="Z149" s="11"/>
      <c r="AA149" s="633"/>
      <c r="AB149" s="633"/>
      <c r="AC149" s="633"/>
      <c r="AD149" s="633"/>
      <c r="AE149" s="633"/>
      <c r="AF149" s="633"/>
      <c r="AG149" s="633"/>
      <c r="AH149" s="633"/>
      <c r="AI149" s="633"/>
      <c r="AJ149" s="633"/>
    </row>
    <row r="150" spans="1:36" ht="16.5" thickBot="1" x14ac:dyDescent="0.3">
      <c r="A150" s="219"/>
      <c r="B150" s="2"/>
      <c r="C150" s="13" t="s">
        <v>1008</v>
      </c>
      <c r="D150" s="13"/>
      <c r="E150" s="2"/>
      <c r="F150" s="2"/>
      <c r="G150" s="2"/>
      <c r="H150" s="2"/>
      <c r="I150" s="2"/>
      <c r="J150" s="2"/>
      <c r="K150" s="2"/>
      <c r="L150" s="2"/>
      <c r="M150" s="146"/>
      <c r="N150" s="809" t="s">
        <v>577</v>
      </c>
      <c r="O150" s="809"/>
      <c r="P150" s="223"/>
      <c r="Q150" s="809" t="s">
        <v>577</v>
      </c>
      <c r="R150" s="809"/>
      <c r="S150" s="223"/>
      <c r="T150" s="809" t="s">
        <v>577</v>
      </c>
      <c r="U150" s="809"/>
      <c r="V150" s="222"/>
      <c r="W150" s="809" t="s">
        <v>577</v>
      </c>
      <c r="X150" s="809"/>
      <c r="Y150" s="146"/>
      <c r="Z150" s="11"/>
      <c r="AA150" s="633"/>
      <c r="AB150" s="633"/>
      <c r="AC150" s="633"/>
      <c r="AD150" s="633"/>
      <c r="AE150" s="633"/>
      <c r="AF150" s="633"/>
      <c r="AG150" s="633"/>
      <c r="AH150" s="633"/>
      <c r="AI150" s="633"/>
      <c r="AJ150" s="633"/>
    </row>
    <row r="151" spans="1:36" ht="16.5" thickBot="1" x14ac:dyDescent="0.25">
      <c r="A151" s="219"/>
      <c r="B151" s="2"/>
      <c r="C151" s="10"/>
      <c r="D151" s="10" t="s">
        <v>1168</v>
      </c>
      <c r="E151" s="10"/>
      <c r="F151" s="10"/>
      <c r="G151" s="10"/>
      <c r="H151" s="10"/>
      <c r="I151" s="10"/>
      <c r="J151" s="10"/>
      <c r="K151" s="10"/>
      <c r="L151" s="269"/>
      <c r="M151" s="270"/>
      <c r="N151" s="806" cm="1">
        <f t="array" ref="N151">INDEX(DataSheet1!$A$8:$DD$317,$F$1,65)</f>
        <v>613508023</v>
      </c>
      <c r="O151" s="807"/>
      <c r="P151" s="223"/>
      <c r="Q151" s="806" cm="1">
        <f t="array" ref="Q151">INDEX(DataSheet1!$A$8:$DD$317,$F$1,66)</f>
        <v>199503079</v>
      </c>
      <c r="R151" s="807"/>
      <c r="S151" s="223"/>
      <c r="T151" s="806" cm="1">
        <f t="array" ref="T151">INDEX(DataSheet1!$A$8:$DD$317,$F$1,67)</f>
        <v>6956713</v>
      </c>
      <c r="U151" s="807"/>
      <c r="V151" s="223"/>
      <c r="W151" s="806" cm="1">
        <f t="array" ref="W151">INDEX(DataSheet1!$A$8:$DD$317,$F$1,68)</f>
        <v>819967815</v>
      </c>
      <c r="X151" s="807"/>
      <c r="Y151" s="146"/>
      <c r="Z151" s="51"/>
      <c r="AA151" s="633"/>
      <c r="AB151" s="633"/>
      <c r="AC151" s="633"/>
      <c r="AD151" s="633"/>
      <c r="AE151" s="633"/>
      <c r="AF151" s="633"/>
      <c r="AG151" s="633"/>
      <c r="AH151" s="633"/>
      <c r="AI151" s="633"/>
      <c r="AJ151" s="633"/>
    </row>
    <row r="152" spans="1:36" ht="15.75" x14ac:dyDescent="0.2">
      <c r="A152" s="219"/>
      <c r="B152" s="2"/>
      <c r="C152" s="10"/>
      <c r="D152" s="10" t="s">
        <v>1169</v>
      </c>
      <c r="E152" s="10"/>
      <c r="F152" s="10"/>
      <c r="G152" s="10"/>
      <c r="H152" s="10"/>
      <c r="I152" s="10"/>
      <c r="J152" s="10"/>
      <c r="K152" s="10"/>
      <c r="L152" s="269"/>
      <c r="M152" s="270"/>
      <c r="N152" s="226"/>
      <c r="O152" s="226"/>
      <c r="P152" s="223"/>
      <c r="Q152" s="226"/>
      <c r="R152" s="226"/>
      <c r="S152" s="223"/>
      <c r="T152" s="226"/>
      <c r="U152" s="226"/>
      <c r="V152" s="223"/>
      <c r="W152" s="226"/>
      <c r="X152" s="226"/>
      <c r="Y152" s="146"/>
      <c r="Z152" s="470"/>
      <c r="AA152" s="633"/>
      <c r="AB152" s="633"/>
      <c r="AC152" s="633"/>
      <c r="AD152" s="633"/>
      <c r="AE152" s="633"/>
      <c r="AF152" s="633"/>
      <c r="AG152" s="633"/>
      <c r="AH152" s="633"/>
      <c r="AI152" s="633"/>
      <c r="AJ152" s="633"/>
    </row>
    <row r="153" spans="1:36" x14ac:dyDescent="0.2">
      <c r="A153" s="219"/>
      <c r="B153" s="2"/>
      <c r="C153" s="10"/>
      <c r="D153" s="10"/>
      <c r="E153" s="213"/>
      <c r="F153" s="213"/>
      <c r="G153" s="213"/>
      <c r="H153" s="213"/>
      <c r="I153" s="213"/>
      <c r="J153" s="213"/>
      <c r="K153" s="10"/>
      <c r="L153" s="2"/>
      <c r="M153" s="146"/>
      <c r="N153" s="235"/>
      <c r="O153" s="235"/>
      <c r="P153" s="235"/>
      <c r="Q153" s="235"/>
      <c r="R153" s="235"/>
      <c r="S153" s="235"/>
      <c r="T153" s="235"/>
      <c r="U153" s="235"/>
      <c r="V153" s="235"/>
      <c r="W153" s="235"/>
      <c r="X153" s="235"/>
      <c r="Y153" s="146"/>
      <c r="Z153" s="11"/>
      <c r="AA153" s="633"/>
      <c r="AB153" s="633"/>
      <c r="AC153" s="633"/>
      <c r="AD153" s="633"/>
      <c r="AE153" s="633"/>
      <c r="AF153" s="633"/>
      <c r="AG153" s="633"/>
      <c r="AH153" s="633"/>
      <c r="AI153" s="633"/>
      <c r="AJ153" s="633"/>
    </row>
    <row r="154" spans="1:36" ht="16.5" thickBot="1" x14ac:dyDescent="0.3">
      <c r="A154" s="219"/>
      <c r="B154" s="2"/>
      <c r="C154" s="13" t="s">
        <v>589</v>
      </c>
      <c r="D154" s="10"/>
      <c r="E154" s="213"/>
      <c r="F154" s="213"/>
      <c r="G154" s="213"/>
      <c r="H154" s="213"/>
      <c r="I154" s="213"/>
      <c r="J154" s="213"/>
      <c r="K154" s="10"/>
      <c r="L154" s="2"/>
      <c r="M154" s="146"/>
      <c r="N154" s="235"/>
      <c r="O154" s="235"/>
      <c r="P154" s="235"/>
      <c r="Q154" s="235"/>
      <c r="R154" s="235"/>
      <c r="S154" s="235"/>
      <c r="T154" s="235"/>
      <c r="U154" s="235"/>
      <c r="V154" s="235"/>
      <c r="W154" s="235"/>
      <c r="X154" s="235"/>
      <c r="Y154" s="146"/>
      <c r="Z154" s="11"/>
      <c r="AA154" s="633"/>
      <c r="AB154" s="633"/>
      <c r="AC154" s="633"/>
      <c r="AD154" s="633"/>
      <c r="AE154" s="633"/>
      <c r="AF154" s="633"/>
      <c r="AG154" s="633"/>
      <c r="AH154" s="633"/>
      <c r="AI154" s="633"/>
      <c r="AJ154" s="633"/>
    </row>
    <row r="155" spans="1:36" ht="16.5" thickBot="1" x14ac:dyDescent="0.3">
      <c r="A155" s="219"/>
      <c r="B155" s="2"/>
      <c r="C155" s="10"/>
      <c r="D155" s="10" t="s">
        <v>1160</v>
      </c>
      <c r="E155" s="10"/>
      <c r="F155" s="10"/>
      <c r="G155" s="10"/>
      <c r="H155" s="10"/>
      <c r="I155" s="10"/>
      <c r="J155" s="155"/>
      <c r="K155" s="10"/>
      <c r="L155" s="269"/>
      <c r="M155" s="270"/>
      <c r="N155" s="806" cm="1">
        <f t="array" ref="N155">INDEX(DataSheet1!$A$8:$DD$317,$F$1,69)</f>
        <v>777884687</v>
      </c>
      <c r="O155" s="807"/>
      <c r="P155" s="271"/>
      <c r="Q155" s="806" cm="1">
        <f t="array" ref="Q155">INDEX(DataSheet1!$A$8:$DD$317,$F$1,70)</f>
        <v>130511371</v>
      </c>
      <c r="R155" s="807"/>
      <c r="S155" s="271"/>
      <c r="T155" s="806" cm="1">
        <f t="array" ref="T155">INDEX(DataSheet1!$A$8:$DD$317,$F$1,71)</f>
        <v>10518077</v>
      </c>
      <c r="U155" s="807"/>
      <c r="V155" s="223"/>
      <c r="W155" s="806" cm="1">
        <f t="array" ref="W155">INDEX(DataSheet1!$A$8:$DD$317,$F$1,72)</f>
        <v>918914135</v>
      </c>
      <c r="X155" s="807"/>
      <c r="Y155" s="146"/>
      <c r="Z155" s="51"/>
      <c r="AA155" s="633"/>
      <c r="AB155" s="633"/>
      <c r="AC155" s="633"/>
      <c r="AD155" s="633"/>
      <c r="AE155" s="633"/>
      <c r="AF155" s="633"/>
      <c r="AG155" s="633"/>
      <c r="AH155" s="633"/>
      <c r="AI155" s="633"/>
      <c r="AJ155" s="633"/>
    </row>
    <row r="156" spans="1:36" ht="16.5" thickBot="1" x14ac:dyDescent="0.3">
      <c r="A156" s="219"/>
      <c r="B156" s="2"/>
      <c r="C156" s="13"/>
      <c r="D156" s="10"/>
      <c r="E156" s="213"/>
      <c r="F156" s="213"/>
      <c r="G156" s="213"/>
      <c r="H156" s="213"/>
      <c r="I156" s="213"/>
      <c r="J156" s="213"/>
      <c r="K156" s="10"/>
      <c r="L156" s="2"/>
      <c r="M156" s="146"/>
      <c r="N156" s="503"/>
      <c r="O156" s="503"/>
      <c r="P156" s="503"/>
      <c r="Q156" s="503"/>
      <c r="R156" s="503"/>
      <c r="S156" s="503"/>
      <c r="T156" s="503"/>
      <c r="U156" s="503"/>
      <c r="V156" s="503"/>
      <c r="W156" s="504"/>
      <c r="X156" s="503"/>
      <c r="Y156" s="146"/>
      <c r="Z156" s="11"/>
      <c r="AA156" s="633"/>
      <c r="AB156" s="633"/>
      <c r="AC156" s="633"/>
      <c r="AD156" s="633"/>
      <c r="AE156" s="633"/>
      <c r="AF156" s="633"/>
      <c r="AG156" s="633"/>
      <c r="AH156" s="633"/>
      <c r="AI156" s="633"/>
      <c r="AJ156" s="633"/>
    </row>
    <row r="157" spans="1:36" ht="16.5" thickBot="1" x14ac:dyDescent="0.3">
      <c r="A157" s="219"/>
      <c r="B157" s="2"/>
      <c r="C157" s="13"/>
      <c r="D157" s="10" t="s">
        <v>1161</v>
      </c>
      <c r="E157" s="213"/>
      <c r="F157" s="213"/>
      <c r="G157" s="213"/>
      <c r="H157" s="213"/>
      <c r="I157" s="213"/>
      <c r="J157" s="213"/>
      <c r="K157" s="10"/>
      <c r="L157" s="2"/>
      <c r="M157" s="146"/>
      <c r="N157" s="806" cm="1">
        <f t="array" ref="N157">INDEX(DataSheet1!$A$8:$DD$317,$F$1,73)</f>
        <v>43993137</v>
      </c>
      <c r="O157" s="807"/>
      <c r="P157" s="463"/>
      <c r="Q157" s="803" cm="1">
        <f t="array" ref="Q157">INDEX(DataSheet1!$A$8:$DD$317,$F$1,74)</f>
        <v>8620887</v>
      </c>
      <c r="R157" s="808"/>
      <c r="S157" s="463"/>
      <c r="T157" s="803" cm="1">
        <f t="array" ref="T157">INDEX(DataSheet1!$A$8:$DD$317,$F$1,75)</f>
        <v>572431</v>
      </c>
      <c r="U157" s="808"/>
      <c r="V157" s="463"/>
      <c r="W157" s="803" cm="1">
        <f t="array" ref="W157">INDEX(DataSheet1!$A$8:$DD$317,$F$1,76)</f>
        <v>53186455</v>
      </c>
      <c r="X157" s="808"/>
      <c r="Y157" s="146"/>
      <c r="Z157" s="477"/>
      <c r="AA157" s="633"/>
      <c r="AB157" s="633"/>
      <c r="AC157" s="633"/>
      <c r="AD157" s="633"/>
      <c r="AE157" s="633"/>
      <c r="AF157" s="633"/>
      <c r="AG157" s="633"/>
      <c r="AH157" s="633"/>
      <c r="AI157" s="633"/>
      <c r="AJ157" s="633"/>
    </row>
    <row r="158" spans="1:36" ht="16.5" thickBot="1" x14ac:dyDescent="0.3">
      <c r="A158" s="219"/>
      <c r="B158" s="2"/>
      <c r="C158" s="13"/>
      <c r="D158" s="10"/>
      <c r="E158" s="213"/>
      <c r="F158" s="213"/>
      <c r="G158" s="213"/>
      <c r="H158" s="213"/>
      <c r="I158" s="213"/>
      <c r="J158" s="213"/>
      <c r="K158" s="10"/>
      <c r="L158" s="2"/>
      <c r="M158" s="146"/>
      <c r="N158" s="463"/>
      <c r="O158" s="463"/>
      <c r="P158" s="463"/>
      <c r="Q158" s="463"/>
      <c r="R158" s="463"/>
      <c r="S158" s="463"/>
      <c r="T158" s="463"/>
      <c r="U158" s="463"/>
      <c r="V158" s="463"/>
      <c r="W158" s="464"/>
      <c r="X158" s="463"/>
      <c r="Y158" s="146"/>
      <c r="Z158" s="477"/>
      <c r="AA158" s="633"/>
      <c r="AB158" s="633"/>
      <c r="AC158" s="633"/>
      <c r="AD158" s="633"/>
      <c r="AE158" s="633"/>
      <c r="AF158" s="633"/>
      <c r="AG158" s="633"/>
      <c r="AH158" s="633"/>
      <c r="AI158" s="633"/>
      <c r="AJ158" s="633"/>
    </row>
    <row r="159" spans="1:36" ht="16.5" thickBot="1" x14ac:dyDescent="0.25">
      <c r="A159" s="219"/>
      <c r="B159" s="2"/>
      <c r="C159" s="10"/>
      <c r="D159" s="10" t="s">
        <v>1162</v>
      </c>
      <c r="E159" s="213"/>
      <c r="F159" s="213"/>
      <c r="G159" s="213"/>
      <c r="H159" s="213"/>
      <c r="I159" s="213"/>
      <c r="J159" s="213"/>
      <c r="K159" s="213"/>
      <c r="L159" s="2"/>
      <c r="M159" s="146"/>
      <c r="N159" s="806" cm="1">
        <f t="array" ref="N159">INDEX(DataSheet1!$A$8:$DD$317,$F$1,77)</f>
        <v>1972670</v>
      </c>
      <c r="O159" s="807"/>
      <c r="P159" s="223"/>
      <c r="Q159" s="806" cm="1">
        <f t="array" ref="Q159">INDEX(DataSheet1!$A$8:$DD$317,$F$1,78)</f>
        <v>169288</v>
      </c>
      <c r="R159" s="807"/>
      <c r="S159" s="223"/>
      <c r="T159" s="806" cm="1">
        <f t="array" ref="T159">INDEX(DataSheet1!$A$8:$DD$317,$F$1,79)</f>
        <v>31083</v>
      </c>
      <c r="U159" s="807"/>
      <c r="V159" s="223"/>
      <c r="W159" s="806" cm="1">
        <f t="array" ref="W159">INDEX(DataSheet1!$A$8:$DD$317,$F$1,80)</f>
        <v>2173041</v>
      </c>
      <c r="X159" s="807"/>
      <c r="Y159" s="146"/>
      <c r="Z159" s="51"/>
      <c r="AA159" s="633"/>
      <c r="AB159" s="633"/>
      <c r="AC159" s="633"/>
      <c r="AD159" s="633"/>
      <c r="AE159" s="633"/>
      <c r="AF159" s="633"/>
      <c r="AG159" s="633"/>
      <c r="AH159" s="633"/>
      <c r="AI159" s="633"/>
      <c r="AJ159" s="633"/>
    </row>
    <row r="160" spans="1:36" x14ac:dyDescent="0.2">
      <c r="A160" s="219"/>
      <c r="B160" s="2"/>
      <c r="C160" s="10"/>
      <c r="D160" s="10"/>
      <c r="E160" s="213"/>
      <c r="F160" s="213"/>
      <c r="G160" s="213"/>
      <c r="H160" s="213"/>
      <c r="I160" s="213"/>
      <c r="J160" s="213"/>
      <c r="K160" s="213"/>
      <c r="L160" s="2"/>
      <c r="M160" s="146"/>
      <c r="N160" s="235"/>
      <c r="O160" s="235"/>
      <c r="P160" s="235"/>
      <c r="Q160" s="235"/>
      <c r="R160" s="235"/>
      <c r="S160" s="235"/>
      <c r="T160" s="235"/>
      <c r="U160" s="235"/>
      <c r="V160" s="235"/>
      <c r="W160" s="235"/>
      <c r="X160" s="235"/>
      <c r="Y160" s="146"/>
      <c r="Z160" s="11"/>
      <c r="AA160" s="633"/>
      <c r="AB160" s="633"/>
      <c r="AC160" s="633"/>
      <c r="AD160" s="633"/>
      <c r="AE160" s="633"/>
      <c r="AF160" s="633"/>
      <c r="AG160" s="633"/>
      <c r="AH160" s="633"/>
      <c r="AI160" s="633"/>
      <c r="AJ160" s="633"/>
    </row>
    <row r="161" spans="1:36" ht="16.5" thickBot="1" x14ac:dyDescent="0.3">
      <c r="A161" s="219"/>
      <c r="B161" s="2"/>
      <c r="C161" s="13" t="s">
        <v>813</v>
      </c>
      <c r="D161" s="10"/>
      <c r="E161" s="213"/>
      <c r="F161" s="213"/>
      <c r="G161" s="213"/>
      <c r="H161" s="213"/>
      <c r="I161" s="213"/>
      <c r="J161" s="213"/>
      <c r="K161" s="213"/>
      <c r="L161" s="2"/>
      <c r="M161" s="146"/>
      <c r="N161" s="235"/>
      <c r="O161" s="235"/>
      <c r="P161" s="235"/>
      <c r="Q161" s="235"/>
      <c r="R161" s="235"/>
      <c r="S161" s="235"/>
      <c r="T161" s="235"/>
      <c r="U161" s="235"/>
      <c r="V161" s="235"/>
      <c r="W161" s="235"/>
      <c r="X161" s="235"/>
      <c r="Y161" s="146"/>
      <c r="Z161" s="11"/>
      <c r="AA161" s="633"/>
      <c r="AB161" s="633"/>
      <c r="AC161" s="633"/>
      <c r="AD161" s="633"/>
      <c r="AE161" s="633"/>
      <c r="AF161" s="633"/>
      <c r="AG161" s="633"/>
      <c r="AH161" s="633"/>
      <c r="AI161" s="633"/>
      <c r="AJ161" s="633"/>
    </row>
    <row r="162" spans="1:36" ht="16.5" thickBot="1" x14ac:dyDescent="0.25">
      <c r="A162" s="219"/>
      <c r="B162" s="2"/>
      <c r="C162" s="10"/>
      <c r="D162" s="10" t="s">
        <v>1163</v>
      </c>
      <c r="E162" s="213"/>
      <c r="F162" s="213"/>
      <c r="G162" s="213"/>
      <c r="H162" s="213"/>
      <c r="I162" s="213"/>
      <c r="J162" s="213"/>
      <c r="K162" s="213"/>
      <c r="L162" s="2"/>
      <c r="M162" s="146"/>
      <c r="N162" s="806" cm="1">
        <f t="array" ref="N162">INDEX(DataSheet1!$A$8:$DD$317,$F$1,81)</f>
        <v>1985246</v>
      </c>
      <c r="O162" s="807"/>
      <c r="P162" s="223"/>
      <c r="Q162" s="806" cm="1">
        <f t="array" ref="Q162">INDEX(DataSheet1!$A$8:$DD$317,$F$1,82)</f>
        <v>297401</v>
      </c>
      <c r="R162" s="807"/>
      <c r="S162" s="223"/>
      <c r="T162" s="806" cm="1">
        <f t="array" ref="T162">INDEX(DataSheet1!$A$8:$DD$317,$F$1,83)</f>
        <v>27403</v>
      </c>
      <c r="U162" s="807"/>
      <c r="V162" s="223"/>
      <c r="W162" s="806" cm="1">
        <f t="array" ref="W162">INDEX(DataSheet1!$A$8:$DD$317,$F$1,84)</f>
        <v>2310050</v>
      </c>
      <c r="X162" s="807"/>
      <c r="Y162" s="146"/>
      <c r="Z162" s="51"/>
      <c r="AA162" s="633"/>
      <c r="AB162" s="633"/>
      <c r="AC162" s="633"/>
      <c r="AD162" s="633"/>
      <c r="AE162" s="633"/>
      <c r="AF162" s="633"/>
      <c r="AG162" s="633"/>
      <c r="AH162" s="633"/>
      <c r="AI162" s="633"/>
      <c r="AJ162" s="633"/>
    </row>
    <row r="163" spans="1:36" x14ac:dyDescent="0.2">
      <c r="A163" s="219"/>
      <c r="B163" s="2"/>
      <c r="C163" s="10"/>
      <c r="D163" s="10"/>
      <c r="E163" s="10"/>
      <c r="F163" s="10"/>
      <c r="G163" s="10"/>
      <c r="H163" s="10"/>
      <c r="I163" s="10"/>
      <c r="J163" s="10"/>
      <c r="K163" s="10"/>
      <c r="L163" s="2"/>
      <c r="M163" s="146"/>
      <c r="N163" s="235"/>
      <c r="O163" s="235"/>
      <c r="P163" s="235"/>
      <c r="Q163" s="235"/>
      <c r="R163" s="235"/>
      <c r="S163" s="235"/>
      <c r="T163" s="235"/>
      <c r="U163" s="235"/>
      <c r="V163" s="235"/>
      <c r="W163" s="235"/>
      <c r="X163" s="235"/>
      <c r="Y163" s="146"/>
      <c r="Z163" s="11"/>
      <c r="AA163" s="633"/>
      <c r="AB163" s="633"/>
      <c r="AC163" s="633"/>
      <c r="AD163" s="633"/>
      <c r="AE163" s="633"/>
      <c r="AF163" s="633"/>
      <c r="AG163" s="633"/>
      <c r="AH163" s="633"/>
      <c r="AI163" s="633"/>
      <c r="AJ163" s="633"/>
    </row>
    <row r="164" spans="1:36" ht="16.5" thickBot="1" x14ac:dyDescent="0.3">
      <c r="A164" s="219"/>
      <c r="B164" s="2"/>
      <c r="C164" s="13" t="s">
        <v>1005</v>
      </c>
      <c r="D164" s="10"/>
      <c r="E164" s="10"/>
      <c r="F164" s="10"/>
      <c r="G164" s="10"/>
      <c r="H164" s="10"/>
      <c r="I164" s="10"/>
      <c r="J164" s="10"/>
      <c r="K164" s="10"/>
      <c r="L164" s="593"/>
      <c r="M164" s="594"/>
      <c r="N164" s="503"/>
      <c r="O164" s="503"/>
      <c r="P164" s="503"/>
      <c r="Q164" s="503"/>
      <c r="R164" s="503"/>
      <c r="S164" s="503"/>
      <c r="T164" s="503"/>
      <c r="U164" s="503"/>
      <c r="V164" s="503"/>
      <c r="W164" s="503"/>
      <c r="X164" s="503"/>
      <c r="Y164" s="146"/>
      <c r="Z164" s="11"/>
      <c r="AA164" s="633"/>
      <c r="AB164" s="633"/>
      <c r="AC164" s="633"/>
      <c r="AD164" s="633"/>
      <c r="AE164" s="633"/>
      <c r="AF164" s="633"/>
      <c r="AG164" s="633"/>
      <c r="AH164" s="633"/>
      <c r="AI164" s="633"/>
      <c r="AJ164" s="633"/>
    </row>
    <row r="165" spans="1:36" ht="16.5" thickBot="1" x14ac:dyDescent="0.25">
      <c r="A165" s="219"/>
      <c r="B165" s="2"/>
      <c r="C165" s="10"/>
      <c r="D165" s="10" t="s">
        <v>1164</v>
      </c>
      <c r="E165" s="213"/>
      <c r="F165" s="213"/>
      <c r="G165" s="213"/>
      <c r="H165" s="213"/>
      <c r="I165" s="213"/>
      <c r="J165" s="213"/>
      <c r="K165" s="213"/>
      <c r="L165" s="593"/>
      <c r="M165" s="594"/>
      <c r="N165" s="806" cm="1">
        <f t="array" ref="N165">INDEX(DataSheet1!$A$8:$DD$317,$F$1,85)</f>
        <v>6275236</v>
      </c>
      <c r="O165" s="807"/>
      <c r="P165" s="223"/>
      <c r="Q165" s="806" cm="1">
        <f t="array" ref="Q165">INDEX(DataSheet1!$A$8:$DD$317,$F$1,86)</f>
        <v>1741422</v>
      </c>
      <c r="R165" s="807"/>
      <c r="S165" s="223"/>
      <c r="T165" s="806" cm="1">
        <f t="array" ref="T165">INDEX(DataSheet1!$A$8:$DD$317,$F$1,87)</f>
        <v>77863</v>
      </c>
      <c r="U165" s="807"/>
      <c r="V165" s="223"/>
      <c r="W165" s="806" cm="1">
        <f t="array" ref="W165">INDEX(DataSheet1!$A$8:$DD$317,$F$1,88)</f>
        <v>8094521</v>
      </c>
      <c r="X165" s="807"/>
      <c r="Y165" s="146"/>
      <c r="Z165" s="51"/>
      <c r="AA165" s="633"/>
      <c r="AB165" s="633"/>
      <c r="AC165" s="633"/>
      <c r="AD165" s="633"/>
      <c r="AE165" s="633"/>
      <c r="AF165" s="633"/>
      <c r="AG165" s="633"/>
      <c r="AH165" s="633"/>
      <c r="AI165" s="633"/>
      <c r="AJ165" s="633"/>
    </row>
    <row r="166" spans="1:36" ht="15.75" x14ac:dyDescent="0.2">
      <c r="A166" s="219"/>
      <c r="B166" s="2"/>
      <c r="C166" s="589"/>
      <c r="D166" s="589"/>
      <c r="E166" s="590"/>
      <c r="F166" s="590"/>
      <c r="G166" s="590"/>
      <c r="H166" s="590"/>
      <c r="I166" s="590"/>
      <c r="J166" s="590"/>
      <c r="K166" s="590"/>
      <c r="L166" s="269"/>
      <c r="M166" s="270"/>
      <c r="N166" s="592"/>
      <c r="O166" s="592"/>
      <c r="P166" s="591"/>
      <c r="Q166" s="592"/>
      <c r="R166" s="592"/>
      <c r="S166" s="591"/>
      <c r="T166" s="592"/>
      <c r="U166" s="592"/>
      <c r="V166" s="591"/>
      <c r="W166" s="592"/>
      <c r="X166" s="592"/>
      <c r="Y166" s="146"/>
      <c r="Z166" s="51"/>
      <c r="AA166" s="633"/>
      <c r="AB166" s="633"/>
      <c r="AC166" s="633"/>
      <c r="AD166" s="633"/>
      <c r="AE166" s="633"/>
      <c r="AF166" s="633"/>
      <c r="AG166" s="633"/>
      <c r="AH166" s="633"/>
      <c r="AI166" s="633"/>
      <c r="AJ166" s="633"/>
    </row>
    <row r="167" spans="1:36" ht="16.5" thickBot="1" x14ac:dyDescent="0.3">
      <c r="A167" s="219"/>
      <c r="B167" s="2"/>
      <c r="C167" s="13" t="s">
        <v>1033</v>
      </c>
      <c r="D167" s="10"/>
      <c r="E167" s="213"/>
      <c r="F167" s="213"/>
      <c r="G167" s="213"/>
      <c r="H167" s="213"/>
      <c r="I167" s="213"/>
      <c r="J167" s="213"/>
      <c r="K167" s="213"/>
      <c r="L167" s="269"/>
      <c r="M167" s="270"/>
      <c r="N167" s="226"/>
      <c r="O167" s="226"/>
      <c r="P167" s="223"/>
      <c r="Q167" s="226"/>
      <c r="R167" s="226"/>
      <c r="S167" s="223"/>
      <c r="T167" s="226"/>
      <c r="U167" s="226"/>
      <c r="V167" s="223"/>
      <c r="W167" s="226"/>
      <c r="X167" s="226"/>
      <c r="Y167" s="146"/>
      <c r="Z167" s="51"/>
      <c r="AA167" s="633"/>
      <c r="AB167" s="633"/>
      <c r="AC167" s="633"/>
      <c r="AD167" s="633"/>
      <c r="AE167" s="633"/>
      <c r="AF167" s="633"/>
      <c r="AG167" s="633"/>
      <c r="AH167" s="633"/>
      <c r="AI167" s="633"/>
      <c r="AJ167" s="633"/>
    </row>
    <row r="168" spans="1:36" ht="16.5" thickBot="1" x14ac:dyDescent="0.25">
      <c r="A168" s="219"/>
      <c r="B168" s="2"/>
      <c r="C168" s="10"/>
      <c r="D168" s="10" t="s">
        <v>1128</v>
      </c>
      <c r="E168" s="213"/>
      <c r="F168" s="213"/>
      <c r="G168" s="213"/>
      <c r="H168" s="213"/>
      <c r="I168" s="213"/>
      <c r="J168" s="213"/>
      <c r="K168" s="213"/>
      <c r="L168" s="269"/>
      <c r="M168" s="270"/>
      <c r="N168" s="803" cm="1">
        <f t="array" ref="N168">INDEX(DataSheet1!$A$8:$DD$317,$F$1,89)</f>
        <v>3905757</v>
      </c>
      <c r="O168" s="804"/>
      <c r="P168" s="223"/>
      <c r="Q168" s="803" cm="1">
        <f t="array" ref="Q168">INDEX(DataSheet1!$A$8:$DD$317,$F$1,90)</f>
        <v>0</v>
      </c>
      <c r="R168" s="804"/>
      <c r="S168" s="223"/>
      <c r="T168" s="803" cm="1">
        <f t="array" ref="T168">INDEX(DataSheet1!$A$8:$DD$317,$F$1,91)</f>
        <v>2029</v>
      </c>
      <c r="U168" s="804"/>
      <c r="V168" s="223"/>
      <c r="W168" s="803" cm="1">
        <f t="array" ref="W168">INDEX(DataSheet1!$A$8:$DD$317,$F$1,92)</f>
        <v>3907786</v>
      </c>
      <c r="X168" s="804"/>
      <c r="Y168" s="146"/>
      <c r="Z168" s="51"/>
      <c r="AA168" s="633"/>
      <c r="AB168" s="633"/>
      <c r="AC168" s="633"/>
      <c r="AD168" s="633"/>
      <c r="AE168" s="633"/>
      <c r="AF168" s="633"/>
      <c r="AG168" s="633"/>
      <c r="AH168" s="633"/>
      <c r="AI168" s="633"/>
      <c r="AJ168" s="633"/>
    </row>
    <row r="169" spans="1:36" ht="15.75" x14ac:dyDescent="0.25">
      <c r="A169" s="219"/>
      <c r="B169" s="2"/>
      <c r="C169" s="10"/>
      <c r="D169" s="10"/>
      <c r="E169" s="213"/>
      <c r="F169" s="213"/>
      <c r="G169" s="213"/>
      <c r="H169" s="213"/>
      <c r="I169" s="213"/>
      <c r="J169" s="213"/>
      <c r="K169" s="213"/>
      <c r="L169" s="269"/>
      <c r="M169" s="270"/>
      <c r="N169" s="226"/>
      <c r="O169" s="469"/>
      <c r="P169" s="223"/>
      <c r="Q169" s="226"/>
      <c r="R169" s="226"/>
      <c r="S169" s="223"/>
      <c r="T169" s="226"/>
      <c r="U169" s="226"/>
      <c r="V169" s="223"/>
      <c r="W169" s="469"/>
      <c r="X169" s="469"/>
      <c r="Y169" s="146"/>
      <c r="Z169" s="470"/>
      <c r="AA169" s="633"/>
      <c r="AB169" s="633"/>
      <c r="AC169" s="633"/>
      <c r="AD169" s="633"/>
      <c r="AE169" s="633"/>
      <c r="AF169" s="633"/>
      <c r="AG169" s="633"/>
      <c r="AH169" s="633"/>
      <c r="AI169" s="633"/>
      <c r="AJ169" s="633"/>
    </row>
    <row r="170" spans="1:36" ht="16.5" thickBot="1" x14ac:dyDescent="0.3">
      <c r="A170" s="219"/>
      <c r="B170" s="2"/>
      <c r="C170" s="13" t="s">
        <v>1032</v>
      </c>
      <c r="D170" s="10"/>
      <c r="E170" s="213"/>
      <c r="F170" s="213"/>
      <c r="G170" s="213"/>
      <c r="H170" s="213"/>
      <c r="I170" s="213"/>
      <c r="J170" s="213"/>
      <c r="K170" s="213"/>
      <c r="L170" s="269"/>
      <c r="M170" s="270"/>
      <c r="N170" s="226"/>
      <c r="O170" s="469"/>
      <c r="P170" s="223"/>
      <c r="Q170" s="226"/>
      <c r="R170" s="226"/>
      <c r="S170" s="223"/>
      <c r="T170" s="226"/>
      <c r="U170" s="226"/>
      <c r="V170" s="223"/>
      <c r="W170" s="469"/>
      <c r="X170" s="469"/>
      <c r="Y170" s="146"/>
      <c r="Z170" s="470"/>
      <c r="AA170" s="633"/>
      <c r="AB170" s="633"/>
      <c r="AC170" s="633"/>
      <c r="AD170" s="633"/>
      <c r="AE170" s="633"/>
      <c r="AF170" s="633"/>
      <c r="AG170" s="633"/>
      <c r="AH170" s="633"/>
      <c r="AI170" s="633"/>
      <c r="AJ170" s="633"/>
    </row>
    <row r="171" spans="1:36" ht="16.5" thickBot="1" x14ac:dyDescent="0.25">
      <c r="A171" s="219"/>
      <c r="B171" s="2"/>
      <c r="C171" s="10"/>
      <c r="D171" s="10" t="s">
        <v>1129</v>
      </c>
      <c r="E171" s="213"/>
      <c r="F171" s="213"/>
      <c r="G171" s="213"/>
      <c r="H171" s="213"/>
      <c r="I171" s="213"/>
      <c r="J171" s="213"/>
      <c r="K171" s="213"/>
      <c r="L171" s="269"/>
      <c r="M171" s="270"/>
      <c r="N171" s="806" cm="1">
        <f t="array" ref="N171">INDEX(DataSheet1!$A$8:$DD$317,$F$1,93)</f>
        <v>37254</v>
      </c>
      <c r="O171" s="807"/>
      <c r="P171" s="223"/>
      <c r="Q171" s="806" cm="1">
        <f t="array" ref="Q171">INDEX(DataSheet1!$A$8:$DD$317,$F$1,94)</f>
        <v>1231</v>
      </c>
      <c r="R171" s="807"/>
      <c r="S171" s="223"/>
      <c r="T171" s="806" cm="1">
        <f t="array" ref="T171">INDEX(DataSheet1!$A$8:$DD$317,$F$1,95)</f>
        <v>785</v>
      </c>
      <c r="U171" s="807"/>
      <c r="V171" s="223"/>
      <c r="W171" s="806" cm="1">
        <f t="array" ref="W171">INDEX(DataSheet1!$A$8:$DD$317,$F$1,96)</f>
        <v>39270</v>
      </c>
      <c r="X171" s="807"/>
      <c r="Y171" s="146"/>
      <c r="Z171" s="470"/>
      <c r="AA171" s="633"/>
      <c r="AB171" s="633"/>
      <c r="AC171" s="633"/>
      <c r="AD171" s="633"/>
      <c r="AE171" s="633"/>
      <c r="AF171" s="633"/>
      <c r="AG171" s="633"/>
      <c r="AH171" s="633"/>
      <c r="AI171" s="633"/>
      <c r="AJ171" s="633"/>
    </row>
    <row r="172" spans="1:36" ht="15.75" x14ac:dyDescent="0.2">
      <c r="A172" s="219"/>
      <c r="B172" s="2"/>
      <c r="C172" s="10"/>
      <c r="D172" s="10"/>
      <c r="E172" s="213"/>
      <c r="F172" s="213"/>
      <c r="G172" s="213"/>
      <c r="H172" s="213"/>
      <c r="I172" s="213"/>
      <c r="J172" s="213"/>
      <c r="K172" s="213"/>
      <c r="L172" s="269"/>
      <c r="M172" s="270"/>
      <c r="N172" s="226"/>
      <c r="O172" s="226"/>
      <c r="P172" s="223"/>
      <c r="Q172" s="226"/>
      <c r="R172" s="226"/>
      <c r="S172" s="223"/>
      <c r="T172" s="226"/>
      <c r="U172" s="226"/>
      <c r="V172" s="223"/>
      <c r="W172" s="226"/>
      <c r="X172" s="226"/>
      <c r="Y172" s="146"/>
      <c r="Z172" s="470"/>
      <c r="AA172" s="633"/>
      <c r="AB172" s="633"/>
      <c r="AC172" s="633"/>
      <c r="AD172" s="633"/>
      <c r="AE172" s="633"/>
      <c r="AF172" s="633"/>
      <c r="AG172" s="633"/>
      <c r="AH172" s="633"/>
      <c r="AI172" s="633"/>
      <c r="AJ172" s="633"/>
    </row>
    <row r="173" spans="1:36" ht="16.5" thickBot="1" x14ac:dyDescent="0.3">
      <c r="A173" s="219"/>
      <c r="B173" s="2"/>
      <c r="C173" s="13" t="s">
        <v>1091</v>
      </c>
      <c r="D173" s="10"/>
      <c r="E173" s="213"/>
      <c r="F173" s="213"/>
      <c r="G173" s="213"/>
      <c r="H173" s="213"/>
      <c r="I173" s="213"/>
      <c r="J173" s="213"/>
      <c r="K173" s="213"/>
      <c r="L173" s="269"/>
      <c r="M173" s="270"/>
      <c r="N173" s="226"/>
      <c r="O173" s="226"/>
      <c r="P173" s="223"/>
      <c r="Q173" s="226"/>
      <c r="R173" s="226"/>
      <c r="S173" s="223"/>
      <c r="T173" s="226"/>
      <c r="U173" s="226"/>
      <c r="V173" s="223"/>
      <c r="W173" s="226"/>
      <c r="X173" s="226"/>
      <c r="Y173" s="146"/>
      <c r="Z173" s="470"/>
      <c r="AA173" s="633"/>
      <c r="AB173" s="633"/>
      <c r="AC173" s="633"/>
      <c r="AD173" s="633"/>
      <c r="AE173" s="633"/>
      <c r="AF173" s="633"/>
      <c r="AG173" s="633"/>
      <c r="AH173" s="633"/>
      <c r="AI173" s="633"/>
      <c r="AJ173" s="633"/>
    </row>
    <row r="174" spans="1:36" ht="16.5" thickBot="1" x14ac:dyDescent="0.25">
      <c r="A174" s="219"/>
      <c r="B174" s="2"/>
      <c r="C174" s="10"/>
      <c r="D174" s="10" t="s">
        <v>1106</v>
      </c>
      <c r="E174" s="213"/>
      <c r="F174" s="213"/>
      <c r="G174" s="213"/>
      <c r="H174" s="213"/>
      <c r="I174" s="213"/>
      <c r="J174" s="213"/>
      <c r="K174" s="213"/>
      <c r="L174" s="269"/>
      <c r="M174" s="270"/>
      <c r="N174" s="806" cm="1">
        <f t="array" ref="N174">INDEX(DataSheet1!$A$8:$DD$317,$F$1,97)</f>
        <v>69556</v>
      </c>
      <c r="O174" s="807"/>
      <c r="P174" s="223"/>
      <c r="Q174" s="806" cm="1">
        <f t="array" ref="Q174">INDEX(DataSheet1!$A$8:$DD$317,$F$1,98)</f>
        <v>9375</v>
      </c>
      <c r="R174" s="807"/>
      <c r="S174" s="223"/>
      <c r="T174" s="806" cm="1">
        <f t="array" ref="T174">INDEX(DataSheet1!$A$8:$DD$317,$F$1,99)</f>
        <v>928</v>
      </c>
      <c r="U174" s="807"/>
      <c r="V174" s="223"/>
      <c r="W174" s="806" cm="1">
        <f t="array" ref="W174">INDEX(DataSheet1!$A$8:$DD$317,$F$1,100)</f>
        <v>79859</v>
      </c>
      <c r="X174" s="807"/>
      <c r="Y174" s="146"/>
      <c r="Z174" s="470"/>
      <c r="AA174" s="633"/>
      <c r="AB174" s="633"/>
      <c r="AC174" s="633"/>
      <c r="AD174" s="633"/>
      <c r="AE174" s="633"/>
      <c r="AF174" s="633"/>
      <c r="AG174" s="633"/>
      <c r="AH174" s="633"/>
      <c r="AI174" s="633"/>
      <c r="AJ174" s="633"/>
    </row>
    <row r="175" spans="1:36" ht="16.5" thickBot="1" x14ac:dyDescent="0.25">
      <c r="A175" s="219"/>
      <c r="B175" s="2"/>
      <c r="C175" s="10"/>
      <c r="D175" s="10"/>
      <c r="E175" s="213"/>
      <c r="F175" s="213"/>
      <c r="G175" s="213"/>
      <c r="H175" s="213"/>
      <c r="I175" s="213"/>
      <c r="J175" s="213"/>
      <c r="K175" s="213"/>
      <c r="L175" s="269"/>
      <c r="M175" s="270"/>
      <c r="N175" s="226"/>
      <c r="O175" s="226"/>
      <c r="P175" s="223"/>
      <c r="Q175" s="226"/>
      <c r="R175" s="226"/>
      <c r="S175" s="223"/>
      <c r="T175" s="226"/>
      <c r="U175" s="226"/>
      <c r="V175" s="223"/>
      <c r="W175" s="226"/>
      <c r="X175" s="226"/>
      <c r="Y175" s="146"/>
      <c r="Z175" s="470"/>
      <c r="AA175" s="633"/>
      <c r="AB175" s="633"/>
      <c r="AC175" s="633"/>
      <c r="AD175" s="633"/>
      <c r="AE175" s="633"/>
      <c r="AF175" s="633"/>
      <c r="AG175" s="633"/>
      <c r="AH175" s="633"/>
      <c r="AI175" s="633"/>
      <c r="AJ175" s="633"/>
    </row>
    <row r="176" spans="1:36" x14ac:dyDescent="0.2">
      <c r="A176" s="214"/>
      <c r="B176" s="17"/>
      <c r="C176" s="18"/>
      <c r="D176" s="18"/>
      <c r="E176" s="18"/>
      <c r="F176" s="18"/>
      <c r="G176" s="18"/>
      <c r="H176" s="18"/>
      <c r="I176" s="18"/>
      <c r="J176" s="18"/>
      <c r="K176" s="78"/>
      <c r="L176" s="78"/>
      <c r="M176" s="227"/>
      <c r="N176" s="227"/>
      <c r="O176" s="227"/>
      <c r="P176" s="227"/>
      <c r="Q176" s="227"/>
      <c r="R176" s="227"/>
      <c r="S176" s="227"/>
      <c r="T176" s="227"/>
      <c r="U176" s="227"/>
      <c r="V176" s="227"/>
      <c r="W176" s="227"/>
      <c r="X176" s="227"/>
      <c r="Y176" s="228"/>
      <c r="Z176" s="11"/>
      <c r="AA176" s="633"/>
      <c r="AB176" s="633"/>
      <c r="AC176" s="633"/>
      <c r="AD176" s="633"/>
      <c r="AE176" s="633"/>
      <c r="AF176" s="633"/>
      <c r="AG176" s="633"/>
      <c r="AH176" s="633"/>
      <c r="AI176" s="633"/>
      <c r="AJ176" s="633"/>
    </row>
    <row r="177" spans="1:48" ht="16.5" thickBot="1" x14ac:dyDescent="0.3">
      <c r="A177" s="214"/>
      <c r="B177" s="19"/>
      <c r="C177" s="20" t="s">
        <v>599</v>
      </c>
      <c r="D177" s="8"/>
      <c r="E177" s="8"/>
      <c r="F177" s="8"/>
      <c r="G177" s="8"/>
      <c r="H177" s="8"/>
      <c r="I177" s="8"/>
      <c r="J177" s="8"/>
      <c r="K177" s="8"/>
      <c r="L177" s="8"/>
      <c r="M177" s="223"/>
      <c r="N177" s="809"/>
      <c r="O177" s="809"/>
      <c r="P177" s="223"/>
      <c r="Q177" s="809"/>
      <c r="R177" s="809"/>
      <c r="S177" s="223"/>
      <c r="T177" s="809"/>
      <c r="U177" s="809"/>
      <c r="V177" s="223"/>
      <c r="W177" s="809"/>
      <c r="X177" s="809"/>
      <c r="Y177" s="229"/>
      <c r="Z177" s="11"/>
      <c r="AA177" s="633"/>
      <c r="AB177" s="633"/>
      <c r="AC177" s="633"/>
      <c r="AD177" s="633"/>
      <c r="AE177" s="633"/>
      <c r="AF177" s="633"/>
      <c r="AG177" s="633"/>
      <c r="AH177" s="633"/>
      <c r="AI177" s="633"/>
      <c r="AJ177" s="633"/>
    </row>
    <row r="178" spans="1:48" ht="16.5" thickBot="1" x14ac:dyDescent="0.25">
      <c r="A178" s="214"/>
      <c r="B178" s="19"/>
      <c r="C178" s="8" t="s">
        <v>1165</v>
      </c>
      <c r="D178" s="8"/>
      <c r="E178" s="8"/>
      <c r="F178" s="8"/>
      <c r="G178" s="8"/>
      <c r="H178" s="8"/>
      <c r="I178" s="8"/>
      <c r="J178" s="8"/>
      <c r="K178" s="109"/>
      <c r="L178" s="109"/>
      <c r="M178" s="223"/>
      <c r="N178" s="806" cm="1">
        <f t="array" ref="N178">INDEX(DataSheet1!$A$8:$DD$317,$F$1,101)</f>
        <v>1449631566</v>
      </c>
      <c r="O178" s="807"/>
      <c r="P178" s="223"/>
      <c r="Q178" s="806" cm="1">
        <f t="array" ref="Q178">INDEX(DataSheet1!$A$8:$DD$317,$F$1,102)</f>
        <v>340854054</v>
      </c>
      <c r="R178" s="807"/>
      <c r="S178" s="223"/>
      <c r="T178" s="806" cm="1">
        <f t="array" ref="T178">INDEX(DataSheet1!$A$8:$DD$317,$F$1,103)</f>
        <v>18187312</v>
      </c>
      <c r="U178" s="807"/>
      <c r="V178" s="223"/>
      <c r="W178" s="806" cm="1">
        <f t="array" ref="W178">INDEX(DataSheet1!$A$8:$DD$317,$F$1,104)</f>
        <v>1808672932</v>
      </c>
      <c r="X178" s="807"/>
      <c r="Y178" s="229"/>
      <c r="Z178" s="51"/>
      <c r="AA178" s="633"/>
      <c r="AB178" s="633"/>
      <c r="AC178" s="633"/>
      <c r="AD178" s="633"/>
      <c r="AE178" s="633"/>
      <c r="AF178" s="633"/>
      <c r="AG178" s="633"/>
      <c r="AH178" s="633"/>
      <c r="AI178" s="633"/>
      <c r="AJ178" s="633"/>
    </row>
    <row r="179" spans="1:48" ht="15.75" thickBot="1" x14ac:dyDescent="0.25">
      <c r="A179" s="214"/>
      <c r="B179" s="21"/>
      <c r="C179" s="22"/>
      <c r="D179" s="22"/>
      <c r="E179" s="22"/>
      <c r="F179" s="22"/>
      <c r="G179" s="22"/>
      <c r="H179" s="22"/>
      <c r="I179" s="22"/>
      <c r="J179" s="22"/>
      <c r="K179" s="22"/>
      <c r="L179" s="22"/>
      <c r="M179" s="230"/>
      <c r="N179" s="230"/>
      <c r="O179" s="230"/>
      <c r="P179" s="230"/>
      <c r="Q179" s="230"/>
      <c r="R179" s="230"/>
      <c r="S179" s="230"/>
      <c r="T179" s="230"/>
      <c r="U179" s="230"/>
      <c r="V179" s="230"/>
      <c r="W179" s="230"/>
      <c r="X179" s="230"/>
      <c r="Y179" s="231"/>
      <c r="Z179" s="11"/>
      <c r="AA179" s="633"/>
      <c r="AB179" s="633"/>
      <c r="AC179" s="633"/>
      <c r="AD179" s="633"/>
      <c r="AE179" s="633"/>
      <c r="AF179" s="633"/>
      <c r="AG179" s="633"/>
      <c r="AH179" s="633"/>
      <c r="AI179" s="633"/>
      <c r="AJ179" s="633"/>
    </row>
    <row r="180" spans="1:48" x14ac:dyDescent="0.2">
      <c r="A180" s="214"/>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1"/>
      <c r="AA180" s="633"/>
      <c r="AB180" s="633"/>
      <c r="AC180" s="633"/>
      <c r="AD180" s="633"/>
      <c r="AE180" s="633"/>
      <c r="AF180" s="633"/>
      <c r="AG180" s="633"/>
      <c r="AH180" s="633"/>
      <c r="AI180" s="633"/>
      <c r="AJ180" s="633"/>
    </row>
    <row r="181" spans="1:48" ht="18.75" customHeight="1" x14ac:dyDescent="0.2">
      <c r="A181" s="214"/>
      <c r="B181" s="10"/>
      <c r="C181" s="811" t="s">
        <v>1166</v>
      </c>
      <c r="D181" s="812"/>
      <c r="E181" s="812"/>
      <c r="F181" s="812"/>
      <c r="G181" s="812"/>
      <c r="H181" s="812"/>
      <c r="I181" s="812"/>
      <c r="J181" s="812"/>
      <c r="K181" s="812"/>
      <c r="L181" s="812"/>
      <c r="M181" s="812"/>
      <c r="N181" s="812"/>
      <c r="O181" s="812"/>
      <c r="P181" s="812"/>
      <c r="Q181" s="812"/>
      <c r="R181" s="812"/>
      <c r="S181" s="812"/>
      <c r="T181" s="812"/>
      <c r="U181" s="812"/>
      <c r="V181" s="812"/>
      <c r="W181" s="812"/>
      <c r="X181" s="813"/>
      <c r="Y181" s="10"/>
      <c r="Z181" s="11"/>
      <c r="AA181" s="633"/>
      <c r="AB181" s="633"/>
      <c r="AC181" s="633"/>
      <c r="AD181" s="633"/>
      <c r="AE181" s="633"/>
      <c r="AF181" s="633"/>
      <c r="AG181" s="633"/>
      <c r="AH181" s="633"/>
      <c r="AI181" s="633"/>
      <c r="AJ181" s="633"/>
    </row>
    <row r="182" spans="1:48" ht="18.75" customHeight="1" x14ac:dyDescent="0.2">
      <c r="A182" s="214"/>
      <c r="B182" s="10"/>
      <c r="C182" s="814"/>
      <c r="D182" s="815"/>
      <c r="E182" s="815"/>
      <c r="F182" s="815"/>
      <c r="G182" s="815"/>
      <c r="H182" s="815"/>
      <c r="I182" s="815"/>
      <c r="J182" s="815"/>
      <c r="K182" s="815"/>
      <c r="L182" s="815"/>
      <c r="M182" s="815"/>
      <c r="N182" s="815"/>
      <c r="O182" s="815"/>
      <c r="P182" s="815"/>
      <c r="Q182" s="815"/>
      <c r="R182" s="815"/>
      <c r="S182" s="815"/>
      <c r="T182" s="815"/>
      <c r="U182" s="815"/>
      <c r="V182" s="815"/>
      <c r="W182" s="815"/>
      <c r="X182" s="816"/>
      <c r="Y182" s="10"/>
      <c r="Z182" s="11"/>
      <c r="AA182" s="633"/>
      <c r="AB182" s="633"/>
      <c r="AC182" s="633"/>
      <c r="AD182" s="633"/>
      <c r="AE182" s="633"/>
      <c r="AF182" s="633"/>
      <c r="AG182" s="633"/>
      <c r="AH182" s="633"/>
      <c r="AI182" s="633"/>
      <c r="AJ182" s="633"/>
    </row>
    <row r="183" spans="1:48" ht="15.75" thickBot="1" x14ac:dyDescent="0.25">
      <c r="A183" s="758"/>
      <c r="B183" s="759"/>
      <c r="C183" s="759"/>
      <c r="D183" s="759"/>
      <c r="E183" s="759"/>
      <c r="F183" s="759"/>
      <c r="G183" s="759"/>
      <c r="H183" s="759"/>
      <c r="I183" s="759"/>
      <c r="J183" s="759"/>
      <c r="K183" s="759"/>
      <c r="L183" s="759"/>
      <c r="M183" s="759"/>
      <c r="N183" s="759"/>
      <c r="O183" s="759"/>
      <c r="P183" s="759"/>
      <c r="Q183" s="759"/>
      <c r="R183" s="759"/>
      <c r="S183" s="759"/>
      <c r="T183" s="759"/>
      <c r="U183" s="759"/>
      <c r="V183" s="759"/>
      <c r="W183" s="759"/>
      <c r="X183" s="759"/>
      <c r="Y183" s="759"/>
      <c r="Z183" s="760"/>
      <c r="AA183" s="633"/>
      <c r="AB183" s="633"/>
      <c r="AC183" s="633"/>
      <c r="AD183" s="633"/>
      <c r="AE183" s="633"/>
      <c r="AF183" s="633"/>
      <c r="AG183" s="633"/>
      <c r="AH183" s="633"/>
      <c r="AI183" s="633"/>
      <c r="AJ183" s="633"/>
    </row>
    <row r="184" spans="1:48" s="568" customFormat="1" x14ac:dyDescent="0.2">
      <c r="A184" s="400"/>
      <c r="B184" s="399"/>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c r="AG184" s="399"/>
      <c r="AH184" s="399"/>
      <c r="AI184" s="399"/>
      <c r="AJ184" s="399"/>
      <c r="AK184" s="399"/>
      <c r="AL184" s="399"/>
      <c r="AM184" s="399"/>
      <c r="AN184" s="399"/>
      <c r="AO184" s="399"/>
      <c r="AP184" s="399"/>
      <c r="AQ184" s="399"/>
      <c r="AR184" s="399"/>
      <c r="AS184" s="399"/>
      <c r="AT184" s="399"/>
      <c r="AU184" s="399"/>
      <c r="AV184" s="399"/>
    </row>
    <row r="185" spans="1:48" s="568" customFormat="1" x14ac:dyDescent="0.2">
      <c r="A185" s="400"/>
      <c r="B185" s="399"/>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c r="AG185" s="399"/>
      <c r="AH185" s="399"/>
      <c r="AI185" s="399"/>
      <c r="AJ185" s="399"/>
      <c r="AK185" s="399"/>
      <c r="AL185" s="399"/>
      <c r="AM185" s="399"/>
      <c r="AN185" s="399"/>
      <c r="AO185" s="399"/>
      <c r="AP185" s="399"/>
      <c r="AQ185" s="399"/>
      <c r="AR185" s="399"/>
      <c r="AS185" s="399"/>
      <c r="AT185" s="399"/>
      <c r="AU185" s="399"/>
      <c r="AV185" s="399"/>
    </row>
    <row r="186" spans="1:48" s="568" customFormat="1" x14ac:dyDescent="0.2">
      <c r="A186" s="400"/>
      <c r="B186" s="399"/>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c r="AG186" s="399"/>
      <c r="AH186" s="399"/>
      <c r="AI186" s="399"/>
      <c r="AJ186" s="399"/>
      <c r="AK186" s="399"/>
      <c r="AL186" s="399"/>
      <c r="AM186" s="399"/>
      <c r="AN186" s="399"/>
      <c r="AO186" s="399"/>
      <c r="AP186" s="399"/>
      <c r="AQ186" s="399"/>
      <c r="AR186" s="399"/>
      <c r="AS186" s="399"/>
      <c r="AT186" s="399"/>
      <c r="AU186" s="399"/>
      <c r="AV186" s="399"/>
    </row>
    <row r="187" spans="1:48" s="568" customFormat="1" x14ac:dyDescent="0.2">
      <c r="A187" s="400"/>
      <c r="B187" s="399"/>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c r="AG187" s="399"/>
      <c r="AH187" s="399"/>
      <c r="AI187" s="399"/>
      <c r="AJ187" s="399"/>
      <c r="AK187" s="399"/>
      <c r="AL187" s="399"/>
      <c r="AM187" s="399"/>
      <c r="AN187" s="399"/>
      <c r="AO187" s="399"/>
      <c r="AP187" s="399"/>
      <c r="AQ187" s="399"/>
      <c r="AR187" s="399"/>
      <c r="AS187" s="399"/>
      <c r="AT187" s="399"/>
      <c r="AU187" s="399"/>
      <c r="AV187" s="399"/>
    </row>
    <row r="188" spans="1:48" s="568" customFormat="1" x14ac:dyDescent="0.2">
      <c r="A188" s="400"/>
      <c r="B188" s="399"/>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c r="AG188" s="399"/>
      <c r="AH188" s="399"/>
      <c r="AI188" s="399"/>
      <c r="AJ188" s="399"/>
      <c r="AK188" s="399"/>
      <c r="AL188" s="399"/>
      <c r="AM188" s="399"/>
      <c r="AN188" s="399"/>
      <c r="AO188" s="399"/>
      <c r="AP188" s="399"/>
      <c r="AQ188" s="399"/>
      <c r="AR188" s="399"/>
      <c r="AS188" s="399"/>
      <c r="AT188" s="399"/>
      <c r="AU188" s="399"/>
      <c r="AV188" s="399"/>
    </row>
    <row r="189" spans="1:48" s="568" customFormat="1" x14ac:dyDescent="0.2">
      <c r="A189" s="400"/>
      <c r="B189" s="399"/>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c r="AG189" s="399"/>
      <c r="AH189" s="399"/>
      <c r="AI189" s="399"/>
      <c r="AJ189" s="399"/>
      <c r="AK189" s="399"/>
      <c r="AL189" s="399"/>
      <c r="AM189" s="399"/>
      <c r="AN189" s="399"/>
      <c r="AO189" s="399"/>
      <c r="AP189" s="399"/>
      <c r="AQ189" s="399"/>
      <c r="AR189" s="399"/>
      <c r="AS189" s="399"/>
      <c r="AT189" s="399"/>
      <c r="AU189" s="399"/>
      <c r="AV189" s="399"/>
    </row>
    <row r="190" spans="1:48" s="569" customFormat="1" x14ac:dyDescent="0.2">
      <c r="A190" s="400"/>
      <c r="B190" s="400"/>
      <c r="C190" s="400"/>
      <c r="D190" s="400"/>
      <c r="E190" s="400"/>
      <c r="F190" s="400"/>
      <c r="G190" s="400"/>
      <c r="H190" s="400"/>
      <c r="I190" s="400"/>
      <c r="J190" s="400"/>
      <c r="K190" s="400"/>
      <c r="L190" s="400"/>
      <c r="M190" s="400"/>
      <c r="N190" s="400"/>
      <c r="O190" s="400"/>
      <c r="P190" s="400"/>
      <c r="Q190" s="400"/>
      <c r="R190" s="400"/>
      <c r="S190" s="400"/>
      <c r="T190" s="400"/>
      <c r="U190" s="400"/>
      <c r="V190" s="400"/>
      <c r="W190" s="400"/>
      <c r="X190" s="400"/>
      <c r="Y190" s="400"/>
      <c r="Z190" s="400"/>
      <c r="AA190" s="400"/>
      <c r="AB190" s="400"/>
      <c r="AC190" s="400"/>
      <c r="AD190" s="400"/>
      <c r="AE190" s="400"/>
      <c r="AF190" s="400"/>
      <c r="AG190" s="400"/>
      <c r="AH190" s="400"/>
      <c r="AI190" s="400"/>
      <c r="AJ190" s="400"/>
      <c r="AK190" s="400"/>
      <c r="AL190" s="400"/>
      <c r="AM190" s="400"/>
      <c r="AN190" s="400"/>
      <c r="AO190" s="400"/>
      <c r="AP190" s="400"/>
      <c r="AQ190" s="400"/>
      <c r="AR190" s="400"/>
      <c r="AS190" s="400"/>
      <c r="AT190" s="400"/>
      <c r="AU190" s="400"/>
      <c r="AV190" s="400"/>
    </row>
    <row r="191" spans="1:48" s="569" customFormat="1" x14ac:dyDescent="0.2">
      <c r="A191" s="400"/>
      <c r="B191" s="400"/>
      <c r="C191" s="400"/>
      <c r="D191" s="400"/>
      <c r="E191" s="400"/>
      <c r="F191" s="400"/>
      <c r="G191" s="400"/>
      <c r="H191" s="400"/>
      <c r="I191" s="400"/>
      <c r="J191" s="400"/>
      <c r="K191" s="400"/>
      <c r="L191" s="400"/>
      <c r="M191" s="400"/>
      <c r="N191" s="400"/>
      <c r="O191" s="400"/>
      <c r="P191" s="400"/>
      <c r="Q191" s="400"/>
      <c r="R191" s="400"/>
      <c r="S191" s="400"/>
      <c r="T191" s="400"/>
      <c r="U191" s="400"/>
      <c r="V191" s="400"/>
      <c r="W191" s="400"/>
      <c r="X191" s="400"/>
      <c r="Y191" s="400"/>
      <c r="Z191" s="400"/>
      <c r="AA191" s="400"/>
      <c r="AB191" s="400"/>
      <c r="AC191" s="400"/>
      <c r="AD191" s="400"/>
      <c r="AE191" s="400"/>
      <c r="AF191" s="400"/>
      <c r="AG191" s="400"/>
      <c r="AH191" s="400"/>
      <c r="AI191" s="400"/>
      <c r="AJ191" s="400"/>
      <c r="AK191" s="400"/>
      <c r="AL191" s="400"/>
      <c r="AM191" s="400"/>
      <c r="AN191" s="400"/>
      <c r="AO191" s="400"/>
      <c r="AP191" s="400"/>
      <c r="AQ191" s="400"/>
      <c r="AR191" s="400"/>
      <c r="AS191" s="400"/>
      <c r="AT191" s="400"/>
      <c r="AU191" s="400"/>
      <c r="AV191" s="400"/>
    </row>
    <row r="192" spans="1:48" s="569" customFormat="1" x14ac:dyDescent="0.2">
      <c r="A192" s="400"/>
      <c r="B192" s="400"/>
      <c r="C192" s="400"/>
      <c r="D192" s="400"/>
      <c r="E192" s="400"/>
      <c r="F192" s="400"/>
      <c r="G192" s="400"/>
      <c r="H192" s="400"/>
      <c r="I192" s="400"/>
      <c r="J192" s="400"/>
      <c r="K192" s="400"/>
      <c r="L192" s="400"/>
      <c r="M192" s="400"/>
      <c r="N192" s="400"/>
      <c r="O192" s="400"/>
      <c r="P192" s="400"/>
      <c r="Q192" s="400"/>
      <c r="R192" s="400"/>
      <c r="S192" s="400"/>
      <c r="T192" s="400"/>
      <c r="U192" s="400"/>
      <c r="V192" s="400"/>
      <c r="W192" s="400"/>
      <c r="X192" s="400"/>
      <c r="Y192" s="400"/>
      <c r="Z192" s="400"/>
      <c r="AA192" s="400"/>
      <c r="AB192" s="400"/>
      <c r="AC192" s="400"/>
      <c r="AD192" s="400"/>
      <c r="AE192" s="400"/>
      <c r="AF192" s="400"/>
      <c r="AG192" s="400"/>
      <c r="AH192" s="400"/>
      <c r="AI192" s="400"/>
      <c r="AJ192" s="400"/>
      <c r="AK192" s="400"/>
      <c r="AL192" s="400"/>
      <c r="AM192" s="400"/>
      <c r="AN192" s="400"/>
      <c r="AO192" s="400"/>
      <c r="AP192" s="400"/>
      <c r="AQ192" s="400"/>
      <c r="AR192" s="400"/>
      <c r="AS192" s="400"/>
      <c r="AT192" s="400"/>
      <c r="AU192" s="400"/>
      <c r="AV192" s="400"/>
    </row>
    <row r="193" spans="1:48" s="569" customFormat="1" x14ac:dyDescent="0.2">
      <c r="A193" s="400"/>
      <c r="B193" s="400"/>
      <c r="C193" s="400"/>
      <c r="D193" s="400"/>
      <c r="E193" s="400"/>
      <c r="F193" s="400"/>
      <c r="G193" s="400"/>
      <c r="H193" s="400"/>
      <c r="I193" s="400"/>
      <c r="J193" s="400"/>
      <c r="K193" s="400"/>
      <c r="L193" s="400"/>
      <c r="M193" s="400"/>
      <c r="N193" s="400"/>
      <c r="O193" s="400"/>
      <c r="P193" s="400"/>
      <c r="Q193" s="400"/>
      <c r="R193" s="400"/>
      <c r="S193" s="400"/>
      <c r="T193" s="400"/>
      <c r="U193" s="400"/>
      <c r="V193" s="400"/>
      <c r="W193" s="400"/>
      <c r="X193" s="400"/>
      <c r="Y193" s="400"/>
      <c r="Z193" s="400"/>
      <c r="AA193" s="400"/>
      <c r="AB193" s="400"/>
      <c r="AC193" s="400"/>
      <c r="AD193" s="400"/>
      <c r="AE193" s="400"/>
      <c r="AF193" s="400"/>
      <c r="AG193" s="400"/>
      <c r="AH193" s="400"/>
      <c r="AI193" s="400"/>
      <c r="AJ193" s="400"/>
      <c r="AK193" s="400"/>
      <c r="AL193" s="400"/>
      <c r="AM193" s="400"/>
      <c r="AN193" s="400"/>
      <c r="AO193" s="400"/>
      <c r="AP193" s="400"/>
      <c r="AQ193" s="400"/>
      <c r="AR193" s="400"/>
      <c r="AS193" s="400"/>
      <c r="AT193" s="400"/>
      <c r="AU193" s="400"/>
      <c r="AV193" s="400"/>
    </row>
    <row r="194" spans="1:48" s="569" customFormat="1" x14ac:dyDescent="0.2">
      <c r="A194" s="400"/>
      <c r="B194" s="400"/>
      <c r="C194" s="400"/>
      <c r="D194" s="400"/>
      <c r="E194" s="400"/>
      <c r="F194" s="400"/>
      <c r="G194" s="400"/>
      <c r="H194" s="400"/>
      <c r="I194" s="400"/>
      <c r="J194" s="400"/>
      <c r="K194" s="400"/>
      <c r="L194" s="400"/>
      <c r="M194" s="400"/>
      <c r="N194" s="400"/>
      <c r="O194" s="400"/>
      <c r="P194" s="400"/>
      <c r="Q194" s="400"/>
      <c r="R194" s="400"/>
      <c r="S194" s="400"/>
      <c r="T194" s="400"/>
      <c r="U194" s="400"/>
      <c r="V194" s="400"/>
      <c r="W194" s="400"/>
      <c r="X194" s="400"/>
      <c r="Y194" s="400"/>
      <c r="Z194" s="400"/>
      <c r="AA194" s="400"/>
      <c r="AB194" s="400"/>
      <c r="AC194" s="400"/>
      <c r="AD194" s="400"/>
      <c r="AE194" s="400"/>
      <c r="AF194" s="400"/>
      <c r="AG194" s="400"/>
      <c r="AH194" s="400"/>
      <c r="AI194" s="400"/>
      <c r="AJ194" s="400"/>
      <c r="AK194" s="400"/>
      <c r="AL194" s="400"/>
      <c r="AM194" s="400"/>
      <c r="AN194" s="400"/>
      <c r="AO194" s="400"/>
      <c r="AP194" s="400"/>
      <c r="AQ194" s="400"/>
      <c r="AR194" s="400"/>
      <c r="AS194" s="400"/>
      <c r="AT194" s="400"/>
      <c r="AU194" s="400"/>
      <c r="AV194" s="400"/>
    </row>
    <row r="195" spans="1:48" s="569" customFormat="1" x14ac:dyDescent="0.2">
      <c r="A195" s="400"/>
      <c r="B195" s="400"/>
      <c r="C195" s="400"/>
      <c r="D195" s="400"/>
      <c r="E195" s="400"/>
      <c r="F195" s="400"/>
      <c r="G195" s="400"/>
      <c r="H195" s="400"/>
      <c r="I195" s="400"/>
      <c r="J195" s="400"/>
      <c r="K195" s="400"/>
      <c r="L195" s="400"/>
      <c r="M195" s="400"/>
      <c r="N195" s="400"/>
      <c r="O195" s="400"/>
      <c r="P195" s="400"/>
      <c r="Q195" s="400"/>
      <c r="R195" s="400"/>
      <c r="S195" s="400"/>
      <c r="T195" s="400"/>
      <c r="U195" s="400"/>
      <c r="V195" s="400"/>
      <c r="W195" s="400"/>
      <c r="X195" s="400"/>
      <c r="Y195" s="400"/>
      <c r="Z195" s="400"/>
      <c r="AA195" s="400"/>
      <c r="AB195" s="400"/>
      <c r="AC195" s="400"/>
      <c r="AD195" s="400"/>
      <c r="AE195" s="400"/>
      <c r="AF195" s="400"/>
      <c r="AG195" s="400"/>
      <c r="AH195" s="400"/>
      <c r="AI195" s="400"/>
      <c r="AJ195" s="400"/>
      <c r="AK195" s="400"/>
      <c r="AL195" s="400"/>
      <c r="AM195" s="400"/>
      <c r="AN195" s="400"/>
      <c r="AO195" s="400"/>
      <c r="AP195" s="400"/>
      <c r="AQ195" s="400"/>
      <c r="AR195" s="400"/>
      <c r="AS195" s="400"/>
      <c r="AT195" s="400"/>
      <c r="AU195" s="400"/>
      <c r="AV195" s="400"/>
    </row>
    <row r="196" spans="1:48" s="569" customFormat="1" x14ac:dyDescent="0.2">
      <c r="A196" s="400"/>
      <c r="B196" s="400"/>
      <c r="C196" s="400"/>
      <c r="D196" s="400"/>
      <c r="E196" s="400"/>
      <c r="F196" s="400"/>
      <c r="G196" s="400"/>
      <c r="H196" s="400"/>
      <c r="I196" s="400"/>
      <c r="J196" s="400"/>
      <c r="K196" s="400"/>
      <c r="L196" s="400"/>
      <c r="M196" s="400"/>
      <c r="N196" s="400"/>
      <c r="O196" s="400"/>
      <c r="P196" s="400"/>
      <c r="Q196" s="400"/>
      <c r="R196" s="400"/>
      <c r="S196" s="400"/>
      <c r="T196" s="400"/>
      <c r="U196" s="400"/>
      <c r="V196" s="400"/>
      <c r="W196" s="400"/>
      <c r="X196" s="400"/>
      <c r="Y196" s="400"/>
      <c r="Z196" s="400"/>
      <c r="AA196" s="400"/>
      <c r="AB196" s="400"/>
      <c r="AC196" s="400"/>
      <c r="AD196" s="400"/>
      <c r="AE196" s="400"/>
      <c r="AF196" s="400"/>
      <c r="AG196" s="400"/>
      <c r="AH196" s="400"/>
      <c r="AI196" s="400"/>
      <c r="AJ196" s="400"/>
      <c r="AK196" s="400"/>
      <c r="AL196" s="400"/>
      <c r="AM196" s="400"/>
      <c r="AN196" s="400"/>
      <c r="AO196" s="400"/>
      <c r="AP196" s="400"/>
      <c r="AQ196" s="400"/>
      <c r="AR196" s="400"/>
      <c r="AS196" s="400"/>
      <c r="AT196" s="400"/>
      <c r="AU196" s="400"/>
      <c r="AV196" s="400"/>
    </row>
    <row r="197" spans="1:48" s="569" customFormat="1" x14ac:dyDescent="0.2">
      <c r="A197" s="400"/>
      <c r="B197" s="400"/>
      <c r="C197" s="400"/>
      <c r="D197" s="400"/>
      <c r="E197" s="400"/>
      <c r="F197" s="400"/>
      <c r="G197" s="400"/>
      <c r="H197" s="400"/>
      <c r="I197" s="400"/>
      <c r="J197" s="400"/>
      <c r="K197" s="400"/>
      <c r="L197" s="400"/>
      <c r="M197" s="400"/>
      <c r="N197" s="400"/>
      <c r="O197" s="400"/>
      <c r="P197" s="400"/>
      <c r="Q197" s="400"/>
      <c r="R197" s="400"/>
      <c r="S197" s="400"/>
      <c r="T197" s="400"/>
      <c r="U197" s="400"/>
      <c r="V197" s="400"/>
      <c r="W197" s="400"/>
      <c r="X197" s="400"/>
      <c r="Y197" s="400"/>
      <c r="Z197" s="400"/>
      <c r="AA197" s="400"/>
      <c r="AB197" s="400"/>
      <c r="AC197" s="400"/>
      <c r="AD197" s="400"/>
      <c r="AE197" s="400"/>
      <c r="AF197" s="400"/>
      <c r="AG197" s="400"/>
      <c r="AH197" s="400"/>
      <c r="AI197" s="400"/>
      <c r="AJ197" s="400"/>
      <c r="AK197" s="400"/>
      <c r="AL197" s="400"/>
      <c r="AM197" s="400"/>
      <c r="AN197" s="400"/>
      <c r="AO197" s="400"/>
      <c r="AP197" s="400"/>
      <c r="AQ197" s="400"/>
      <c r="AR197" s="400"/>
      <c r="AS197" s="400"/>
      <c r="AT197" s="400"/>
      <c r="AU197" s="400"/>
      <c r="AV197" s="400"/>
    </row>
    <row r="198" spans="1:48" s="565" customFormat="1" x14ac:dyDescent="0.2">
      <c r="A198" s="400"/>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289"/>
      <c r="AF198" s="289"/>
      <c r="AG198" s="289"/>
      <c r="AH198" s="289"/>
      <c r="AI198" s="289"/>
      <c r="AJ198" s="289"/>
      <c r="AK198" s="289"/>
      <c r="AL198" s="289"/>
      <c r="AM198" s="289"/>
      <c r="AN198" s="289"/>
      <c r="AO198" s="289"/>
      <c r="AP198" s="289"/>
      <c r="AQ198" s="289"/>
      <c r="AR198" s="289"/>
      <c r="AS198" s="289"/>
      <c r="AT198" s="289"/>
      <c r="AU198" s="289"/>
      <c r="AV198" s="289"/>
    </row>
    <row r="199" spans="1:48" s="565" customFormat="1" x14ac:dyDescent="0.2">
      <c r="A199" s="400"/>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89"/>
      <c r="AE199" s="289"/>
      <c r="AF199" s="289"/>
      <c r="AG199" s="289"/>
      <c r="AH199" s="289"/>
      <c r="AI199" s="289"/>
      <c r="AJ199" s="289"/>
      <c r="AK199" s="289"/>
      <c r="AL199" s="289"/>
      <c r="AM199" s="289"/>
      <c r="AN199" s="289"/>
      <c r="AO199" s="289"/>
      <c r="AP199" s="289"/>
      <c r="AQ199" s="289"/>
      <c r="AR199" s="289"/>
      <c r="AS199" s="289"/>
      <c r="AT199" s="289"/>
      <c r="AU199" s="289"/>
      <c r="AV199" s="289"/>
    </row>
    <row r="200" spans="1:48" s="565" customFormat="1" x14ac:dyDescent="0.2">
      <c r="A200" s="400"/>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289"/>
      <c r="AE200" s="289"/>
      <c r="AF200" s="289"/>
      <c r="AG200" s="289"/>
      <c r="AH200" s="289"/>
      <c r="AI200" s="289"/>
      <c r="AJ200" s="289"/>
      <c r="AK200" s="289"/>
      <c r="AL200" s="289"/>
      <c r="AM200" s="289"/>
      <c r="AN200" s="289"/>
      <c r="AO200" s="289"/>
      <c r="AP200" s="289"/>
      <c r="AQ200" s="289"/>
      <c r="AR200" s="289"/>
      <c r="AS200" s="289"/>
      <c r="AT200" s="289"/>
      <c r="AU200" s="289"/>
      <c r="AV200" s="289"/>
    </row>
    <row r="201" spans="1:48" s="565" customFormat="1" x14ac:dyDescent="0.2">
      <c r="A201" s="400"/>
      <c r="B201" s="289"/>
      <c r="C201" s="289"/>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289"/>
      <c r="AE201" s="289"/>
      <c r="AF201" s="289"/>
      <c r="AG201" s="289"/>
      <c r="AH201" s="289"/>
      <c r="AI201" s="289"/>
      <c r="AJ201" s="289"/>
      <c r="AK201" s="289"/>
      <c r="AL201" s="289"/>
      <c r="AM201" s="289"/>
      <c r="AN201" s="289"/>
      <c r="AO201" s="289"/>
      <c r="AP201" s="289"/>
      <c r="AQ201" s="289"/>
      <c r="AR201" s="289"/>
      <c r="AS201" s="289"/>
      <c r="AT201" s="289"/>
      <c r="AU201" s="289"/>
      <c r="AV201" s="289"/>
    </row>
    <row r="202" spans="1:48" s="565" customFormat="1" x14ac:dyDescent="0.2">
      <c r="A202" s="400"/>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289"/>
      <c r="AE202" s="289"/>
      <c r="AF202" s="289"/>
      <c r="AG202" s="289"/>
      <c r="AH202" s="289"/>
      <c r="AI202" s="289"/>
      <c r="AJ202" s="289"/>
      <c r="AK202" s="289"/>
      <c r="AL202" s="289"/>
      <c r="AM202" s="289"/>
      <c r="AN202" s="289"/>
      <c r="AO202" s="289"/>
      <c r="AP202" s="289"/>
      <c r="AQ202" s="289"/>
      <c r="AR202" s="289"/>
      <c r="AS202" s="289"/>
      <c r="AT202" s="289"/>
      <c r="AU202" s="289"/>
      <c r="AV202" s="289"/>
    </row>
    <row r="203" spans="1:48" s="565" customFormat="1" x14ac:dyDescent="0.2">
      <c r="A203" s="400"/>
      <c r="B203" s="289"/>
      <c r="C203" s="289"/>
      <c r="D203" s="289"/>
      <c r="E203" s="289"/>
      <c r="F203" s="289"/>
      <c r="G203" s="289"/>
      <c r="H203" s="289"/>
      <c r="I203" s="289"/>
      <c r="J203" s="289"/>
      <c r="K203" s="289"/>
      <c r="L203" s="289"/>
      <c r="M203" s="289"/>
      <c r="N203" s="289"/>
      <c r="O203" s="289"/>
      <c r="P203" s="289"/>
      <c r="Q203" s="289"/>
      <c r="R203" s="289"/>
      <c r="S203" s="289"/>
      <c r="T203" s="289"/>
      <c r="U203" s="289"/>
      <c r="V203" s="289"/>
      <c r="W203" s="289"/>
      <c r="X203" s="289"/>
      <c r="Y203" s="289"/>
      <c r="Z203" s="289"/>
      <c r="AA203" s="289"/>
      <c r="AB203" s="289"/>
      <c r="AC203" s="289"/>
      <c r="AD203" s="289"/>
      <c r="AE203" s="289"/>
      <c r="AF203" s="289"/>
      <c r="AG203" s="289"/>
      <c r="AH203" s="289"/>
      <c r="AI203" s="289"/>
      <c r="AJ203" s="289"/>
      <c r="AK203" s="289"/>
      <c r="AL203" s="289"/>
      <c r="AM203" s="289"/>
      <c r="AN203" s="289"/>
      <c r="AO203" s="289"/>
      <c r="AP203" s="289"/>
      <c r="AQ203" s="289"/>
      <c r="AR203" s="289"/>
      <c r="AS203" s="289"/>
      <c r="AT203" s="289"/>
      <c r="AU203" s="289"/>
      <c r="AV203" s="289"/>
    </row>
    <row r="204" spans="1:48" s="565" customFormat="1" x14ac:dyDescent="0.2">
      <c r="A204" s="400"/>
      <c r="B204" s="289"/>
      <c r="C204" s="289"/>
      <c r="D204" s="289"/>
      <c r="E204" s="289"/>
      <c r="F204" s="289"/>
      <c r="G204" s="289"/>
      <c r="H204" s="289"/>
      <c r="I204" s="289"/>
      <c r="J204" s="289"/>
      <c r="K204" s="289"/>
      <c r="L204" s="289"/>
      <c r="M204" s="289"/>
      <c r="N204" s="289"/>
      <c r="O204" s="289"/>
      <c r="P204" s="289"/>
      <c r="Q204" s="289"/>
      <c r="R204" s="289"/>
      <c r="S204" s="289"/>
      <c r="T204" s="289"/>
      <c r="U204" s="289"/>
      <c r="V204" s="289"/>
      <c r="W204" s="289"/>
      <c r="X204" s="289"/>
      <c r="Y204" s="289"/>
      <c r="Z204" s="289"/>
      <c r="AA204" s="289"/>
      <c r="AB204" s="289"/>
      <c r="AC204" s="289"/>
      <c r="AD204" s="289"/>
      <c r="AE204" s="289"/>
      <c r="AF204" s="289"/>
      <c r="AG204" s="289"/>
      <c r="AH204" s="289"/>
      <c r="AI204" s="289"/>
      <c r="AJ204" s="289"/>
      <c r="AK204" s="289"/>
      <c r="AL204" s="289"/>
      <c r="AM204" s="289"/>
      <c r="AN204" s="289"/>
      <c r="AO204" s="289"/>
      <c r="AP204" s="289"/>
      <c r="AQ204" s="289"/>
      <c r="AR204" s="289"/>
      <c r="AS204" s="289"/>
      <c r="AT204" s="289"/>
      <c r="AU204" s="289"/>
      <c r="AV204" s="289"/>
    </row>
    <row r="205" spans="1:48" s="565" customFormat="1" x14ac:dyDescent="0.2">
      <c r="A205" s="400"/>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89"/>
      <c r="AE205" s="289"/>
      <c r="AF205" s="289"/>
      <c r="AG205" s="289"/>
      <c r="AH205" s="289"/>
      <c r="AI205" s="289"/>
      <c r="AJ205" s="289"/>
      <c r="AK205" s="289"/>
      <c r="AL205" s="289"/>
      <c r="AM205" s="289"/>
      <c r="AN205" s="289"/>
      <c r="AO205" s="289"/>
      <c r="AP205" s="289"/>
      <c r="AQ205" s="289"/>
      <c r="AR205" s="289"/>
      <c r="AS205" s="289"/>
      <c r="AT205" s="289"/>
      <c r="AU205" s="289"/>
      <c r="AV205" s="289"/>
    </row>
    <row r="206" spans="1:48" s="565" customFormat="1" x14ac:dyDescent="0.2">
      <c r="A206" s="400"/>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289"/>
      <c r="AF206" s="289"/>
      <c r="AG206" s="289"/>
      <c r="AH206" s="289"/>
      <c r="AI206" s="289"/>
      <c r="AJ206" s="289"/>
      <c r="AK206" s="289"/>
      <c r="AL206" s="289"/>
      <c r="AM206" s="289"/>
      <c r="AN206" s="289"/>
      <c r="AO206" s="289"/>
      <c r="AP206" s="289"/>
      <c r="AQ206" s="289"/>
      <c r="AR206" s="289"/>
      <c r="AS206" s="289"/>
      <c r="AT206" s="289"/>
      <c r="AU206" s="289"/>
      <c r="AV206" s="289"/>
    </row>
    <row r="207" spans="1:48" s="565" customFormat="1" x14ac:dyDescent="0.2">
      <c r="A207" s="400"/>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89"/>
      <c r="AE207" s="289"/>
      <c r="AF207" s="289"/>
      <c r="AG207" s="289"/>
      <c r="AH207" s="289"/>
      <c r="AI207" s="289"/>
      <c r="AJ207" s="289"/>
      <c r="AK207" s="289"/>
      <c r="AL207" s="289"/>
      <c r="AM207" s="289"/>
      <c r="AN207" s="289"/>
      <c r="AO207" s="289"/>
      <c r="AP207" s="289"/>
      <c r="AQ207" s="289"/>
      <c r="AR207" s="289"/>
      <c r="AS207" s="289"/>
      <c r="AT207" s="289"/>
      <c r="AU207" s="289"/>
      <c r="AV207" s="289"/>
    </row>
    <row r="208" spans="1:48" s="565" customFormat="1" x14ac:dyDescent="0.2">
      <c r="A208" s="400"/>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89"/>
      <c r="AE208" s="289"/>
      <c r="AF208" s="289"/>
      <c r="AG208" s="289"/>
      <c r="AH208" s="289"/>
      <c r="AI208" s="289"/>
      <c r="AJ208" s="289"/>
      <c r="AK208" s="289"/>
      <c r="AL208" s="289"/>
      <c r="AM208" s="289"/>
      <c r="AN208" s="289"/>
      <c r="AO208" s="289"/>
      <c r="AP208" s="289"/>
      <c r="AQ208" s="289"/>
      <c r="AR208" s="289"/>
      <c r="AS208" s="289"/>
      <c r="AT208" s="289"/>
      <c r="AU208" s="289"/>
      <c r="AV208" s="289"/>
    </row>
    <row r="209" spans="1:48" s="565" customFormat="1" x14ac:dyDescent="0.2">
      <c r="A209" s="400"/>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89"/>
      <c r="AE209" s="289"/>
      <c r="AF209" s="289"/>
      <c r="AG209" s="289"/>
      <c r="AH209" s="289"/>
      <c r="AI209" s="289"/>
      <c r="AJ209" s="289"/>
      <c r="AK209" s="289"/>
      <c r="AL209" s="289"/>
      <c r="AM209" s="289"/>
      <c r="AN209" s="289"/>
      <c r="AO209" s="289"/>
      <c r="AP209" s="289"/>
      <c r="AQ209" s="289"/>
      <c r="AR209" s="289"/>
      <c r="AS209" s="289"/>
      <c r="AT209" s="289"/>
      <c r="AU209" s="289"/>
      <c r="AV209" s="289"/>
    </row>
    <row r="210" spans="1:48" s="565" customFormat="1" x14ac:dyDescent="0.2">
      <c r="A210" s="400"/>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89"/>
      <c r="AF210" s="289"/>
      <c r="AG210" s="289"/>
      <c r="AH210" s="289"/>
      <c r="AI210" s="289"/>
      <c r="AJ210" s="289"/>
      <c r="AK210" s="289"/>
      <c r="AL210" s="289"/>
      <c r="AM210" s="289"/>
      <c r="AN210" s="289"/>
      <c r="AO210" s="289"/>
      <c r="AP210" s="289"/>
      <c r="AQ210" s="289"/>
      <c r="AR210" s="289"/>
      <c r="AS210" s="289"/>
      <c r="AT210" s="289"/>
      <c r="AU210" s="289"/>
      <c r="AV210" s="289"/>
    </row>
    <row r="211" spans="1:48" s="565" customFormat="1" x14ac:dyDescent="0.2">
      <c r="A211" s="400"/>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289"/>
      <c r="AE211" s="289"/>
      <c r="AF211" s="289"/>
      <c r="AG211" s="289"/>
      <c r="AH211" s="289"/>
      <c r="AI211" s="289"/>
      <c r="AJ211" s="289"/>
      <c r="AK211" s="289"/>
      <c r="AL211" s="289"/>
      <c r="AM211" s="289"/>
      <c r="AN211" s="289"/>
      <c r="AO211" s="289"/>
      <c r="AP211" s="289"/>
      <c r="AQ211" s="289"/>
      <c r="AR211" s="289"/>
      <c r="AS211" s="289"/>
      <c r="AT211" s="289"/>
      <c r="AU211" s="289"/>
      <c r="AV211" s="289"/>
    </row>
    <row r="212" spans="1:48" s="565" customFormat="1" x14ac:dyDescent="0.2">
      <c r="A212" s="400"/>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289"/>
      <c r="AE212" s="289"/>
      <c r="AF212" s="289"/>
      <c r="AG212" s="289"/>
      <c r="AH212" s="289"/>
      <c r="AI212" s="289"/>
      <c r="AJ212" s="289"/>
      <c r="AK212" s="289"/>
      <c r="AL212" s="289"/>
      <c r="AM212" s="289"/>
      <c r="AN212" s="289"/>
      <c r="AO212" s="289"/>
      <c r="AP212" s="289"/>
      <c r="AQ212" s="289"/>
      <c r="AR212" s="289"/>
      <c r="AS212" s="289"/>
      <c r="AT212" s="289"/>
      <c r="AU212" s="289"/>
      <c r="AV212" s="289"/>
    </row>
    <row r="213" spans="1:48" s="565" customFormat="1" x14ac:dyDescent="0.2">
      <c r="A213" s="400"/>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289"/>
      <c r="AE213" s="289"/>
      <c r="AF213" s="289"/>
      <c r="AG213" s="289"/>
      <c r="AH213" s="289"/>
      <c r="AI213" s="289"/>
      <c r="AJ213" s="289"/>
      <c r="AK213" s="289"/>
      <c r="AL213" s="289"/>
      <c r="AM213" s="289"/>
      <c r="AN213" s="289"/>
      <c r="AO213" s="289"/>
      <c r="AP213" s="289"/>
      <c r="AQ213" s="289"/>
      <c r="AR213" s="289"/>
      <c r="AS213" s="289"/>
      <c r="AT213" s="289"/>
      <c r="AU213" s="289"/>
      <c r="AV213" s="289"/>
    </row>
    <row r="214" spans="1:48" s="565" customFormat="1" x14ac:dyDescent="0.2">
      <c r="A214" s="400"/>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289"/>
      <c r="Z214" s="289"/>
      <c r="AA214" s="289"/>
      <c r="AB214" s="289"/>
      <c r="AC214" s="289"/>
      <c r="AD214" s="289"/>
      <c r="AE214" s="289"/>
      <c r="AF214" s="289"/>
      <c r="AG214" s="289"/>
      <c r="AH214" s="289"/>
      <c r="AI214" s="289"/>
      <c r="AJ214" s="289"/>
      <c r="AK214" s="289"/>
      <c r="AL214" s="289"/>
      <c r="AM214" s="289"/>
      <c r="AN214" s="289"/>
      <c r="AO214" s="289"/>
      <c r="AP214" s="289"/>
      <c r="AQ214" s="289"/>
      <c r="AR214" s="289"/>
      <c r="AS214" s="289"/>
      <c r="AT214" s="289"/>
      <c r="AU214" s="289"/>
      <c r="AV214" s="289"/>
    </row>
    <row r="215" spans="1:48" s="565" customFormat="1" x14ac:dyDescent="0.2">
      <c r="A215" s="400"/>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289"/>
      <c r="AF215" s="289"/>
      <c r="AG215" s="289"/>
      <c r="AH215" s="289"/>
      <c r="AI215" s="289"/>
      <c r="AJ215" s="289"/>
      <c r="AK215" s="289"/>
      <c r="AL215" s="289"/>
      <c r="AM215" s="289"/>
      <c r="AN215" s="289"/>
      <c r="AO215" s="289"/>
      <c r="AP215" s="289"/>
      <c r="AQ215" s="289"/>
      <c r="AR215" s="289"/>
      <c r="AS215" s="289"/>
      <c r="AT215" s="289"/>
      <c r="AU215" s="289"/>
      <c r="AV215" s="289"/>
    </row>
    <row r="216" spans="1:48" s="565" customFormat="1" x14ac:dyDescent="0.2">
      <c r="A216" s="400"/>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289"/>
      <c r="AF216" s="289"/>
      <c r="AG216" s="289"/>
      <c r="AH216" s="289"/>
      <c r="AI216" s="289"/>
      <c r="AJ216" s="289"/>
      <c r="AK216" s="289"/>
      <c r="AL216" s="289"/>
      <c r="AM216" s="289"/>
      <c r="AN216" s="289"/>
      <c r="AO216" s="289"/>
      <c r="AP216" s="289"/>
      <c r="AQ216" s="289"/>
      <c r="AR216" s="289"/>
      <c r="AS216" s="289"/>
      <c r="AT216" s="289"/>
      <c r="AU216" s="289"/>
      <c r="AV216" s="289"/>
    </row>
    <row r="217" spans="1:48" s="565" customFormat="1" x14ac:dyDescent="0.2">
      <c r="A217" s="400"/>
      <c r="B217" s="289"/>
      <c r="C217" s="289"/>
      <c r="D217" s="289"/>
      <c r="E217" s="289"/>
      <c r="F217" s="289"/>
      <c r="G217" s="289"/>
      <c r="H217" s="289"/>
      <c r="I217" s="289"/>
      <c r="J217" s="289"/>
      <c r="K217" s="289"/>
      <c r="L217" s="289"/>
      <c r="M217" s="289"/>
      <c r="N217" s="289"/>
      <c r="O217" s="289"/>
      <c r="P217" s="289"/>
      <c r="Q217" s="289"/>
      <c r="R217" s="289"/>
      <c r="S217" s="289"/>
      <c r="T217" s="289"/>
      <c r="U217" s="289"/>
      <c r="V217" s="289"/>
      <c r="W217" s="289"/>
      <c r="X217" s="289"/>
      <c r="Y217" s="289"/>
      <c r="Z217" s="289"/>
      <c r="AA217" s="289"/>
      <c r="AB217" s="289"/>
      <c r="AC217" s="289"/>
      <c r="AD217" s="289"/>
      <c r="AE217" s="289"/>
      <c r="AF217" s="289"/>
      <c r="AG217" s="289"/>
      <c r="AH217" s="289"/>
      <c r="AI217" s="289"/>
      <c r="AJ217" s="289"/>
      <c r="AK217" s="289"/>
      <c r="AL217" s="289"/>
      <c r="AM217" s="289"/>
      <c r="AN217" s="289"/>
      <c r="AO217" s="289"/>
      <c r="AP217" s="289"/>
      <c r="AQ217" s="289"/>
      <c r="AR217" s="289"/>
      <c r="AS217" s="289"/>
      <c r="AT217" s="289"/>
      <c r="AU217" s="289"/>
      <c r="AV217" s="289"/>
    </row>
    <row r="218" spans="1:48" s="565" customFormat="1" x14ac:dyDescent="0.2">
      <c r="A218" s="400"/>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289"/>
      <c r="AE218" s="289"/>
      <c r="AF218" s="289"/>
      <c r="AG218" s="289"/>
      <c r="AH218" s="289"/>
      <c r="AI218" s="289"/>
      <c r="AJ218" s="289"/>
      <c r="AK218" s="289"/>
      <c r="AL218" s="289"/>
      <c r="AM218" s="289"/>
      <c r="AN218" s="289"/>
      <c r="AO218" s="289"/>
      <c r="AP218" s="289"/>
      <c r="AQ218" s="289"/>
      <c r="AR218" s="289"/>
      <c r="AS218" s="289"/>
      <c r="AT218" s="289"/>
      <c r="AU218" s="289"/>
      <c r="AV218" s="289"/>
    </row>
    <row r="219" spans="1:48" s="565" customFormat="1" x14ac:dyDescent="0.2">
      <c r="A219" s="400"/>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89"/>
      <c r="AE219" s="289"/>
      <c r="AF219" s="289"/>
      <c r="AG219" s="289"/>
      <c r="AH219" s="289"/>
      <c r="AI219" s="289"/>
      <c r="AJ219" s="289"/>
      <c r="AK219" s="289"/>
      <c r="AL219" s="289"/>
      <c r="AM219" s="289"/>
      <c r="AN219" s="289"/>
      <c r="AO219" s="289"/>
      <c r="AP219" s="289"/>
      <c r="AQ219" s="289"/>
      <c r="AR219" s="289"/>
      <c r="AS219" s="289"/>
      <c r="AT219" s="289"/>
      <c r="AU219" s="289"/>
      <c r="AV219" s="289"/>
    </row>
    <row r="220" spans="1:48" s="565" customFormat="1" x14ac:dyDescent="0.2">
      <c r="A220" s="400"/>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89"/>
      <c r="AE220" s="289"/>
      <c r="AF220" s="289"/>
      <c r="AG220" s="289"/>
      <c r="AH220" s="289"/>
      <c r="AI220" s="289"/>
      <c r="AJ220" s="289"/>
      <c r="AK220" s="289"/>
      <c r="AL220" s="289"/>
      <c r="AM220" s="289"/>
      <c r="AN220" s="289"/>
      <c r="AO220" s="289"/>
      <c r="AP220" s="289"/>
      <c r="AQ220" s="289"/>
      <c r="AR220" s="289"/>
      <c r="AS220" s="289"/>
      <c r="AT220" s="289"/>
      <c r="AU220" s="289"/>
      <c r="AV220" s="289"/>
    </row>
    <row r="221" spans="1:48" s="565" customFormat="1" x14ac:dyDescent="0.2">
      <c r="A221" s="400"/>
      <c r="B221" s="289"/>
      <c r="C221" s="289"/>
      <c r="D221" s="289"/>
      <c r="E221" s="289"/>
      <c r="F221" s="289"/>
      <c r="G221" s="289"/>
      <c r="H221" s="289"/>
      <c r="I221" s="289"/>
      <c r="J221" s="289"/>
      <c r="K221" s="289"/>
      <c r="L221" s="289"/>
      <c r="M221" s="289"/>
      <c r="N221" s="289"/>
      <c r="O221" s="289"/>
      <c r="P221" s="289"/>
      <c r="Q221" s="289"/>
      <c r="R221" s="289"/>
      <c r="S221" s="289"/>
      <c r="T221" s="289"/>
      <c r="U221" s="289"/>
      <c r="V221" s="289"/>
      <c r="W221" s="289"/>
      <c r="X221" s="289"/>
      <c r="Y221" s="289"/>
      <c r="Z221" s="289"/>
      <c r="AA221" s="289"/>
      <c r="AB221" s="289"/>
      <c r="AC221" s="289"/>
      <c r="AD221" s="289"/>
      <c r="AE221" s="289"/>
      <c r="AF221" s="289"/>
      <c r="AG221" s="289"/>
      <c r="AH221" s="289"/>
      <c r="AI221" s="289"/>
      <c r="AJ221" s="289"/>
      <c r="AK221" s="289"/>
      <c r="AL221" s="289"/>
      <c r="AM221" s="289"/>
      <c r="AN221" s="289"/>
      <c r="AO221" s="289"/>
      <c r="AP221" s="289"/>
      <c r="AQ221" s="289"/>
      <c r="AR221" s="289"/>
      <c r="AS221" s="289"/>
      <c r="AT221" s="289"/>
      <c r="AU221" s="289"/>
      <c r="AV221" s="289"/>
    </row>
    <row r="222" spans="1:48" s="565" customFormat="1" x14ac:dyDescent="0.2">
      <c r="A222" s="400"/>
      <c r="B222" s="289"/>
      <c r="C222" s="289"/>
      <c r="D222" s="289"/>
      <c r="E222" s="289"/>
      <c r="F222" s="289"/>
      <c r="G222" s="289"/>
      <c r="H222" s="289"/>
      <c r="I222" s="289"/>
      <c r="J222" s="289"/>
      <c r="K222" s="289"/>
      <c r="L222" s="289"/>
      <c r="M222" s="289"/>
      <c r="N222" s="289"/>
      <c r="O222" s="289"/>
      <c r="P222" s="289"/>
      <c r="Q222" s="289"/>
      <c r="R222" s="289"/>
      <c r="S222" s="289"/>
      <c r="T222" s="289"/>
      <c r="U222" s="289"/>
      <c r="V222" s="289"/>
      <c r="W222" s="289"/>
      <c r="X222" s="289"/>
      <c r="Y222" s="289"/>
      <c r="Z222" s="289"/>
      <c r="AA222" s="289"/>
      <c r="AB222" s="289"/>
      <c r="AC222" s="289"/>
      <c r="AD222" s="289"/>
      <c r="AE222" s="289"/>
      <c r="AF222" s="289"/>
      <c r="AG222" s="289"/>
      <c r="AH222" s="289"/>
      <c r="AI222" s="289"/>
      <c r="AJ222" s="289"/>
      <c r="AK222" s="289"/>
      <c r="AL222" s="289"/>
      <c r="AM222" s="289"/>
      <c r="AN222" s="289"/>
      <c r="AO222" s="289"/>
      <c r="AP222" s="289"/>
      <c r="AQ222" s="289"/>
      <c r="AR222" s="289"/>
      <c r="AS222" s="289"/>
      <c r="AT222" s="289"/>
      <c r="AU222" s="289"/>
      <c r="AV222" s="289"/>
    </row>
    <row r="223" spans="1:48" s="565" customFormat="1" x14ac:dyDescent="0.2">
      <c r="A223" s="400"/>
      <c r="B223" s="289"/>
      <c r="C223" s="289"/>
      <c r="D223" s="289"/>
      <c r="E223" s="289"/>
      <c r="F223" s="289"/>
      <c r="G223" s="289"/>
      <c r="H223" s="289"/>
      <c r="I223" s="289"/>
      <c r="J223" s="289"/>
      <c r="K223" s="289"/>
      <c r="L223" s="289"/>
      <c r="M223" s="289"/>
      <c r="N223" s="289"/>
      <c r="O223" s="289"/>
      <c r="P223" s="289"/>
      <c r="Q223" s="289"/>
      <c r="R223" s="289"/>
      <c r="S223" s="289"/>
      <c r="T223" s="289"/>
      <c r="U223" s="289"/>
      <c r="V223" s="289"/>
      <c r="W223" s="289"/>
      <c r="X223" s="289"/>
      <c r="Y223" s="289"/>
      <c r="Z223" s="289"/>
      <c r="AA223" s="289"/>
      <c r="AB223" s="289"/>
      <c r="AC223" s="289"/>
      <c r="AD223" s="289"/>
      <c r="AE223" s="289"/>
      <c r="AF223" s="289"/>
      <c r="AG223" s="289"/>
      <c r="AH223" s="289"/>
      <c r="AI223" s="289"/>
      <c r="AJ223" s="289"/>
      <c r="AK223" s="289"/>
      <c r="AL223" s="289"/>
      <c r="AM223" s="289"/>
      <c r="AN223" s="289"/>
      <c r="AO223" s="289"/>
      <c r="AP223" s="289"/>
      <c r="AQ223" s="289"/>
      <c r="AR223" s="289"/>
      <c r="AS223" s="289"/>
      <c r="AT223" s="289"/>
      <c r="AU223" s="289"/>
      <c r="AV223" s="289"/>
    </row>
    <row r="224" spans="1:48" s="565" customFormat="1" x14ac:dyDescent="0.2">
      <c r="A224" s="400"/>
      <c r="B224" s="289"/>
      <c r="C224" s="289"/>
      <c r="D224" s="289"/>
      <c r="E224" s="289"/>
      <c r="F224" s="289"/>
      <c r="G224" s="289"/>
      <c r="H224" s="289"/>
      <c r="I224" s="289"/>
      <c r="J224" s="289"/>
      <c r="K224" s="289"/>
      <c r="L224" s="289"/>
      <c r="M224" s="289"/>
      <c r="N224" s="289"/>
      <c r="O224" s="289"/>
      <c r="P224" s="289"/>
      <c r="Q224" s="289"/>
      <c r="R224" s="289"/>
      <c r="S224" s="289"/>
      <c r="T224" s="289"/>
      <c r="U224" s="289"/>
      <c r="V224" s="289"/>
      <c r="W224" s="289"/>
      <c r="X224" s="289"/>
      <c r="Y224" s="289"/>
      <c r="Z224" s="289"/>
      <c r="AA224" s="289"/>
      <c r="AB224" s="289"/>
      <c r="AC224" s="289"/>
      <c r="AD224" s="289"/>
      <c r="AE224" s="289"/>
      <c r="AF224" s="289"/>
      <c r="AG224" s="289"/>
      <c r="AH224" s="289"/>
      <c r="AI224" s="289"/>
      <c r="AJ224" s="289"/>
      <c r="AK224" s="289"/>
      <c r="AL224" s="289"/>
      <c r="AM224" s="289"/>
      <c r="AN224" s="289"/>
      <c r="AO224" s="289"/>
      <c r="AP224" s="289"/>
      <c r="AQ224" s="289"/>
      <c r="AR224" s="289"/>
      <c r="AS224" s="289"/>
      <c r="AT224" s="289"/>
      <c r="AU224" s="289"/>
      <c r="AV224" s="289"/>
    </row>
    <row r="225" spans="1:48" s="565" customFormat="1" x14ac:dyDescent="0.2">
      <c r="A225" s="400"/>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289"/>
      <c r="AF225" s="289"/>
      <c r="AG225" s="289"/>
      <c r="AH225" s="289"/>
      <c r="AI225" s="289"/>
      <c r="AJ225" s="289"/>
      <c r="AK225" s="289"/>
      <c r="AL225" s="289"/>
      <c r="AM225" s="289"/>
      <c r="AN225" s="289"/>
      <c r="AO225" s="289"/>
      <c r="AP225" s="289"/>
      <c r="AQ225" s="289"/>
      <c r="AR225" s="289"/>
      <c r="AS225" s="289"/>
      <c r="AT225" s="289"/>
      <c r="AU225" s="289"/>
      <c r="AV225" s="289"/>
    </row>
    <row r="226" spans="1:48" s="565" customFormat="1" x14ac:dyDescent="0.2">
      <c r="A226" s="400"/>
      <c r="B226" s="289"/>
      <c r="C226" s="289"/>
      <c r="D226" s="289"/>
      <c r="E226" s="289"/>
      <c r="F226" s="289"/>
      <c r="G226" s="289"/>
      <c r="H226" s="289"/>
      <c r="I226" s="289"/>
      <c r="J226" s="289"/>
      <c r="K226" s="289"/>
      <c r="L226" s="289"/>
      <c r="M226" s="289"/>
      <c r="N226" s="289"/>
      <c r="O226" s="289"/>
      <c r="P226" s="289"/>
      <c r="Q226" s="289"/>
      <c r="R226" s="289"/>
      <c r="S226" s="289"/>
      <c r="T226" s="289"/>
      <c r="U226" s="289"/>
      <c r="V226" s="289"/>
      <c r="W226" s="289"/>
      <c r="X226" s="289"/>
      <c r="Y226" s="289"/>
      <c r="Z226" s="289"/>
      <c r="AA226" s="289"/>
      <c r="AB226" s="289"/>
      <c r="AC226" s="289"/>
      <c r="AD226" s="289"/>
      <c r="AE226" s="289"/>
      <c r="AF226" s="289"/>
      <c r="AG226" s="289"/>
      <c r="AH226" s="289"/>
      <c r="AI226" s="289"/>
      <c r="AJ226" s="289"/>
      <c r="AK226" s="289"/>
      <c r="AL226" s="289"/>
      <c r="AM226" s="289"/>
      <c r="AN226" s="289"/>
      <c r="AO226" s="289"/>
      <c r="AP226" s="289"/>
      <c r="AQ226" s="289"/>
      <c r="AR226" s="289"/>
      <c r="AS226" s="289"/>
      <c r="AT226" s="289"/>
      <c r="AU226" s="289"/>
      <c r="AV226" s="289"/>
    </row>
    <row r="227" spans="1:48" s="565" customFormat="1" x14ac:dyDescent="0.2">
      <c r="A227" s="400"/>
      <c r="B227" s="289"/>
      <c r="C227" s="289"/>
      <c r="D227" s="289"/>
      <c r="E227" s="289"/>
      <c r="F227" s="289"/>
      <c r="G227" s="289"/>
      <c r="H227" s="289"/>
      <c r="I227" s="289"/>
      <c r="J227" s="289"/>
      <c r="K227" s="289"/>
      <c r="L227" s="289"/>
      <c r="M227" s="289"/>
      <c r="N227" s="289"/>
      <c r="O227" s="289"/>
      <c r="P227" s="289"/>
      <c r="Q227" s="289"/>
      <c r="R227" s="289"/>
      <c r="S227" s="289"/>
      <c r="T227" s="289"/>
      <c r="U227" s="289"/>
      <c r="V227" s="289"/>
      <c r="W227" s="289"/>
      <c r="X227" s="289"/>
      <c r="Y227" s="289"/>
      <c r="Z227" s="289"/>
      <c r="AA227" s="289"/>
      <c r="AB227" s="289"/>
      <c r="AC227" s="289"/>
      <c r="AD227" s="289"/>
      <c r="AE227" s="289"/>
      <c r="AF227" s="289"/>
      <c r="AG227" s="289"/>
      <c r="AH227" s="289"/>
      <c r="AI227" s="289"/>
      <c r="AJ227" s="289"/>
      <c r="AK227" s="289"/>
      <c r="AL227" s="289"/>
      <c r="AM227" s="289"/>
      <c r="AN227" s="289"/>
      <c r="AO227" s="289"/>
      <c r="AP227" s="289"/>
      <c r="AQ227" s="289"/>
      <c r="AR227" s="289"/>
      <c r="AS227" s="289"/>
      <c r="AT227" s="289"/>
      <c r="AU227" s="289"/>
      <c r="AV227" s="289"/>
    </row>
    <row r="228" spans="1:48" s="565" customFormat="1" x14ac:dyDescent="0.2">
      <c r="A228" s="400"/>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c r="AF228" s="289"/>
      <c r="AG228" s="289"/>
      <c r="AH228" s="289"/>
      <c r="AI228" s="289"/>
      <c r="AJ228" s="289"/>
      <c r="AK228" s="289"/>
      <c r="AL228" s="289"/>
      <c r="AM228" s="289"/>
      <c r="AN228" s="289"/>
      <c r="AO228" s="289"/>
      <c r="AP228" s="289"/>
      <c r="AQ228" s="289"/>
      <c r="AR228" s="289"/>
      <c r="AS228" s="289"/>
      <c r="AT228" s="289"/>
      <c r="AU228" s="289"/>
      <c r="AV228" s="289"/>
    </row>
    <row r="229" spans="1:48" s="565" customFormat="1" x14ac:dyDescent="0.2">
      <c r="A229" s="400"/>
      <c r="B229" s="289"/>
      <c r="C229" s="289"/>
      <c r="D229" s="289"/>
      <c r="E229" s="289"/>
      <c r="F229" s="289"/>
      <c r="G229" s="289"/>
      <c r="H229" s="289"/>
      <c r="I229" s="289"/>
      <c r="J229" s="289"/>
      <c r="K229" s="289"/>
      <c r="L229" s="289"/>
      <c r="M229" s="289"/>
      <c r="N229" s="289"/>
      <c r="O229" s="289"/>
      <c r="P229" s="289"/>
      <c r="Q229" s="289"/>
      <c r="R229" s="289"/>
      <c r="S229" s="289"/>
      <c r="T229" s="289"/>
      <c r="U229" s="289"/>
      <c r="V229" s="289"/>
      <c r="W229" s="289"/>
      <c r="X229" s="289"/>
      <c r="Y229" s="289"/>
      <c r="Z229" s="289"/>
      <c r="AA229" s="289"/>
      <c r="AB229" s="289"/>
      <c r="AC229" s="289"/>
      <c r="AD229" s="289"/>
      <c r="AE229" s="289"/>
      <c r="AF229" s="289"/>
      <c r="AG229" s="289"/>
      <c r="AH229" s="289"/>
      <c r="AI229" s="289"/>
      <c r="AJ229" s="289"/>
      <c r="AK229" s="289"/>
      <c r="AL229" s="289"/>
      <c r="AM229" s="289"/>
      <c r="AN229" s="289"/>
      <c r="AO229" s="289"/>
      <c r="AP229" s="289"/>
      <c r="AQ229" s="289"/>
      <c r="AR229" s="289"/>
      <c r="AS229" s="289"/>
      <c r="AT229" s="289"/>
      <c r="AU229" s="289"/>
      <c r="AV229" s="289"/>
    </row>
    <row r="230" spans="1:48" s="565" customFormat="1" x14ac:dyDescent="0.2">
      <c r="A230" s="400"/>
      <c r="B230" s="289"/>
      <c r="C230" s="289"/>
      <c r="D230" s="289"/>
      <c r="E230" s="289"/>
      <c r="F230" s="289"/>
      <c r="G230" s="289"/>
      <c r="H230" s="289"/>
      <c r="I230" s="289"/>
      <c r="J230" s="289"/>
      <c r="K230" s="289"/>
      <c r="L230" s="289"/>
      <c r="M230" s="289"/>
      <c r="N230" s="289"/>
      <c r="O230" s="289"/>
      <c r="P230" s="289"/>
      <c r="Q230" s="289"/>
      <c r="R230" s="289"/>
      <c r="S230" s="289"/>
      <c r="T230" s="289"/>
      <c r="U230" s="289"/>
      <c r="V230" s="289"/>
      <c r="W230" s="289"/>
      <c r="X230" s="289"/>
      <c r="Y230" s="289"/>
      <c r="Z230" s="289"/>
      <c r="AA230" s="289"/>
      <c r="AB230" s="289"/>
      <c r="AC230" s="289"/>
      <c r="AD230" s="289"/>
      <c r="AE230" s="289"/>
      <c r="AF230" s="289"/>
      <c r="AG230" s="289"/>
      <c r="AH230" s="289"/>
      <c r="AI230" s="289"/>
      <c r="AJ230" s="289"/>
      <c r="AK230" s="289"/>
      <c r="AL230" s="289"/>
      <c r="AM230" s="289"/>
      <c r="AN230" s="289"/>
      <c r="AO230" s="289"/>
      <c r="AP230" s="289"/>
      <c r="AQ230" s="289"/>
      <c r="AR230" s="289"/>
      <c r="AS230" s="289"/>
      <c r="AT230" s="289"/>
      <c r="AU230" s="289"/>
      <c r="AV230" s="289"/>
    </row>
    <row r="231" spans="1:48" s="565" customFormat="1" x14ac:dyDescent="0.2">
      <c r="A231" s="400"/>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289"/>
      <c r="AE231" s="289"/>
      <c r="AF231" s="289"/>
      <c r="AG231" s="289"/>
      <c r="AH231" s="289"/>
      <c r="AI231" s="289"/>
      <c r="AJ231" s="289"/>
      <c r="AK231" s="289"/>
      <c r="AL231" s="289"/>
      <c r="AM231" s="289"/>
      <c r="AN231" s="289"/>
      <c r="AO231" s="289"/>
      <c r="AP231" s="289"/>
      <c r="AQ231" s="289"/>
      <c r="AR231" s="289"/>
      <c r="AS231" s="289"/>
      <c r="AT231" s="289"/>
      <c r="AU231" s="289"/>
      <c r="AV231" s="289"/>
    </row>
    <row r="232" spans="1:48" s="565" customFormat="1" x14ac:dyDescent="0.2">
      <c r="A232" s="400"/>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89"/>
      <c r="AE232" s="289"/>
      <c r="AF232" s="289"/>
      <c r="AG232" s="289"/>
      <c r="AH232" s="289"/>
      <c r="AI232" s="289"/>
      <c r="AJ232" s="289"/>
      <c r="AK232" s="289"/>
      <c r="AL232" s="289"/>
      <c r="AM232" s="289"/>
      <c r="AN232" s="289"/>
      <c r="AO232" s="289"/>
      <c r="AP232" s="289"/>
      <c r="AQ232" s="289"/>
      <c r="AR232" s="289"/>
      <c r="AS232" s="289"/>
      <c r="AT232" s="289"/>
      <c r="AU232" s="289"/>
      <c r="AV232" s="289"/>
    </row>
    <row r="233" spans="1:48" s="565" customFormat="1" x14ac:dyDescent="0.2">
      <c r="A233" s="400"/>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89"/>
      <c r="AE233" s="289"/>
      <c r="AF233" s="289"/>
      <c r="AG233" s="289"/>
      <c r="AH233" s="289"/>
      <c r="AI233" s="289"/>
      <c r="AJ233" s="289"/>
      <c r="AK233" s="289"/>
      <c r="AL233" s="289"/>
      <c r="AM233" s="289"/>
      <c r="AN233" s="289"/>
      <c r="AO233" s="289"/>
      <c r="AP233" s="289"/>
      <c r="AQ233" s="289"/>
      <c r="AR233" s="289"/>
      <c r="AS233" s="289"/>
      <c r="AT233" s="289"/>
      <c r="AU233" s="289"/>
      <c r="AV233" s="289"/>
    </row>
    <row r="234" spans="1:48" s="565" customFormat="1" x14ac:dyDescent="0.2">
      <c r="A234" s="400"/>
      <c r="B234" s="289"/>
      <c r="C234" s="289"/>
      <c r="D234" s="289"/>
      <c r="E234" s="289"/>
      <c r="F234" s="289"/>
      <c r="G234" s="289"/>
      <c r="H234" s="289"/>
      <c r="I234" s="289"/>
      <c r="J234" s="289"/>
      <c r="K234" s="289"/>
      <c r="L234" s="289"/>
      <c r="M234" s="289"/>
      <c r="N234" s="289"/>
      <c r="O234" s="289"/>
      <c r="P234" s="289"/>
      <c r="Q234" s="289"/>
      <c r="R234" s="289"/>
      <c r="S234" s="289"/>
      <c r="T234" s="289"/>
      <c r="U234" s="289"/>
      <c r="V234" s="289"/>
      <c r="W234" s="289"/>
      <c r="X234" s="289"/>
      <c r="Y234" s="289"/>
      <c r="Z234" s="289"/>
      <c r="AA234" s="289"/>
      <c r="AB234" s="289"/>
      <c r="AC234" s="289"/>
      <c r="AD234" s="289"/>
      <c r="AE234" s="289"/>
      <c r="AF234" s="289"/>
      <c r="AG234" s="289"/>
      <c r="AH234" s="289"/>
      <c r="AI234" s="289"/>
      <c r="AJ234" s="289"/>
      <c r="AK234" s="289"/>
      <c r="AL234" s="289"/>
      <c r="AM234" s="289"/>
      <c r="AN234" s="289"/>
      <c r="AO234" s="289"/>
      <c r="AP234" s="289"/>
      <c r="AQ234" s="289"/>
      <c r="AR234" s="289"/>
      <c r="AS234" s="289"/>
      <c r="AT234" s="289"/>
      <c r="AU234" s="289"/>
      <c r="AV234" s="289"/>
    </row>
    <row r="235" spans="1:48" s="565" customFormat="1" x14ac:dyDescent="0.2">
      <c r="A235" s="400"/>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289"/>
      <c r="AE235" s="289"/>
      <c r="AF235" s="289"/>
      <c r="AG235" s="289"/>
      <c r="AH235" s="289"/>
      <c r="AI235" s="289"/>
      <c r="AJ235" s="289"/>
      <c r="AK235" s="289"/>
      <c r="AL235" s="289"/>
      <c r="AM235" s="289"/>
      <c r="AN235" s="289"/>
      <c r="AO235" s="289"/>
      <c r="AP235" s="289"/>
      <c r="AQ235" s="289"/>
      <c r="AR235" s="289"/>
      <c r="AS235" s="289"/>
      <c r="AT235" s="289"/>
      <c r="AU235" s="289"/>
      <c r="AV235" s="289"/>
    </row>
    <row r="236" spans="1:48" s="565" customFormat="1" x14ac:dyDescent="0.2">
      <c r="A236" s="400"/>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c r="Z236" s="289"/>
      <c r="AA236" s="289"/>
      <c r="AB236" s="289"/>
      <c r="AC236" s="289"/>
      <c r="AD236" s="289"/>
      <c r="AE236" s="289"/>
      <c r="AF236" s="289"/>
      <c r="AG236" s="289"/>
      <c r="AH236" s="289"/>
      <c r="AI236" s="289"/>
      <c r="AJ236" s="289"/>
      <c r="AK236" s="289"/>
      <c r="AL236" s="289"/>
      <c r="AM236" s="289"/>
      <c r="AN236" s="289"/>
      <c r="AO236" s="289"/>
      <c r="AP236" s="289"/>
      <c r="AQ236" s="289"/>
      <c r="AR236" s="289"/>
      <c r="AS236" s="289"/>
      <c r="AT236" s="289"/>
      <c r="AU236" s="289"/>
      <c r="AV236" s="289"/>
    </row>
    <row r="237" spans="1:48" s="565" customFormat="1" x14ac:dyDescent="0.2">
      <c r="A237" s="400"/>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289"/>
      <c r="AE237" s="289"/>
      <c r="AF237" s="289"/>
      <c r="AG237" s="289"/>
      <c r="AH237" s="289"/>
      <c r="AI237" s="289"/>
      <c r="AJ237" s="289"/>
      <c r="AK237" s="289"/>
      <c r="AL237" s="289"/>
      <c r="AM237" s="289"/>
      <c r="AN237" s="289"/>
      <c r="AO237" s="289"/>
      <c r="AP237" s="289"/>
      <c r="AQ237" s="289"/>
      <c r="AR237" s="289"/>
      <c r="AS237" s="289"/>
      <c r="AT237" s="289"/>
      <c r="AU237" s="289"/>
      <c r="AV237" s="289"/>
    </row>
    <row r="238" spans="1:48" s="565" customFormat="1" x14ac:dyDescent="0.2">
      <c r="A238" s="400"/>
      <c r="B238" s="289"/>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289"/>
      <c r="Z238" s="289"/>
      <c r="AA238" s="289"/>
      <c r="AB238" s="289"/>
      <c r="AC238" s="289"/>
      <c r="AD238" s="289"/>
      <c r="AE238" s="289"/>
      <c r="AF238" s="289"/>
      <c r="AG238" s="289"/>
      <c r="AH238" s="289"/>
      <c r="AI238" s="289"/>
      <c r="AJ238" s="289"/>
      <c r="AK238" s="289"/>
      <c r="AL238" s="289"/>
      <c r="AM238" s="289"/>
      <c r="AN238" s="289"/>
      <c r="AO238" s="289"/>
      <c r="AP238" s="289"/>
      <c r="AQ238" s="289"/>
      <c r="AR238" s="289"/>
      <c r="AS238" s="289"/>
      <c r="AT238" s="289"/>
      <c r="AU238" s="289"/>
      <c r="AV238" s="289"/>
    </row>
    <row r="239" spans="1:48" s="565" customFormat="1" x14ac:dyDescent="0.2">
      <c r="A239" s="400"/>
      <c r="B239" s="289"/>
      <c r="C239" s="289"/>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289"/>
      <c r="Z239" s="289"/>
      <c r="AA239" s="289"/>
      <c r="AB239" s="289"/>
      <c r="AC239" s="289"/>
      <c r="AD239" s="289"/>
      <c r="AE239" s="289"/>
      <c r="AF239" s="289"/>
      <c r="AG239" s="289"/>
      <c r="AH239" s="289"/>
      <c r="AI239" s="289"/>
      <c r="AJ239" s="289"/>
      <c r="AK239" s="289"/>
      <c r="AL239" s="289"/>
      <c r="AM239" s="289"/>
      <c r="AN239" s="289"/>
      <c r="AO239" s="289"/>
      <c r="AP239" s="289"/>
      <c r="AQ239" s="289"/>
      <c r="AR239" s="289"/>
      <c r="AS239" s="289"/>
      <c r="AT239" s="289"/>
      <c r="AU239" s="289"/>
      <c r="AV239" s="289"/>
    </row>
    <row r="240" spans="1:48" s="565" customFormat="1" x14ac:dyDescent="0.2">
      <c r="A240" s="400"/>
      <c r="B240" s="289"/>
      <c r="C240" s="289"/>
      <c r="D240" s="289"/>
      <c r="E240" s="289"/>
      <c r="F240" s="289"/>
      <c r="G240" s="289"/>
      <c r="H240" s="289"/>
      <c r="I240" s="289"/>
      <c r="J240" s="289"/>
      <c r="K240" s="289"/>
      <c r="L240" s="289"/>
      <c r="M240" s="289"/>
      <c r="N240" s="289"/>
      <c r="O240" s="289"/>
      <c r="P240" s="289"/>
      <c r="Q240" s="289"/>
      <c r="R240" s="289"/>
      <c r="S240" s="289"/>
      <c r="T240" s="289"/>
      <c r="U240" s="289"/>
      <c r="V240" s="289"/>
      <c r="W240" s="289"/>
      <c r="X240" s="289"/>
      <c r="Y240" s="289"/>
      <c r="Z240" s="289"/>
      <c r="AA240" s="289"/>
      <c r="AB240" s="289"/>
      <c r="AC240" s="289"/>
      <c r="AD240" s="289"/>
      <c r="AE240" s="289"/>
      <c r="AF240" s="289"/>
      <c r="AG240" s="289"/>
      <c r="AH240" s="289"/>
      <c r="AI240" s="289"/>
      <c r="AJ240" s="289"/>
      <c r="AK240" s="289"/>
      <c r="AL240" s="289"/>
      <c r="AM240" s="289"/>
      <c r="AN240" s="289"/>
      <c r="AO240" s="289"/>
      <c r="AP240" s="289"/>
      <c r="AQ240" s="289"/>
      <c r="AR240" s="289"/>
      <c r="AS240" s="289"/>
      <c r="AT240" s="289"/>
      <c r="AU240" s="289"/>
      <c r="AV240" s="289"/>
    </row>
    <row r="241" spans="1:48" s="565" customFormat="1" x14ac:dyDescent="0.2">
      <c r="A241" s="400"/>
      <c r="B241" s="289"/>
      <c r="C241" s="289"/>
      <c r="D241" s="289"/>
      <c r="E241" s="289"/>
      <c r="F241" s="289"/>
      <c r="G241" s="289"/>
      <c r="H241" s="289"/>
      <c r="I241" s="289"/>
      <c r="J241" s="289"/>
      <c r="K241" s="289"/>
      <c r="L241" s="289"/>
      <c r="M241" s="289"/>
      <c r="N241" s="289"/>
      <c r="O241" s="289"/>
      <c r="P241" s="289"/>
      <c r="Q241" s="289"/>
      <c r="R241" s="289"/>
      <c r="S241" s="289"/>
      <c r="T241" s="289"/>
      <c r="U241" s="289"/>
      <c r="V241" s="289"/>
      <c r="W241" s="289"/>
      <c r="X241" s="289"/>
      <c r="Y241" s="289"/>
      <c r="Z241" s="289"/>
      <c r="AA241" s="289"/>
      <c r="AB241" s="289"/>
      <c r="AC241" s="289"/>
      <c r="AD241" s="289"/>
      <c r="AE241" s="289"/>
      <c r="AF241" s="289"/>
      <c r="AG241" s="289"/>
      <c r="AH241" s="289"/>
      <c r="AI241" s="289"/>
      <c r="AJ241" s="289"/>
      <c r="AK241" s="289"/>
      <c r="AL241" s="289"/>
      <c r="AM241" s="289"/>
      <c r="AN241" s="289"/>
      <c r="AO241" s="289"/>
      <c r="AP241" s="289"/>
      <c r="AQ241" s="289"/>
      <c r="AR241" s="289"/>
      <c r="AS241" s="289"/>
      <c r="AT241" s="289"/>
      <c r="AU241" s="289"/>
      <c r="AV241" s="289"/>
    </row>
    <row r="242" spans="1:48" s="565" customFormat="1" x14ac:dyDescent="0.2">
      <c r="A242" s="400"/>
      <c r="B242" s="289"/>
      <c r="C242" s="289"/>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289"/>
      <c r="Z242" s="289"/>
      <c r="AA242" s="289"/>
      <c r="AB242" s="289"/>
      <c r="AC242" s="289"/>
      <c r="AD242" s="289"/>
      <c r="AE242" s="289"/>
      <c r="AF242" s="289"/>
      <c r="AG242" s="289"/>
      <c r="AH242" s="289"/>
      <c r="AI242" s="289"/>
      <c r="AJ242" s="289"/>
      <c r="AK242" s="289"/>
      <c r="AL242" s="289"/>
      <c r="AM242" s="289"/>
      <c r="AN242" s="289"/>
      <c r="AO242" s="289"/>
      <c r="AP242" s="289"/>
      <c r="AQ242" s="289"/>
      <c r="AR242" s="289"/>
      <c r="AS242" s="289"/>
      <c r="AT242" s="289"/>
      <c r="AU242" s="289"/>
      <c r="AV242" s="289"/>
    </row>
    <row r="243" spans="1:48" s="565" customFormat="1" x14ac:dyDescent="0.2">
      <c r="A243" s="400"/>
      <c r="B243" s="289"/>
      <c r="C243" s="289"/>
      <c r="D243" s="289"/>
      <c r="E243" s="289"/>
      <c r="F243" s="289"/>
      <c r="G243" s="289"/>
      <c r="H243" s="289"/>
      <c r="I243" s="289"/>
      <c r="J243" s="289"/>
      <c r="K243" s="289"/>
      <c r="L243" s="289"/>
      <c r="M243" s="289"/>
      <c r="N243" s="289"/>
      <c r="O243" s="289"/>
      <c r="P243" s="289"/>
      <c r="Q243" s="289"/>
      <c r="R243" s="289"/>
      <c r="S243" s="289"/>
      <c r="T243" s="289"/>
      <c r="U243" s="289"/>
      <c r="V243" s="289"/>
      <c r="W243" s="289"/>
      <c r="X243" s="289"/>
      <c r="Y243" s="289"/>
      <c r="Z243" s="289"/>
      <c r="AA243" s="289"/>
      <c r="AB243" s="289"/>
      <c r="AC243" s="289"/>
      <c r="AD243" s="289"/>
      <c r="AE243" s="289"/>
      <c r="AF243" s="289"/>
      <c r="AG243" s="289"/>
      <c r="AH243" s="289"/>
      <c r="AI243" s="289"/>
      <c r="AJ243" s="289"/>
      <c r="AK243" s="289"/>
      <c r="AL243" s="289"/>
      <c r="AM243" s="289"/>
      <c r="AN243" s="289"/>
      <c r="AO243" s="289"/>
      <c r="AP243" s="289"/>
      <c r="AQ243" s="289"/>
      <c r="AR243" s="289"/>
      <c r="AS243" s="289"/>
      <c r="AT243" s="289"/>
      <c r="AU243" s="289"/>
      <c r="AV243" s="289"/>
    </row>
    <row r="244" spans="1:48" s="565" customFormat="1" x14ac:dyDescent="0.2">
      <c r="A244" s="400"/>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289"/>
      <c r="AF244" s="289"/>
      <c r="AG244" s="289"/>
      <c r="AH244" s="289"/>
      <c r="AI244" s="289"/>
      <c r="AJ244" s="289"/>
      <c r="AK244" s="289"/>
      <c r="AL244" s="289"/>
      <c r="AM244" s="289"/>
      <c r="AN244" s="289"/>
      <c r="AO244" s="289"/>
      <c r="AP244" s="289"/>
      <c r="AQ244" s="289"/>
      <c r="AR244" s="289"/>
      <c r="AS244" s="289"/>
      <c r="AT244" s="289"/>
      <c r="AU244" s="289"/>
      <c r="AV244" s="289"/>
    </row>
  </sheetData>
  <dataConsolidate/>
  <mergeCells count="188">
    <mergeCell ref="K46:L46"/>
    <mergeCell ref="C53:I54"/>
    <mergeCell ref="K53:L53"/>
    <mergeCell ref="C144:X145"/>
    <mergeCell ref="N146:O146"/>
    <mergeCell ref="Q146:R146"/>
    <mergeCell ref="C128:K128"/>
    <mergeCell ref="W109:X109"/>
    <mergeCell ref="Q93:R93"/>
    <mergeCell ref="Q91:R91"/>
    <mergeCell ref="K105:L105"/>
    <mergeCell ref="N105:O105"/>
    <mergeCell ref="Q105:R105"/>
    <mergeCell ref="T105:U105"/>
    <mergeCell ref="W105:X105"/>
    <mergeCell ref="C120:K120"/>
    <mergeCell ref="C116:K116"/>
    <mergeCell ref="C117:K117"/>
    <mergeCell ref="C119:K119"/>
    <mergeCell ref="K110:L110"/>
    <mergeCell ref="K109:L109"/>
    <mergeCell ref="C122:K122"/>
    <mergeCell ref="C123:K123"/>
    <mergeCell ref="C132:K132"/>
    <mergeCell ref="C135:K135"/>
    <mergeCell ref="C138:I138"/>
    <mergeCell ref="B137:H137"/>
    <mergeCell ref="N110:O110"/>
    <mergeCell ref="N109:O109"/>
    <mergeCell ref="C126:K126"/>
    <mergeCell ref="C129:K129"/>
    <mergeCell ref="C124:K124"/>
    <mergeCell ref="C125:K125"/>
    <mergeCell ref="C130:K130"/>
    <mergeCell ref="C131:K131"/>
    <mergeCell ref="C134:K134"/>
    <mergeCell ref="D77:I78"/>
    <mergeCell ref="K81:L81"/>
    <mergeCell ref="P57:R57"/>
    <mergeCell ref="C44:I45"/>
    <mergeCell ref="N101:O101"/>
    <mergeCell ref="N86:O86"/>
    <mergeCell ref="N81:O81"/>
    <mergeCell ref="K84:L84"/>
    <mergeCell ref="N89:O89"/>
    <mergeCell ref="K72:L72"/>
    <mergeCell ref="K73:L75"/>
    <mergeCell ref="N91:O91"/>
    <mergeCell ref="N95:O95"/>
    <mergeCell ref="N99:O99"/>
    <mergeCell ref="N97:O97"/>
    <mergeCell ref="N93:O93"/>
    <mergeCell ref="K52:W52"/>
    <mergeCell ref="K77:L77"/>
    <mergeCell ref="T72:U72"/>
    <mergeCell ref="Q86:R86"/>
    <mergeCell ref="W72:X72"/>
    <mergeCell ref="D81:I82"/>
    <mergeCell ref="C46:I47"/>
    <mergeCell ref="K44:L44"/>
    <mergeCell ref="K86:L86"/>
    <mergeCell ref="W103:X103"/>
    <mergeCell ref="W99:X99"/>
    <mergeCell ref="Q95:R95"/>
    <mergeCell ref="Q97:R97"/>
    <mergeCell ref="T97:U97"/>
    <mergeCell ref="T110:U110"/>
    <mergeCell ref="Q110:R110"/>
    <mergeCell ref="T103:U103"/>
    <mergeCell ref="K103:L103"/>
    <mergeCell ref="N103:O103"/>
    <mergeCell ref="T101:U101"/>
    <mergeCell ref="T109:U109"/>
    <mergeCell ref="Q103:R103"/>
    <mergeCell ref="Q76:R76"/>
    <mergeCell ref="Q77:R77"/>
    <mergeCell ref="W93:X93"/>
    <mergeCell ref="T86:U86"/>
    <mergeCell ref="W81:X81"/>
    <mergeCell ref="W91:X91"/>
    <mergeCell ref="W84:X84"/>
    <mergeCell ref="W86:X86"/>
    <mergeCell ref="W110:X110"/>
    <mergeCell ref="W77:X77"/>
    <mergeCell ref="W97:X97"/>
    <mergeCell ref="W95:X95"/>
    <mergeCell ref="W101:X101"/>
    <mergeCell ref="Q101:R101"/>
    <mergeCell ref="Q109:R109"/>
    <mergeCell ref="T95:U95"/>
    <mergeCell ref="R1:S1"/>
    <mergeCell ref="K34:L34"/>
    <mergeCell ref="K31:L31"/>
    <mergeCell ref="K23:L23"/>
    <mergeCell ref="N57:O57"/>
    <mergeCell ref="N72:O72"/>
    <mergeCell ref="Q72:R72"/>
    <mergeCell ref="A2:Z2"/>
    <mergeCell ref="A3:Z3"/>
    <mergeCell ref="Q45:W45"/>
    <mergeCell ref="K29:L29"/>
    <mergeCell ref="E8:J8"/>
    <mergeCell ref="A6:Z6"/>
    <mergeCell ref="C23:I26"/>
    <mergeCell ref="C28:I28"/>
    <mergeCell ref="A4:Z4"/>
    <mergeCell ref="A5:Z5"/>
    <mergeCell ref="L18:P18"/>
    <mergeCell ref="K22:L22"/>
    <mergeCell ref="C21:G21"/>
    <mergeCell ref="L14:P14"/>
    <mergeCell ref="K36:L36"/>
    <mergeCell ref="K38:L38"/>
    <mergeCell ref="K41:L41"/>
    <mergeCell ref="W171:X171"/>
    <mergeCell ref="N174:O174"/>
    <mergeCell ref="Q174:R174"/>
    <mergeCell ref="T174:U174"/>
    <mergeCell ref="W174:X174"/>
    <mergeCell ref="L15:P15"/>
    <mergeCell ref="T77:U77"/>
    <mergeCell ref="T81:U81"/>
    <mergeCell ref="T76:U76"/>
    <mergeCell ref="N77:O77"/>
    <mergeCell ref="W89:X89"/>
    <mergeCell ref="Q81:R81"/>
    <mergeCell ref="W73:X73"/>
    <mergeCell ref="L16:P16"/>
    <mergeCell ref="K76:L76"/>
    <mergeCell ref="K57:L57"/>
    <mergeCell ref="N73:O75"/>
    <mergeCell ref="N76:O76"/>
    <mergeCell ref="K49:L49"/>
    <mergeCell ref="K51:L51"/>
    <mergeCell ref="L17:P17"/>
    <mergeCell ref="W76:X76"/>
    <mergeCell ref="Q73:R75"/>
    <mergeCell ref="T73:U75"/>
    <mergeCell ref="N178:O178"/>
    <mergeCell ref="Q178:R178"/>
    <mergeCell ref="T178:U178"/>
    <mergeCell ref="W178:X178"/>
    <mergeCell ref="C181:X182"/>
    <mergeCell ref="N177:O177"/>
    <mergeCell ref="Q177:R177"/>
    <mergeCell ref="T177:U177"/>
    <mergeCell ref="W177:X177"/>
    <mergeCell ref="Q171:R171"/>
    <mergeCell ref="Q162:R162"/>
    <mergeCell ref="N147:O149"/>
    <mergeCell ref="N150:O150"/>
    <mergeCell ref="N157:O157"/>
    <mergeCell ref="T159:U159"/>
    <mergeCell ref="T157:U157"/>
    <mergeCell ref="T171:U171"/>
    <mergeCell ref="T168:U168"/>
    <mergeCell ref="N151:O151"/>
    <mergeCell ref="T147:U149"/>
    <mergeCell ref="Q151:R151"/>
    <mergeCell ref="T151:U151"/>
    <mergeCell ref="Q147:R149"/>
    <mergeCell ref="Q159:R159"/>
    <mergeCell ref="Q157:R157"/>
    <mergeCell ref="N159:O159"/>
    <mergeCell ref="N171:O171"/>
    <mergeCell ref="Q150:R150"/>
    <mergeCell ref="T150:U150"/>
    <mergeCell ref="W146:X146"/>
    <mergeCell ref="N168:O168"/>
    <mergeCell ref="W147:X147"/>
    <mergeCell ref="W162:X162"/>
    <mergeCell ref="W165:X165"/>
    <mergeCell ref="W155:X155"/>
    <mergeCell ref="W151:X151"/>
    <mergeCell ref="W168:X168"/>
    <mergeCell ref="Q168:R168"/>
    <mergeCell ref="W157:X157"/>
    <mergeCell ref="W159:X159"/>
    <mergeCell ref="N165:O165"/>
    <mergeCell ref="Q165:R165"/>
    <mergeCell ref="T165:U165"/>
    <mergeCell ref="T162:U162"/>
    <mergeCell ref="T146:U146"/>
    <mergeCell ref="N155:O155"/>
    <mergeCell ref="Q155:R155"/>
    <mergeCell ref="T155:U155"/>
    <mergeCell ref="N162:O162"/>
    <mergeCell ref="W150:X150"/>
  </mergeCells>
  <phoneticPr fontId="6" type="noConversion"/>
  <conditionalFormatting sqref="Q91:R91">
    <cfRule type="expression" dxfId="9" priority="3">
      <formula>$L$15&lt;&gt;"E0703"</formula>
    </cfRule>
  </conditionalFormatting>
  <printOptions horizontalCentered="1"/>
  <pageMargins left="0.39370078740157483" right="0.39370078740157483" top="0.59055118110236227" bottom="0.59055118110236227" header="0.51181102362204722" footer="0.51181102362204722"/>
  <pageSetup paperSize="9" scale="49" fitToHeight="2" orientation="portrait" r:id="rId1"/>
  <headerFooter alignWithMargins="0"/>
  <rowBreaks count="2" manualBreakCount="2">
    <brk id="60" min="1" max="24" man="1"/>
    <brk id="138" min="1"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2053" r:id="rId4" name="List Box 5">
              <controlPr locked="0" defaultSize="0" autoFill="0" autoLine="0" autoPict="0">
                <anchor moveWithCells="1">
                  <from>
                    <xdr:col>10</xdr:col>
                    <xdr:colOff>561975</xdr:colOff>
                    <xdr:row>6</xdr:row>
                    <xdr:rowOff>85725</xdr:rowOff>
                  </from>
                  <to>
                    <xdr:col>14</xdr:col>
                    <xdr:colOff>590550</xdr:colOff>
                    <xdr:row>11</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C192"/>
  <sheetViews>
    <sheetView showGridLines="0" zoomScaleNormal="100" workbookViewId="0">
      <selection activeCell="A4" sqref="A4:U4"/>
    </sheetView>
  </sheetViews>
  <sheetFormatPr defaultRowHeight="12.75" x14ac:dyDescent="0.2"/>
  <cols>
    <col min="1" max="2" width="1.7109375" customWidth="1"/>
    <col min="5" max="5" width="9.140625" customWidth="1"/>
    <col min="6" max="6" width="8.5703125" customWidth="1"/>
    <col min="7" max="7" width="14.28515625" customWidth="1"/>
    <col min="8" max="9" width="3.85546875" customWidth="1"/>
    <col min="10" max="11" width="11.42578125" customWidth="1"/>
    <col min="12" max="13" width="2.7109375" customWidth="1"/>
    <col min="14" max="15" width="11.42578125" customWidth="1"/>
    <col min="16" max="17" width="2.7109375" customWidth="1"/>
    <col min="18" max="19" width="11.42578125" customWidth="1"/>
    <col min="20" max="21" width="1.7109375" customWidth="1"/>
    <col min="22" max="22" width="16.85546875" customWidth="1"/>
    <col min="23" max="51" width="9.140625" customWidth="1"/>
  </cols>
  <sheetData>
    <row r="1" spans="1:46" ht="15" x14ac:dyDescent="0.2">
      <c r="A1" s="66"/>
      <c r="B1" s="67"/>
      <c r="C1" s="67"/>
      <c r="D1" s="67"/>
      <c r="E1" s="67"/>
      <c r="F1" s="67"/>
      <c r="G1" s="67"/>
      <c r="H1" s="67"/>
      <c r="I1" s="67"/>
      <c r="J1" s="67"/>
      <c r="K1" s="67"/>
      <c r="L1" s="67"/>
      <c r="M1" s="67"/>
      <c r="N1" s="67"/>
      <c r="O1" s="67"/>
      <c r="P1" s="67"/>
      <c r="Q1" s="67"/>
      <c r="R1" s="67"/>
      <c r="S1" s="67"/>
      <c r="T1" s="67"/>
      <c r="U1" s="68"/>
      <c r="AT1" s="110" t="s">
        <v>772</v>
      </c>
    </row>
    <row r="2" spans="1:46" ht="15.75" x14ac:dyDescent="0.25">
      <c r="A2" s="892" t="s">
        <v>610</v>
      </c>
      <c r="B2" s="893"/>
      <c r="C2" s="893"/>
      <c r="D2" s="893"/>
      <c r="E2" s="893"/>
      <c r="F2" s="893"/>
      <c r="G2" s="893"/>
      <c r="H2" s="893"/>
      <c r="I2" s="893"/>
      <c r="J2" s="893"/>
      <c r="K2" s="893"/>
      <c r="L2" s="893"/>
      <c r="M2" s="893"/>
      <c r="N2" s="893"/>
      <c r="O2" s="893"/>
      <c r="P2" s="893"/>
      <c r="Q2" s="893"/>
      <c r="R2" s="893"/>
      <c r="S2" s="893"/>
      <c r="T2" s="893"/>
      <c r="U2" s="894"/>
    </row>
    <row r="3" spans="1:46" ht="15.75" x14ac:dyDescent="0.25">
      <c r="A3" s="892" t="s">
        <v>1060</v>
      </c>
      <c r="B3" s="895"/>
      <c r="C3" s="895"/>
      <c r="D3" s="895"/>
      <c r="E3" s="895"/>
      <c r="F3" s="895"/>
      <c r="G3" s="895"/>
      <c r="H3" s="895"/>
      <c r="I3" s="895"/>
      <c r="J3" s="895"/>
      <c r="K3" s="895"/>
      <c r="L3" s="895"/>
      <c r="M3" s="895"/>
      <c r="N3" s="895"/>
      <c r="O3" s="895"/>
      <c r="P3" s="895"/>
      <c r="Q3" s="895"/>
      <c r="R3" s="895"/>
      <c r="S3" s="895"/>
      <c r="T3" s="895"/>
      <c r="U3" s="896"/>
    </row>
    <row r="4" spans="1:46" ht="15" x14ac:dyDescent="0.2">
      <c r="A4" s="899"/>
      <c r="B4" s="900"/>
      <c r="C4" s="900"/>
      <c r="D4" s="900"/>
      <c r="E4" s="900"/>
      <c r="F4" s="900"/>
      <c r="G4" s="900"/>
      <c r="H4" s="900"/>
      <c r="I4" s="900"/>
      <c r="J4" s="900"/>
      <c r="K4" s="900"/>
      <c r="L4" s="900"/>
      <c r="M4" s="900"/>
      <c r="N4" s="900"/>
      <c r="O4" s="900"/>
      <c r="P4" s="900"/>
      <c r="Q4" s="900"/>
      <c r="R4" s="900"/>
      <c r="S4" s="900"/>
      <c r="T4" s="900"/>
      <c r="U4" s="901"/>
    </row>
    <row r="5" spans="1:46" ht="15" x14ac:dyDescent="0.2">
      <c r="A5" s="899" t="s">
        <v>775</v>
      </c>
      <c r="B5" s="900"/>
      <c r="C5" s="900"/>
      <c r="D5" s="900"/>
      <c r="E5" s="900"/>
      <c r="F5" s="900"/>
      <c r="G5" s="900"/>
      <c r="H5" s="900"/>
      <c r="I5" s="900"/>
      <c r="J5" s="900"/>
      <c r="K5" s="900"/>
      <c r="L5" s="900"/>
      <c r="M5" s="900"/>
      <c r="N5" s="900"/>
      <c r="O5" s="900"/>
      <c r="P5" s="900"/>
      <c r="Q5" s="900"/>
      <c r="R5" s="900"/>
      <c r="S5" s="900"/>
      <c r="T5" s="900"/>
      <c r="U5" s="901"/>
    </row>
    <row r="6" spans="1:46" s="528" customFormat="1" ht="15" x14ac:dyDescent="0.2">
      <c r="A6" s="899" t="s">
        <v>1151</v>
      </c>
      <c r="B6" s="900"/>
      <c r="C6" s="900"/>
      <c r="D6" s="900"/>
      <c r="E6" s="900"/>
      <c r="F6" s="900"/>
      <c r="G6" s="900"/>
      <c r="H6" s="900"/>
      <c r="I6" s="900"/>
      <c r="J6" s="900"/>
      <c r="K6" s="900"/>
      <c r="L6" s="900"/>
      <c r="M6" s="900"/>
      <c r="N6" s="900"/>
      <c r="O6" s="900"/>
      <c r="P6" s="900"/>
      <c r="Q6" s="900"/>
      <c r="R6" s="900"/>
      <c r="S6" s="900"/>
      <c r="T6" s="900"/>
      <c r="U6" s="901"/>
    </row>
    <row r="7" spans="1:46" ht="15" x14ac:dyDescent="0.2">
      <c r="A7" s="899"/>
      <c r="B7" s="900"/>
      <c r="C7" s="900"/>
      <c r="D7" s="900"/>
      <c r="E7" s="900"/>
      <c r="F7" s="900"/>
      <c r="G7" s="900"/>
      <c r="H7" s="900"/>
      <c r="I7" s="900"/>
      <c r="J7" s="900"/>
      <c r="K7" s="900"/>
      <c r="L7" s="900"/>
      <c r="M7" s="900"/>
      <c r="N7" s="900"/>
      <c r="O7" s="900"/>
      <c r="P7" s="900"/>
      <c r="Q7" s="900"/>
      <c r="R7" s="900"/>
      <c r="S7" s="900"/>
      <c r="T7" s="900"/>
      <c r="U7" s="901"/>
    </row>
    <row r="8" spans="1:46" ht="15" x14ac:dyDescent="0.2">
      <c r="A8" s="899"/>
      <c r="B8" s="900"/>
      <c r="C8" s="900"/>
      <c r="D8" s="900"/>
      <c r="E8" s="900"/>
      <c r="F8" s="900"/>
      <c r="G8" s="900"/>
      <c r="H8" s="900"/>
      <c r="I8" s="900"/>
      <c r="J8" s="900"/>
      <c r="K8" s="900"/>
      <c r="L8" s="900"/>
      <c r="M8" s="900"/>
      <c r="N8" s="900"/>
      <c r="O8" s="900"/>
      <c r="P8" s="900"/>
      <c r="Q8" s="900"/>
      <c r="R8" s="900"/>
      <c r="S8" s="900"/>
      <c r="T8" s="900"/>
      <c r="U8" s="901"/>
    </row>
    <row r="9" spans="1:46" ht="15.75" thickBot="1" x14ac:dyDescent="0.25">
      <c r="A9" s="69"/>
      <c r="B9" s="70"/>
      <c r="C9" s="70"/>
      <c r="D9" s="70"/>
      <c r="E9" s="70"/>
      <c r="F9" s="70"/>
      <c r="G9" s="70"/>
      <c r="H9" s="70"/>
      <c r="I9" s="70"/>
      <c r="J9" s="70"/>
      <c r="K9" s="70"/>
      <c r="L9" s="70"/>
      <c r="M9" s="70"/>
      <c r="N9" s="70"/>
      <c r="O9" s="70"/>
      <c r="P9" s="70"/>
      <c r="Q9" s="70"/>
      <c r="R9" s="312" t="s">
        <v>792</v>
      </c>
      <c r="S9" s="472">
        <f>+'Part 1'!X19</f>
        <v>1.1000000000000001</v>
      </c>
      <c r="T9" s="70"/>
      <c r="U9" s="71"/>
    </row>
    <row r="10" spans="1:46" x14ac:dyDescent="0.2">
      <c r="A10" s="48"/>
      <c r="B10" s="49"/>
      <c r="C10" s="902"/>
      <c r="D10" s="902"/>
      <c r="E10" s="902"/>
      <c r="F10" s="902"/>
      <c r="G10" s="902"/>
      <c r="H10" s="902"/>
      <c r="I10" s="49"/>
      <c r="J10" s="49"/>
      <c r="K10" s="49"/>
      <c r="L10" s="49"/>
      <c r="M10" s="49"/>
      <c r="N10" s="49"/>
      <c r="O10" s="49"/>
      <c r="P10" s="49"/>
      <c r="Q10" s="49"/>
      <c r="R10" s="49"/>
      <c r="S10" s="49"/>
      <c r="T10" s="49"/>
      <c r="U10" s="50"/>
    </row>
    <row r="11" spans="1:46" s="33" customFormat="1" ht="18" x14ac:dyDescent="0.25">
      <c r="A11" s="41"/>
      <c r="B11" s="27"/>
      <c r="C11" s="73" t="str">
        <f>+CONCATENATE("Local Authority : ",+'Part 1'!L14)</f>
        <v>Local Authority : England</v>
      </c>
      <c r="D11" s="73"/>
      <c r="E11" s="73"/>
      <c r="F11" s="244"/>
      <c r="G11" s="244"/>
      <c r="H11" s="244"/>
      <c r="I11" s="27"/>
      <c r="J11" s="27"/>
      <c r="K11" s="27"/>
      <c r="L11" s="27"/>
      <c r="M11" s="27"/>
      <c r="N11" s="27"/>
      <c r="O11" s="27"/>
      <c r="P11" s="27"/>
      <c r="Q11" s="27"/>
      <c r="R11" s="27"/>
      <c r="S11" s="27"/>
      <c r="T11" s="27"/>
      <c r="U11" s="28"/>
    </row>
    <row r="12" spans="1:46" s="33" customFormat="1" ht="18" x14ac:dyDescent="0.25">
      <c r="A12" s="41"/>
      <c r="B12" s="27"/>
      <c r="C12" s="73"/>
      <c r="D12" s="73"/>
      <c r="E12" s="73"/>
      <c r="F12" s="244"/>
      <c r="G12" s="244"/>
      <c r="H12" s="244"/>
      <c r="I12" s="27"/>
      <c r="J12" s="27"/>
      <c r="K12" s="27"/>
      <c r="L12" s="27"/>
      <c r="M12" s="27"/>
      <c r="N12" s="27"/>
      <c r="O12" s="27"/>
      <c r="P12" s="27"/>
      <c r="Q12" s="27"/>
      <c r="R12" s="27"/>
      <c r="S12" s="27"/>
      <c r="T12" s="27"/>
      <c r="U12" s="28"/>
    </row>
    <row r="13" spans="1:46" ht="15.75" x14ac:dyDescent="0.25">
      <c r="A13" s="23"/>
      <c r="B13" s="2"/>
      <c r="C13" s="938" t="s">
        <v>245</v>
      </c>
      <c r="D13" s="938"/>
      <c r="E13" s="938"/>
      <c r="F13" s="938"/>
      <c r="G13" s="938"/>
      <c r="H13" s="938"/>
      <c r="I13" s="27"/>
      <c r="J13" s="933"/>
      <c r="K13" s="933"/>
      <c r="L13" s="56"/>
      <c r="M13" s="27"/>
      <c r="N13" s="933"/>
      <c r="O13" s="933"/>
      <c r="P13" s="27"/>
      <c r="Q13" s="27"/>
      <c r="R13" s="933"/>
      <c r="S13" s="933"/>
      <c r="T13" s="1"/>
      <c r="U13" s="51"/>
    </row>
    <row r="14" spans="1:46" ht="15.75" customHeight="1" x14ac:dyDescent="0.2">
      <c r="A14" s="23"/>
      <c r="B14" s="2"/>
      <c r="C14" s="936"/>
      <c r="D14" s="936"/>
      <c r="E14" s="936"/>
      <c r="F14" s="936"/>
      <c r="G14" s="936"/>
      <c r="H14" s="936"/>
      <c r="I14" s="27"/>
      <c r="J14" s="933" t="s">
        <v>585</v>
      </c>
      <c r="K14" s="933"/>
      <c r="L14" s="56"/>
      <c r="M14" s="27"/>
      <c r="N14" s="933" t="s">
        <v>586</v>
      </c>
      <c r="O14" s="933"/>
      <c r="P14" s="27"/>
      <c r="Q14" s="27"/>
      <c r="R14" s="933" t="s">
        <v>587</v>
      </c>
      <c r="S14" s="933"/>
      <c r="T14" s="3"/>
      <c r="U14" s="51"/>
    </row>
    <row r="15" spans="1:46" ht="15.75" x14ac:dyDescent="0.25">
      <c r="A15" s="23"/>
      <c r="B15" s="2"/>
      <c r="C15" s="887"/>
      <c r="D15" s="887"/>
      <c r="E15" s="27"/>
      <c r="F15" s="27"/>
      <c r="G15" s="27"/>
      <c r="H15" s="27"/>
      <c r="I15" s="27"/>
      <c r="J15" s="884" t="s">
        <v>736</v>
      </c>
      <c r="K15" s="885"/>
      <c r="L15" s="245"/>
      <c r="M15" s="27"/>
      <c r="N15" s="884" t="s">
        <v>737</v>
      </c>
      <c r="O15" s="885"/>
      <c r="P15" s="27"/>
      <c r="Q15" s="27"/>
      <c r="R15" s="884" t="s">
        <v>29</v>
      </c>
      <c r="S15" s="885"/>
      <c r="T15" s="2"/>
      <c r="U15" s="51"/>
      <c r="V15" s="876"/>
    </row>
    <row r="16" spans="1:46" ht="15.75" x14ac:dyDescent="0.25">
      <c r="A16" s="23"/>
      <c r="B16" s="2"/>
      <c r="C16" s="27"/>
      <c r="D16" s="27"/>
      <c r="E16" s="27"/>
      <c r="F16" s="27"/>
      <c r="G16" s="27"/>
      <c r="H16" s="27"/>
      <c r="I16" s="27"/>
      <c r="J16" s="885"/>
      <c r="K16" s="885"/>
      <c r="L16" s="245"/>
      <c r="M16" s="27"/>
      <c r="N16" s="885"/>
      <c r="O16" s="885"/>
      <c r="P16" s="27"/>
      <c r="Q16" s="27"/>
      <c r="R16" s="885"/>
      <c r="S16" s="885"/>
      <c r="T16" s="2"/>
      <c r="U16" s="51"/>
      <c r="V16" s="876"/>
    </row>
    <row r="17" spans="1:27" ht="30" customHeight="1" x14ac:dyDescent="0.25">
      <c r="A17" s="23"/>
      <c r="B17" s="2"/>
      <c r="C17" s="928" t="s">
        <v>1035</v>
      </c>
      <c r="D17" s="928"/>
      <c r="E17" s="928"/>
      <c r="F17" s="928"/>
      <c r="G17" s="928"/>
      <c r="H17" s="928"/>
      <c r="I17" s="27"/>
      <c r="J17" s="886"/>
      <c r="K17" s="886"/>
      <c r="L17" s="245"/>
      <c r="M17" s="27"/>
      <c r="N17" s="887"/>
      <c r="O17" s="887"/>
      <c r="P17" s="27"/>
      <c r="Q17" s="27"/>
      <c r="R17" s="887"/>
      <c r="S17" s="887"/>
      <c r="T17" s="2"/>
      <c r="U17" s="51"/>
    </row>
    <row r="18" spans="1:27" ht="16.5" customHeight="1" thickBot="1" x14ac:dyDescent="0.3">
      <c r="A18" s="23"/>
      <c r="B18" s="2"/>
      <c r="C18" s="928"/>
      <c r="D18" s="928"/>
      <c r="E18" s="928"/>
      <c r="F18" s="928"/>
      <c r="G18" s="928"/>
      <c r="H18" s="928"/>
      <c r="I18" s="27"/>
      <c r="J18" s="937" t="s">
        <v>577</v>
      </c>
      <c r="K18" s="937"/>
      <c r="L18" s="27"/>
      <c r="M18" s="27"/>
      <c r="N18" s="937" t="s">
        <v>577</v>
      </c>
      <c r="O18" s="937"/>
      <c r="P18" s="27"/>
      <c r="Q18" s="153"/>
      <c r="R18" s="941" t="s">
        <v>577</v>
      </c>
      <c r="S18" s="941"/>
      <c r="T18" s="146"/>
      <c r="U18" s="51"/>
    </row>
    <row r="19" spans="1:27" ht="16.5" thickBot="1" x14ac:dyDescent="0.25">
      <c r="A19" s="23"/>
      <c r="B19" s="2"/>
      <c r="C19" s="309" t="s">
        <v>612</v>
      </c>
      <c r="D19" s="309"/>
      <c r="E19" s="309"/>
      <c r="F19" s="939" t="str" cm="1">
        <f t="array" ref="F19">IF(INDEX(DataSheet2!$A$8:$DW$317,'Part 1'!$F$1,6)=0,"",INDEX(DataSheet2!$A$8:$DW$317,'Part 1'!$F$1,6))</f>
        <v/>
      </c>
      <c r="G19" s="940"/>
      <c r="H19" s="27"/>
      <c r="I19" s="27"/>
      <c r="J19" s="827" cm="1">
        <f t="array" ref="J19">INDEX(DataSheet2!$A$8:$DW$317,'Part 1'!$F$1,7)</f>
        <v>63233580438</v>
      </c>
      <c r="K19" s="828"/>
      <c r="L19" s="57"/>
      <c r="M19" s="27"/>
      <c r="N19" s="827" cm="1">
        <f t="array" ref="N19">INDEX(DataSheet2!$A$8:$DW$317,'Part 1'!$F$1,8)</f>
        <v>696431132</v>
      </c>
      <c r="O19" s="828"/>
      <c r="P19" s="27"/>
      <c r="Q19" s="141"/>
      <c r="R19" s="879" cm="1">
        <f t="array" ref="R19">INDEX(DataSheet2!$A$8:$DW$317,'Part 1'!$F$1,9)</f>
        <v>63930011570</v>
      </c>
      <c r="S19" s="880"/>
      <c r="T19" s="146"/>
      <c r="U19" s="51"/>
    </row>
    <row r="20" spans="1:27" ht="15.75" thickBot="1" x14ac:dyDescent="0.25">
      <c r="A20" s="23"/>
      <c r="B20" s="2"/>
      <c r="C20" s="27"/>
      <c r="D20" s="27"/>
      <c r="E20" s="27"/>
      <c r="F20" s="56"/>
      <c r="G20" s="27"/>
      <c r="H20" s="27"/>
      <c r="I20" s="56"/>
      <c r="J20" s="57"/>
      <c r="K20" s="57"/>
      <c r="L20" s="57"/>
      <c r="M20" s="27"/>
      <c r="N20" s="57"/>
      <c r="O20" s="57"/>
      <c r="P20" s="27"/>
      <c r="Q20" s="141"/>
      <c r="R20" s="141"/>
      <c r="S20" s="141"/>
      <c r="T20" s="146"/>
      <c r="U20" s="51"/>
    </row>
    <row r="21" spans="1:27" ht="16.5" thickBot="1" x14ac:dyDescent="0.3">
      <c r="A21" s="23"/>
      <c r="B21" s="2"/>
      <c r="C21" s="859" t="s">
        <v>1061</v>
      </c>
      <c r="D21" s="897"/>
      <c r="E21" s="897"/>
      <c r="F21" s="897"/>
      <c r="G21" s="537" cm="1">
        <f t="array" ref="G21">INDEX(DataSheet2!$A$8:$DW$317,'Part 1'!$F$1,10)</f>
        <v>15419.099999999924</v>
      </c>
      <c r="H21" s="155"/>
      <c r="I21" s="27"/>
      <c r="J21" s="57"/>
      <c r="K21" s="57"/>
      <c r="L21" s="57"/>
      <c r="M21" s="27"/>
      <c r="N21" s="57"/>
      <c r="O21" s="57"/>
      <c r="P21" s="27"/>
      <c r="Q21" s="141"/>
      <c r="R21" s="141"/>
      <c r="S21" s="141"/>
      <c r="T21" s="146"/>
      <c r="U21" s="51"/>
    </row>
    <row r="22" spans="1:27" ht="15.75" thickBot="1" x14ac:dyDescent="0.25">
      <c r="A22" s="23"/>
      <c r="B22" s="2"/>
      <c r="C22" s="897"/>
      <c r="D22" s="897"/>
      <c r="E22" s="897"/>
      <c r="F22" s="897"/>
      <c r="G22" s="10"/>
      <c r="H22" s="27"/>
      <c r="I22" s="27"/>
      <c r="J22" s="57"/>
      <c r="K22" s="57"/>
      <c r="L22" s="57"/>
      <c r="M22" s="57"/>
      <c r="N22" s="57"/>
      <c r="O22" s="57"/>
      <c r="P22" s="57"/>
      <c r="Q22" s="141"/>
      <c r="R22" s="141"/>
      <c r="S22" s="141"/>
      <c r="T22" s="146"/>
      <c r="U22" s="51"/>
    </row>
    <row r="23" spans="1:27" ht="15.75" thickBot="1" x14ac:dyDescent="0.25">
      <c r="A23" s="23"/>
      <c r="B23" s="2"/>
      <c r="C23" s="10"/>
      <c r="D23" s="10"/>
      <c r="E23" s="10"/>
      <c r="F23" s="10"/>
      <c r="G23" s="10"/>
      <c r="H23" s="27"/>
      <c r="I23" s="170"/>
      <c r="J23" s="171"/>
      <c r="K23" s="171"/>
      <c r="L23" s="172"/>
      <c r="M23" s="171"/>
      <c r="N23" s="171"/>
      <c r="O23" s="171"/>
      <c r="P23" s="172"/>
      <c r="Q23" s="173"/>
      <c r="R23" s="173"/>
      <c r="S23" s="173"/>
      <c r="T23" s="174"/>
      <c r="U23" s="51"/>
    </row>
    <row r="24" spans="1:27" ht="16.5" thickBot="1" x14ac:dyDescent="0.25">
      <c r="A24" s="23"/>
      <c r="B24" s="2"/>
      <c r="C24" s="10" t="s">
        <v>1062</v>
      </c>
      <c r="D24" s="10"/>
      <c r="E24" s="10"/>
      <c r="F24" s="10"/>
      <c r="G24" s="10"/>
      <c r="H24" s="27"/>
      <c r="I24" s="175"/>
      <c r="J24" s="888" cm="1">
        <f t="array" ref="J24">INDEX(DataSheet2!$A$8:$DW$317,'Part 1'!$F$1,11)</f>
        <v>31553556631</v>
      </c>
      <c r="K24" s="889"/>
      <c r="L24" s="59"/>
      <c r="M24" s="27"/>
      <c r="N24" s="888" cm="1">
        <f t="array" ref="N24">INDEX(DataSheet2!$A$8:$DW$317,'Part 1'!$F$1,12)</f>
        <v>347519133</v>
      </c>
      <c r="O24" s="889"/>
      <c r="P24" s="59"/>
      <c r="Q24" s="141"/>
      <c r="R24" s="141"/>
      <c r="S24" s="141"/>
      <c r="T24" s="176"/>
      <c r="U24" s="51"/>
    </row>
    <row r="25" spans="1:27" ht="16.5" thickBot="1" x14ac:dyDescent="0.25">
      <c r="A25" s="23"/>
      <c r="B25" s="2"/>
      <c r="C25" s="10"/>
      <c r="D25" s="10"/>
      <c r="E25" s="10"/>
      <c r="F25" s="10"/>
      <c r="G25" s="10"/>
      <c r="H25" s="27"/>
      <c r="I25" s="175"/>
      <c r="J25" s="58"/>
      <c r="K25" s="57"/>
      <c r="L25" s="59"/>
      <c r="M25" s="27"/>
      <c r="N25" s="58"/>
      <c r="O25" s="57"/>
      <c r="P25" s="59"/>
      <c r="Q25" s="141"/>
      <c r="R25" s="141"/>
      <c r="S25" s="141"/>
      <c r="T25" s="176"/>
      <c r="U25" s="51"/>
    </row>
    <row r="26" spans="1:27" ht="16.5" thickBot="1" x14ac:dyDescent="0.25">
      <c r="A26" s="23"/>
      <c r="B26" s="2"/>
      <c r="C26" s="10" t="s">
        <v>606</v>
      </c>
      <c r="D26" s="10"/>
      <c r="E26" s="10"/>
      <c r="F26" s="10"/>
      <c r="G26" s="10"/>
      <c r="H26" s="27"/>
      <c r="I26" s="175"/>
      <c r="J26" s="827" cm="1">
        <f t="array" ref="J26">INDEX(DataSheet2!$A$8:$DW$317,'Part 1'!$F$1,13)</f>
        <v>-6274381</v>
      </c>
      <c r="K26" s="828"/>
      <c r="L26" s="59"/>
      <c r="M26" s="27"/>
      <c r="N26" s="827" cm="1">
        <f t="array" ref="N26">INDEX(DataSheet2!$A$8:$DW$317,'Part 1'!$F$1,14)</f>
        <v>8877395</v>
      </c>
      <c r="O26" s="828"/>
      <c r="P26" s="59"/>
      <c r="Q26" s="141"/>
      <c r="R26" s="141"/>
      <c r="S26" s="141"/>
      <c r="T26" s="176"/>
      <c r="U26" s="51"/>
    </row>
    <row r="27" spans="1:27" ht="15.75" x14ac:dyDescent="0.2">
      <c r="A27" s="23"/>
      <c r="B27" s="2"/>
      <c r="C27" s="10" t="s">
        <v>767</v>
      </c>
      <c r="D27" s="10"/>
      <c r="E27" s="10"/>
      <c r="F27" s="10"/>
      <c r="G27" s="10"/>
      <c r="H27" s="27"/>
      <c r="I27" s="175"/>
      <c r="J27" s="58"/>
      <c r="K27" s="57"/>
      <c r="L27" s="59"/>
      <c r="M27" s="27"/>
      <c r="N27" s="58"/>
      <c r="O27" s="57"/>
      <c r="P27" s="59"/>
      <c r="Q27" s="141"/>
      <c r="R27" s="243"/>
      <c r="S27" s="141"/>
      <c r="T27" s="176"/>
      <c r="U27" s="51"/>
    </row>
    <row r="28" spans="1:27" ht="16.5" thickBot="1" x14ac:dyDescent="0.25">
      <c r="A28" s="23"/>
      <c r="B28" s="2"/>
      <c r="C28" s="10"/>
      <c r="D28" s="10"/>
      <c r="E28" s="10"/>
      <c r="F28" s="10"/>
      <c r="G28" s="10"/>
      <c r="H28" s="27"/>
      <c r="I28" s="175"/>
      <c r="J28" s="58"/>
      <c r="K28" s="57"/>
      <c r="L28" s="59"/>
      <c r="M28" s="27"/>
      <c r="N28" s="58"/>
      <c r="O28" s="57"/>
      <c r="P28" s="59"/>
      <c r="Q28" s="141"/>
      <c r="R28" s="243"/>
      <c r="S28" s="141"/>
      <c r="T28" s="176"/>
      <c r="U28" s="51"/>
    </row>
    <row r="29" spans="1:27" ht="16.5" thickBot="1" x14ac:dyDescent="0.25">
      <c r="A29" s="23"/>
      <c r="B29" s="2"/>
      <c r="C29" s="10" t="s">
        <v>1063</v>
      </c>
      <c r="D29" s="10"/>
      <c r="E29" s="10"/>
      <c r="F29" s="10"/>
      <c r="G29" s="10"/>
      <c r="H29" s="27"/>
      <c r="I29" s="175"/>
      <c r="J29" s="888" cm="1">
        <f t="array" ref="J29">INDEX(DataSheet2!$A$8:$DW$317,'Part 1'!$F$1,15)</f>
        <v>31547282250</v>
      </c>
      <c r="K29" s="889"/>
      <c r="L29" s="59"/>
      <c r="M29" s="27"/>
      <c r="N29" s="888" cm="1">
        <f t="array" ref="N29">INDEX(DataSheet2!$A$8:$DW$317,'Part 1'!$F$1,16)</f>
        <v>356396528</v>
      </c>
      <c r="O29" s="889"/>
      <c r="P29" s="59"/>
      <c r="Q29" s="141"/>
      <c r="R29" s="879" cm="1">
        <f t="array" ref="R29">INDEX(DataSheet2!$A$8:$DW$317,'Part 1'!$F$1,17)</f>
        <v>31903678778</v>
      </c>
      <c r="S29" s="880"/>
      <c r="T29" s="176"/>
      <c r="U29" s="51"/>
    </row>
    <row r="30" spans="1:27" ht="16.5" thickBot="1" x14ac:dyDescent="0.25">
      <c r="A30" s="23"/>
      <c r="B30" s="6"/>
      <c r="C30" s="27"/>
      <c r="D30" s="27"/>
      <c r="E30" s="27"/>
      <c r="F30" s="27"/>
      <c r="G30" s="27"/>
      <c r="H30" s="27"/>
      <c r="I30" s="177"/>
      <c r="J30" s="178"/>
      <c r="K30" s="179"/>
      <c r="L30" s="180"/>
      <c r="M30" s="178"/>
      <c r="N30" s="178"/>
      <c r="O30" s="179"/>
      <c r="P30" s="180"/>
      <c r="Q30" s="181"/>
      <c r="R30" s="182"/>
      <c r="S30" s="181"/>
      <c r="T30" s="183"/>
      <c r="U30" s="51"/>
    </row>
    <row r="31" spans="1:27" ht="15.75" x14ac:dyDescent="0.2">
      <c r="A31" s="23"/>
      <c r="B31" s="328"/>
      <c r="C31" s="328"/>
      <c r="D31" s="328"/>
      <c r="E31" s="328"/>
      <c r="F31" s="328"/>
      <c r="G31" s="328"/>
      <c r="H31" s="328"/>
      <c r="I31" s="328"/>
      <c r="J31" s="328"/>
      <c r="K31" s="328"/>
      <c r="L31" s="328"/>
      <c r="M31" s="328"/>
      <c r="N31" s="328"/>
      <c r="O31" s="328"/>
      <c r="P31" s="328"/>
      <c r="Q31" s="314"/>
      <c r="R31" s="315"/>
      <c r="S31" s="314"/>
      <c r="T31" s="146"/>
      <c r="U31" s="51"/>
      <c r="V31" s="47"/>
      <c r="W31" s="47"/>
      <c r="X31" s="47"/>
      <c r="Y31" s="47"/>
      <c r="Z31" s="47"/>
      <c r="AA31" s="47"/>
    </row>
    <row r="32" spans="1:27" ht="16.5" customHeight="1" thickBot="1" x14ac:dyDescent="0.3">
      <c r="A32" s="23"/>
      <c r="B32" s="328"/>
      <c r="C32" s="329" t="s">
        <v>1036</v>
      </c>
      <c r="D32" s="330"/>
      <c r="E32" s="330"/>
      <c r="F32" s="330"/>
      <c r="G32" s="330"/>
      <c r="H32" s="330"/>
      <c r="I32" s="330"/>
      <c r="J32" s="330"/>
      <c r="K32" s="330"/>
      <c r="L32" s="330"/>
      <c r="M32" s="330"/>
      <c r="N32" s="331"/>
      <c r="O32" s="332"/>
      <c r="P32" s="330"/>
      <c r="Q32" s="314"/>
      <c r="R32" s="315"/>
      <c r="S32" s="314"/>
      <c r="T32" s="146"/>
      <c r="U32" s="51"/>
      <c r="V32" s="47"/>
      <c r="W32" s="47"/>
      <c r="X32" s="47"/>
      <c r="Y32" s="47"/>
      <c r="Z32" s="47"/>
      <c r="AA32" s="47"/>
    </row>
    <row r="33" spans="1:27" ht="16.5" thickBot="1" x14ac:dyDescent="0.25">
      <c r="A33" s="23"/>
      <c r="B33" s="328"/>
      <c r="C33" s="931" t="s">
        <v>768</v>
      </c>
      <c r="D33" s="931"/>
      <c r="E33" s="931"/>
      <c r="F33" s="931"/>
      <c r="G33" s="931"/>
      <c r="H33" s="330"/>
      <c r="I33" s="330"/>
      <c r="J33" s="882" cm="1">
        <f t="array" ref="J33">INDEX(DataSheet2!$A$8:$DW$317,'Part 1'!$F$1,18)</f>
        <v>-85260476</v>
      </c>
      <c r="K33" s="883"/>
      <c r="L33" s="332"/>
      <c r="M33" s="330"/>
      <c r="N33" s="882" cm="1">
        <f t="array" ref="N33">INDEX(DataSheet2!$A$8:$DW$317,'Part 1'!$F$1,19)</f>
        <v>-410506</v>
      </c>
      <c r="O33" s="883"/>
      <c r="P33" s="330"/>
      <c r="Q33" s="314"/>
      <c r="R33" s="877" cm="1">
        <f t="array" ref="R33">INDEX(DataSheet2!$A$8:$DW$317,'Part 1'!$F$1,20)</f>
        <v>-85670982</v>
      </c>
      <c r="S33" s="878"/>
      <c r="T33" s="146"/>
      <c r="U33" s="51"/>
      <c r="V33" s="47"/>
      <c r="W33" s="47"/>
      <c r="X33" s="47"/>
      <c r="Y33" s="47"/>
      <c r="Z33" s="47"/>
      <c r="AA33" s="47"/>
    </row>
    <row r="34" spans="1:27" ht="15.75" customHeight="1" x14ac:dyDescent="0.2">
      <c r="A34" s="23"/>
      <c r="B34" s="328"/>
      <c r="C34" s="932"/>
      <c r="D34" s="932"/>
      <c r="E34" s="932"/>
      <c r="F34" s="932"/>
      <c r="G34" s="932"/>
      <c r="H34" s="330"/>
      <c r="I34" s="330"/>
      <c r="J34" s="330"/>
      <c r="K34" s="330"/>
      <c r="L34" s="330"/>
      <c r="M34" s="330"/>
      <c r="N34" s="330"/>
      <c r="O34" s="330"/>
      <c r="P34" s="330"/>
      <c r="Q34" s="314"/>
      <c r="R34" s="315"/>
      <c r="S34" s="314"/>
      <c r="T34" s="146"/>
      <c r="U34" s="51"/>
      <c r="V34" s="47"/>
      <c r="W34" s="47"/>
      <c r="X34" s="47"/>
      <c r="Y34" s="47"/>
      <c r="Z34" s="47"/>
      <c r="AA34" s="47"/>
    </row>
    <row r="35" spans="1:27" ht="16.5" customHeight="1" thickBot="1" x14ac:dyDescent="0.25">
      <c r="A35" s="23"/>
      <c r="B35" s="328"/>
      <c r="C35" s="330"/>
      <c r="D35" s="330"/>
      <c r="E35" s="330"/>
      <c r="F35" s="330"/>
      <c r="G35" s="330"/>
      <c r="H35" s="330"/>
      <c r="I35" s="330"/>
      <c r="J35" s="330"/>
      <c r="K35" s="330"/>
      <c r="L35" s="330"/>
      <c r="M35" s="330"/>
      <c r="N35" s="330"/>
      <c r="O35" s="330"/>
      <c r="P35" s="330"/>
      <c r="Q35" s="314"/>
      <c r="R35" s="315"/>
      <c r="S35" s="314"/>
      <c r="T35" s="146"/>
      <c r="U35" s="51"/>
      <c r="V35" s="47"/>
      <c r="W35" s="47"/>
      <c r="X35" s="47"/>
      <c r="Y35" s="47"/>
      <c r="Z35" s="47"/>
      <c r="AA35" s="47"/>
    </row>
    <row r="36" spans="1:27" ht="16.5" customHeight="1" thickBot="1" x14ac:dyDescent="0.25">
      <c r="A36" s="23"/>
      <c r="B36" s="328"/>
      <c r="C36" s="934" t="s">
        <v>773</v>
      </c>
      <c r="D36" s="935"/>
      <c r="E36" s="935"/>
      <c r="F36" s="935"/>
      <c r="G36" s="935"/>
      <c r="H36" s="330"/>
      <c r="I36" s="330"/>
      <c r="J36" s="882" cm="1">
        <f t="array" ref="J36">INDEX(DataSheet2!$A$8:$DW$317,'Part 1'!$F$1,21)</f>
        <v>141089811</v>
      </c>
      <c r="K36" s="883"/>
      <c r="L36" s="332"/>
      <c r="M36" s="330"/>
      <c r="N36" s="882" cm="1">
        <f t="array" ref="N36">INDEX(DataSheet2!$A$8:$DW$317,'Part 1'!$F$1,22)</f>
        <v>1959539</v>
      </c>
      <c r="O36" s="883"/>
      <c r="P36" s="330"/>
      <c r="Q36" s="314"/>
      <c r="R36" s="877" cm="1">
        <f t="array" ref="R36">INDEX(DataSheet2!$A$8:$DW$317,'Part 1'!$F$1,23)</f>
        <v>143049350</v>
      </c>
      <c r="S36" s="878"/>
      <c r="T36" s="146"/>
      <c r="U36" s="51"/>
      <c r="V36" s="47"/>
      <c r="W36" s="47"/>
      <c r="X36" s="47"/>
      <c r="Y36" s="47"/>
      <c r="Z36" s="47"/>
      <c r="AA36" s="47"/>
    </row>
    <row r="37" spans="1:27" ht="15.75" customHeight="1" x14ac:dyDescent="0.2">
      <c r="A37" s="23"/>
      <c r="B37" s="328"/>
      <c r="C37" s="935"/>
      <c r="D37" s="935"/>
      <c r="E37" s="935"/>
      <c r="F37" s="935"/>
      <c r="G37" s="935"/>
      <c r="H37" s="330"/>
      <c r="I37" s="330"/>
      <c r="J37" s="332"/>
      <c r="K37" s="332"/>
      <c r="L37" s="332"/>
      <c r="M37" s="332"/>
      <c r="N37" s="332"/>
      <c r="O37" s="332"/>
      <c r="P37" s="332"/>
      <c r="Q37" s="314"/>
      <c r="R37" s="314"/>
      <c r="S37" s="314"/>
      <c r="T37" s="146"/>
      <c r="U37" s="51"/>
      <c r="V37" s="47"/>
      <c r="W37" s="47"/>
      <c r="X37" s="47"/>
      <c r="Y37" s="47"/>
      <c r="Z37" s="47"/>
      <c r="AA37" s="47"/>
    </row>
    <row r="38" spans="1:27" ht="15.75" customHeight="1" thickBot="1" x14ac:dyDescent="0.25">
      <c r="A38" s="23"/>
      <c r="B38" s="328"/>
      <c r="C38" s="935"/>
      <c r="D38" s="935"/>
      <c r="E38" s="935"/>
      <c r="F38" s="935"/>
      <c r="G38" s="935"/>
      <c r="H38" s="330"/>
      <c r="I38" s="333"/>
      <c r="J38" s="334"/>
      <c r="K38" s="334"/>
      <c r="L38" s="334"/>
      <c r="M38" s="334"/>
      <c r="N38" s="334"/>
      <c r="O38" s="334"/>
      <c r="P38" s="334"/>
      <c r="Q38" s="316"/>
      <c r="R38" s="316"/>
      <c r="S38" s="316"/>
      <c r="T38" s="236"/>
      <c r="U38" s="51"/>
      <c r="V38" s="881"/>
      <c r="W38" s="881"/>
      <c r="X38" s="881"/>
      <c r="Y38" s="881"/>
      <c r="Z38" s="881"/>
      <c r="AA38" s="881"/>
    </row>
    <row r="39" spans="1:27" ht="15.75" customHeight="1" thickBot="1" x14ac:dyDescent="0.25">
      <c r="A39" s="23"/>
      <c r="B39" s="328"/>
      <c r="C39" s="335"/>
      <c r="D39" s="335"/>
      <c r="E39" s="335"/>
      <c r="F39" s="335"/>
      <c r="G39" s="335"/>
      <c r="H39" s="330"/>
      <c r="I39" s="336"/>
      <c r="J39" s="332"/>
      <c r="K39" s="332"/>
      <c r="L39" s="337"/>
      <c r="M39" s="332"/>
      <c r="N39" s="332"/>
      <c r="O39" s="332"/>
      <c r="P39" s="337"/>
      <c r="Q39" s="314"/>
      <c r="R39" s="314"/>
      <c r="S39" s="314"/>
      <c r="T39" s="190"/>
      <c r="U39" s="51"/>
      <c r="V39" s="881"/>
      <c r="W39" s="881"/>
      <c r="X39" s="881"/>
      <c r="Y39" s="881"/>
      <c r="Z39" s="881"/>
      <c r="AA39" s="881"/>
    </row>
    <row r="40" spans="1:27" ht="16.5" thickBot="1" x14ac:dyDescent="0.25">
      <c r="A40" s="23"/>
      <c r="B40" s="328"/>
      <c r="C40" s="335" t="s">
        <v>619</v>
      </c>
      <c r="D40" s="335"/>
      <c r="E40" s="335"/>
      <c r="F40" s="335"/>
      <c r="G40" s="335"/>
      <c r="H40" s="330"/>
      <c r="I40" s="336"/>
      <c r="J40" s="890" cm="1">
        <f t="array" ref="J40">INDEX(DataSheet2!$A$8:$DW$317,'Part 1'!$F$1,24)</f>
        <v>55829335</v>
      </c>
      <c r="K40" s="891"/>
      <c r="L40" s="337"/>
      <c r="M40" s="330"/>
      <c r="N40" s="890" cm="1">
        <f t="array" ref="N40">INDEX(DataSheet2!$A$8:$DW$317,'Part 1'!$F$1,25)</f>
        <v>1549033</v>
      </c>
      <c r="O40" s="891"/>
      <c r="P40" s="337"/>
      <c r="Q40" s="314"/>
      <c r="R40" s="314"/>
      <c r="S40" s="314"/>
      <c r="T40" s="190"/>
      <c r="U40" s="51"/>
      <c r="V40" s="47"/>
      <c r="W40" s="47"/>
      <c r="X40" s="47"/>
      <c r="Y40" s="47"/>
      <c r="Z40" s="47"/>
      <c r="AA40" s="47"/>
    </row>
    <row r="41" spans="1:27" ht="16.5" customHeight="1" thickBot="1" x14ac:dyDescent="0.25">
      <c r="A41" s="23"/>
      <c r="B41" s="328"/>
      <c r="C41" s="335"/>
      <c r="D41" s="335"/>
      <c r="E41" s="335"/>
      <c r="F41" s="335"/>
      <c r="G41" s="335"/>
      <c r="H41" s="330"/>
      <c r="I41" s="336"/>
      <c r="J41" s="331"/>
      <c r="K41" s="332"/>
      <c r="L41" s="337"/>
      <c r="M41" s="330"/>
      <c r="N41" s="331"/>
      <c r="O41" s="332"/>
      <c r="P41" s="337"/>
      <c r="Q41" s="314"/>
      <c r="R41" s="314"/>
      <c r="S41" s="314"/>
      <c r="T41" s="190"/>
      <c r="U41" s="51"/>
      <c r="V41" s="47"/>
      <c r="W41" s="47"/>
      <c r="X41" s="47"/>
      <c r="Y41" s="47"/>
      <c r="Z41" s="47"/>
      <c r="AA41" s="47"/>
    </row>
    <row r="42" spans="1:27" ht="16.5" thickBot="1" x14ac:dyDescent="0.25">
      <c r="A42" s="23"/>
      <c r="B42" s="328"/>
      <c r="C42" s="930" t="s">
        <v>776</v>
      </c>
      <c r="D42" s="931"/>
      <c r="E42" s="931"/>
      <c r="F42" s="931"/>
      <c r="G42" s="931"/>
      <c r="H42" s="330"/>
      <c r="I42" s="336"/>
      <c r="J42" s="882" cm="1">
        <f t="array" ref="J42">INDEX(DataSheet2!$A$8:$DW$317,'Part 1'!$F$1,26)</f>
        <v>293752</v>
      </c>
      <c r="K42" s="883"/>
      <c r="L42" s="337"/>
      <c r="M42" s="330"/>
      <c r="N42" s="882" cm="1">
        <f t="array" ref="N42">INDEX(DataSheet2!$A$8:$DW$317,'Part 1'!$F$1,27)</f>
        <v>94377</v>
      </c>
      <c r="O42" s="883"/>
      <c r="P42" s="337"/>
      <c r="Q42" s="314"/>
      <c r="R42" s="314"/>
      <c r="S42" s="314"/>
      <c r="T42" s="190"/>
      <c r="U42" s="51"/>
      <c r="V42" s="47"/>
      <c r="W42" s="47"/>
      <c r="X42" s="47"/>
      <c r="Y42" s="47"/>
      <c r="Z42" s="47"/>
      <c r="AA42" s="47"/>
    </row>
    <row r="43" spans="1:27" ht="15.75" customHeight="1" x14ac:dyDescent="0.2">
      <c r="A43" s="23"/>
      <c r="B43" s="328"/>
      <c r="C43" s="931"/>
      <c r="D43" s="931"/>
      <c r="E43" s="931"/>
      <c r="F43" s="931"/>
      <c r="G43" s="931"/>
      <c r="H43" s="330"/>
      <c r="I43" s="336"/>
      <c r="J43" s="331"/>
      <c r="K43" s="332"/>
      <c r="L43" s="337"/>
      <c r="M43" s="330"/>
      <c r="N43" s="331"/>
      <c r="O43" s="332"/>
      <c r="P43" s="337"/>
      <c r="Q43" s="314"/>
      <c r="R43" s="315"/>
      <c r="S43" s="314"/>
      <c r="T43" s="190"/>
      <c r="U43" s="51"/>
      <c r="V43" s="47"/>
      <c r="W43" s="47"/>
      <c r="X43" s="47"/>
      <c r="Y43" s="47"/>
      <c r="Z43" s="47"/>
      <c r="AA43" s="47"/>
    </row>
    <row r="44" spans="1:27" ht="15.75" customHeight="1" x14ac:dyDescent="0.2">
      <c r="A44" s="23"/>
      <c r="B44" s="328"/>
      <c r="C44" s="932"/>
      <c r="D44" s="932"/>
      <c r="E44" s="932"/>
      <c r="F44" s="932"/>
      <c r="G44" s="932"/>
      <c r="H44" s="330"/>
      <c r="I44" s="336"/>
      <c r="J44" s="331"/>
      <c r="K44" s="332"/>
      <c r="L44" s="337"/>
      <c r="M44" s="330"/>
      <c r="N44" s="331"/>
      <c r="O44" s="332"/>
      <c r="P44" s="337"/>
      <c r="Q44" s="314"/>
      <c r="R44" s="315"/>
      <c r="S44" s="314"/>
      <c r="T44" s="190"/>
      <c r="U44" s="51"/>
      <c r="V44" s="47"/>
      <c r="W44" s="47"/>
      <c r="X44" s="47"/>
      <c r="Y44" s="47"/>
      <c r="Z44" s="47"/>
      <c r="AA44" s="47"/>
    </row>
    <row r="45" spans="1:27" ht="16.5" thickBot="1" x14ac:dyDescent="0.25">
      <c r="A45" s="23"/>
      <c r="B45" s="328"/>
      <c r="C45" s="338"/>
      <c r="D45" s="338"/>
      <c r="E45" s="338"/>
      <c r="F45" s="338"/>
      <c r="G45" s="338"/>
      <c r="H45" s="330"/>
      <c r="I45" s="336"/>
      <c r="J45" s="331"/>
      <c r="K45" s="332"/>
      <c r="L45" s="337"/>
      <c r="M45" s="330"/>
      <c r="N45" s="331"/>
      <c r="O45" s="332"/>
      <c r="P45" s="337"/>
      <c r="Q45" s="314"/>
      <c r="R45" s="315"/>
      <c r="S45" s="314"/>
      <c r="T45" s="190"/>
      <c r="U45" s="51"/>
      <c r="V45" s="47"/>
      <c r="W45" s="47"/>
      <c r="X45" s="47"/>
      <c r="Y45" s="47"/>
      <c r="Z45" s="47"/>
      <c r="AA45" s="47"/>
    </row>
    <row r="46" spans="1:27" ht="16.5" thickBot="1" x14ac:dyDescent="0.25">
      <c r="A46" s="23"/>
      <c r="B46" s="328"/>
      <c r="C46" s="335" t="s">
        <v>620</v>
      </c>
      <c r="D46" s="335"/>
      <c r="E46" s="335"/>
      <c r="F46" s="335"/>
      <c r="G46" s="335"/>
      <c r="H46" s="330"/>
      <c r="I46" s="336"/>
      <c r="J46" s="890" cm="1">
        <f t="array" ref="J46">INDEX(DataSheet2!$A$8:$DW$317,'Part 1'!$F$1,28)</f>
        <v>56123087</v>
      </c>
      <c r="K46" s="891"/>
      <c r="L46" s="337"/>
      <c r="M46" s="330"/>
      <c r="N46" s="890" cm="1">
        <f t="array" ref="N46">INDEX(DataSheet2!$A$8:$DW$317,'Part 1'!$F$1,29)</f>
        <v>1643410</v>
      </c>
      <c r="O46" s="891"/>
      <c r="P46" s="337"/>
      <c r="Q46" s="314"/>
      <c r="R46" s="877" cm="1">
        <f t="array" ref="R46">INDEX(DataSheet2!$A$8:$DW$317,'Part 1'!$F$1,30)</f>
        <v>57766497</v>
      </c>
      <c r="S46" s="878"/>
      <c r="T46" s="190"/>
      <c r="U46" s="51"/>
      <c r="V46" s="47"/>
      <c r="W46" s="47"/>
      <c r="X46" s="47"/>
      <c r="Y46" s="47"/>
      <c r="Z46" s="47"/>
      <c r="AA46" s="47"/>
    </row>
    <row r="47" spans="1:27" ht="16.5" thickBot="1" x14ac:dyDescent="0.25">
      <c r="A47" s="23"/>
      <c r="B47" s="328"/>
      <c r="C47" s="328"/>
      <c r="D47" s="328"/>
      <c r="E47" s="328"/>
      <c r="F47" s="328"/>
      <c r="G47" s="328"/>
      <c r="H47" s="330"/>
      <c r="I47" s="339"/>
      <c r="J47" s="340"/>
      <c r="K47" s="334"/>
      <c r="L47" s="341"/>
      <c r="M47" s="340"/>
      <c r="N47" s="340"/>
      <c r="O47" s="334"/>
      <c r="P47" s="342"/>
      <c r="Q47" s="316"/>
      <c r="R47" s="317"/>
      <c r="S47" s="316"/>
      <c r="T47" s="197"/>
      <c r="U47" s="51"/>
      <c r="V47" s="47"/>
      <c r="W47" s="47"/>
      <c r="X47" s="47"/>
      <c r="Y47" s="47"/>
      <c r="Z47" s="47"/>
      <c r="AA47" s="47"/>
    </row>
    <row r="48" spans="1:27" ht="16.5" thickBot="1" x14ac:dyDescent="0.25">
      <c r="A48" s="23"/>
      <c r="B48" s="328"/>
      <c r="C48" s="330"/>
      <c r="D48" s="330"/>
      <c r="E48" s="330"/>
      <c r="F48" s="330"/>
      <c r="G48" s="330"/>
      <c r="H48" s="330"/>
      <c r="I48" s="330"/>
      <c r="J48" s="331"/>
      <c r="K48" s="332"/>
      <c r="L48" s="332"/>
      <c r="M48" s="332"/>
      <c r="N48" s="332"/>
      <c r="O48" s="332"/>
      <c r="P48" s="332"/>
      <c r="Q48" s="314"/>
      <c r="R48" s="315"/>
      <c r="S48" s="314"/>
      <c r="T48" s="146"/>
      <c r="U48" s="51"/>
      <c r="V48" s="47"/>
      <c r="W48" s="47"/>
      <c r="X48" s="47"/>
      <c r="Y48" s="47"/>
      <c r="Z48" s="47"/>
      <c r="AA48" s="47"/>
    </row>
    <row r="49" spans="1:27" ht="15.75" x14ac:dyDescent="0.2">
      <c r="A49" s="23"/>
      <c r="B49" s="343"/>
      <c r="C49" s="344"/>
      <c r="D49" s="344"/>
      <c r="E49" s="344"/>
      <c r="F49" s="344"/>
      <c r="G49" s="344"/>
      <c r="H49" s="344"/>
      <c r="I49" s="344"/>
      <c r="J49" s="345"/>
      <c r="K49" s="346"/>
      <c r="L49" s="346"/>
      <c r="M49" s="346"/>
      <c r="N49" s="346"/>
      <c r="O49" s="346"/>
      <c r="P49" s="346"/>
      <c r="Q49" s="318"/>
      <c r="R49" s="319"/>
      <c r="S49" s="318"/>
      <c r="T49" s="161"/>
      <c r="U49" s="51"/>
      <c r="V49" s="47"/>
      <c r="W49" s="47"/>
      <c r="X49" s="47"/>
      <c r="Y49" s="47"/>
      <c r="Z49" s="47"/>
      <c r="AA49" s="47"/>
    </row>
    <row r="50" spans="1:27" ht="16.5" thickBot="1" x14ac:dyDescent="0.3">
      <c r="A50" s="23"/>
      <c r="B50" s="347"/>
      <c r="C50" s="329" t="s">
        <v>1037</v>
      </c>
      <c r="D50" s="348"/>
      <c r="E50" s="348"/>
      <c r="F50" s="348"/>
      <c r="G50" s="348"/>
      <c r="H50" s="330"/>
      <c r="I50" s="330"/>
      <c r="J50" s="331"/>
      <c r="K50" s="332"/>
      <c r="L50" s="332"/>
      <c r="M50" s="332"/>
      <c r="N50" s="332"/>
      <c r="O50" s="332"/>
      <c r="P50" s="332"/>
      <c r="Q50" s="314"/>
      <c r="R50" s="315"/>
      <c r="S50" s="314"/>
      <c r="T50" s="162"/>
      <c r="U50" s="51"/>
    </row>
    <row r="51" spans="1:27" ht="16.5" thickBot="1" x14ac:dyDescent="0.25">
      <c r="A51" s="23"/>
      <c r="B51" s="347"/>
      <c r="C51" s="349" t="s">
        <v>621</v>
      </c>
      <c r="D51" s="348"/>
      <c r="E51" s="348"/>
      <c r="F51" s="348"/>
      <c r="G51" s="348"/>
      <c r="H51" s="330"/>
      <c r="I51" s="330"/>
      <c r="J51" s="890" cm="1">
        <f t="array" ref="J51">INDEX(DataSheet2!$A$8:$DW$317,'Part 1'!$F$1,31)</f>
        <v>-56123087</v>
      </c>
      <c r="K51" s="891"/>
      <c r="L51" s="332"/>
      <c r="M51" s="332"/>
      <c r="N51" s="890" cm="1">
        <f t="array" ref="N51">INDEX(DataSheet2!$A$8:$DW$317,'Part 1'!$F$1,32)</f>
        <v>-1643410</v>
      </c>
      <c r="O51" s="891"/>
      <c r="P51" s="332"/>
      <c r="Q51" s="314"/>
      <c r="R51" s="877" cm="1">
        <f t="array" ref="R51">INDEX(DataSheet2!$A$8:$DW$317,'Part 1'!$F$1,33)</f>
        <v>-57766497</v>
      </c>
      <c r="S51" s="878"/>
      <c r="T51" s="162"/>
      <c r="U51" s="51"/>
    </row>
    <row r="52" spans="1:27" ht="16.5" thickBot="1" x14ac:dyDescent="0.3">
      <c r="A52" s="23"/>
      <c r="B52" s="350"/>
      <c r="C52" s="351"/>
      <c r="D52" s="352"/>
      <c r="E52" s="352"/>
      <c r="F52" s="352"/>
      <c r="G52" s="352"/>
      <c r="H52" s="352"/>
      <c r="I52" s="352"/>
      <c r="J52" s="353"/>
      <c r="K52" s="354"/>
      <c r="L52" s="354"/>
      <c r="M52" s="354"/>
      <c r="N52" s="354"/>
      <c r="O52" s="354"/>
      <c r="P52" s="354"/>
      <c r="Q52" s="320"/>
      <c r="R52" s="321"/>
      <c r="S52" s="320"/>
      <c r="T52" s="163"/>
      <c r="U52" s="51"/>
    </row>
    <row r="53" spans="1:27" ht="15" x14ac:dyDescent="0.2">
      <c r="A53" s="23"/>
      <c r="B53" s="2"/>
      <c r="C53" s="2"/>
      <c r="D53" s="2"/>
      <c r="E53" s="2"/>
      <c r="F53" s="2"/>
      <c r="G53" s="2"/>
      <c r="H53" s="2"/>
      <c r="I53" s="2"/>
      <c r="J53" s="2"/>
      <c r="K53" s="2"/>
      <c r="L53" s="2"/>
      <c r="M53" s="27"/>
      <c r="N53" s="2"/>
      <c r="O53" s="2"/>
      <c r="P53" s="2"/>
      <c r="Q53" s="146"/>
      <c r="R53" s="146"/>
      <c r="S53" s="146"/>
      <c r="T53" s="146"/>
      <c r="U53" s="51"/>
    </row>
    <row r="54" spans="1:27" ht="15.75" customHeight="1" x14ac:dyDescent="0.25">
      <c r="A54" s="74"/>
      <c r="B54" s="57"/>
      <c r="C54" s="16" t="s">
        <v>777</v>
      </c>
      <c r="D54" s="16"/>
      <c r="E54" s="16"/>
      <c r="F54" s="16"/>
      <c r="G54" s="16"/>
      <c r="H54" s="16"/>
      <c r="I54" s="57"/>
      <c r="J54" s="57"/>
      <c r="K54" s="57"/>
      <c r="L54" s="57"/>
      <c r="M54" s="27"/>
      <c r="N54" s="57"/>
      <c r="O54" s="57"/>
      <c r="P54" s="57"/>
      <c r="Q54" s="141"/>
      <c r="R54" s="141"/>
      <c r="S54" s="141"/>
      <c r="T54" s="146"/>
      <c r="U54" s="51"/>
    </row>
    <row r="55" spans="1:27" ht="15" x14ac:dyDescent="0.2">
      <c r="A55" s="23"/>
      <c r="B55" s="2"/>
      <c r="C55" s="10"/>
      <c r="D55" s="27"/>
      <c r="E55" s="27"/>
      <c r="F55" s="27"/>
      <c r="G55" s="27"/>
      <c r="H55" s="27"/>
      <c r="I55" s="27"/>
      <c r="J55" s="57"/>
      <c r="K55" s="57"/>
      <c r="L55" s="57"/>
      <c r="M55" s="27"/>
      <c r="N55" s="57"/>
      <c r="O55" s="57"/>
      <c r="P55" s="57"/>
      <c r="Q55" s="141"/>
      <c r="R55" s="141"/>
      <c r="S55" s="141"/>
      <c r="T55" s="146"/>
      <c r="U55" s="51"/>
    </row>
    <row r="56" spans="1:27" ht="16.5" thickBot="1" x14ac:dyDescent="0.3">
      <c r="A56" s="23"/>
      <c r="B56" s="2"/>
      <c r="C56" s="13" t="s">
        <v>589</v>
      </c>
      <c r="D56" s="10"/>
      <c r="E56" s="10"/>
      <c r="F56" s="10"/>
      <c r="G56" s="10"/>
      <c r="H56" s="27"/>
      <c r="I56" s="27"/>
      <c r="J56" s="57"/>
      <c r="K56" s="57"/>
      <c r="L56" s="57"/>
      <c r="M56" s="27"/>
      <c r="N56" s="57"/>
      <c r="O56" s="57"/>
      <c r="P56" s="57"/>
      <c r="Q56" s="141"/>
      <c r="R56" s="141"/>
      <c r="S56" s="141"/>
      <c r="T56" s="146"/>
      <c r="U56" s="51"/>
    </row>
    <row r="57" spans="1:27" ht="16.5" thickBot="1" x14ac:dyDescent="0.25">
      <c r="A57" s="23"/>
      <c r="B57" s="2"/>
      <c r="C57" s="10" t="s">
        <v>1064</v>
      </c>
      <c r="D57" s="10"/>
      <c r="E57" s="10"/>
      <c r="F57" s="10"/>
      <c r="G57" s="10"/>
      <c r="H57" s="27"/>
      <c r="I57" s="27"/>
      <c r="J57" s="827" cm="1">
        <f t="array" ref="J57">INDEX(DataSheet2!$A$8:$DW$317,'Part 1'!$F$1,34)</f>
        <v>-2095383115</v>
      </c>
      <c r="K57" s="828"/>
      <c r="L57" s="57"/>
      <c r="M57" s="27"/>
      <c r="N57" s="827" cm="1">
        <f t="array" ref="N57">INDEX(DataSheet2!$A$8:$DW$317,'Part 1'!$F$1,35)</f>
        <v>-7969356</v>
      </c>
      <c r="O57" s="828"/>
      <c r="P57" s="57"/>
      <c r="Q57" s="141"/>
      <c r="R57" s="879" cm="1">
        <f t="array" ref="R57">INDEX(DataSheet2!$A$8:$DW$317,'Part 1'!$F$1,36)</f>
        <v>-2103352471</v>
      </c>
      <c r="S57" s="880"/>
      <c r="T57" s="146"/>
      <c r="U57" s="51"/>
    </row>
    <row r="58" spans="1:27" ht="16.5" thickBot="1" x14ac:dyDescent="0.3">
      <c r="A58" s="23"/>
      <c r="B58" s="2"/>
      <c r="C58" s="10"/>
      <c r="D58" s="10"/>
      <c r="E58" s="10"/>
      <c r="F58" s="10"/>
      <c r="G58" s="10"/>
      <c r="H58" s="27"/>
      <c r="I58" s="27"/>
      <c r="J58" s="283"/>
      <c r="K58" s="278"/>
      <c r="L58" s="278"/>
      <c r="M58" s="155"/>
      <c r="N58" s="283"/>
      <c r="O58" s="278"/>
      <c r="P58" s="278"/>
      <c r="Q58" s="279"/>
      <c r="R58" s="279"/>
      <c r="S58" s="279"/>
      <c r="T58" s="146"/>
      <c r="U58" s="51"/>
    </row>
    <row r="59" spans="1:27" ht="16.5" thickBot="1" x14ac:dyDescent="0.25">
      <c r="A59" s="23"/>
      <c r="B59" s="2"/>
      <c r="C59" s="859" t="s">
        <v>611</v>
      </c>
      <c r="D59" s="859"/>
      <c r="E59" s="859"/>
      <c r="F59" s="859"/>
      <c r="G59" s="859"/>
      <c r="H59" s="27"/>
      <c r="I59" s="27"/>
      <c r="J59" s="827" cm="1">
        <f t="array" ref="J59">INDEX(DataSheet2!$A$8:$DW$317,'Part 1'!$F$1,37)</f>
        <v>-3529927</v>
      </c>
      <c r="K59" s="828"/>
      <c r="L59" s="57"/>
      <c r="M59" s="27"/>
      <c r="N59" s="827" cm="1">
        <f t="array" ref="N59">INDEX(DataSheet2!$A$8:$DW$317,'Part 1'!$F$1,38)</f>
        <v>-39103</v>
      </c>
      <c r="O59" s="828"/>
      <c r="P59" s="57"/>
      <c r="Q59" s="141"/>
      <c r="R59" s="879" cm="1">
        <f t="array" ref="R59">INDEX(DataSheet2!$A$8:$DW$317,'Part 1'!$F$1,39)</f>
        <v>-3569030</v>
      </c>
      <c r="S59" s="880"/>
      <c r="T59" s="146"/>
      <c r="U59" s="51"/>
    </row>
    <row r="60" spans="1:27" ht="15.75" x14ac:dyDescent="0.2">
      <c r="A60" s="23"/>
      <c r="B60" s="2"/>
      <c r="C60" s="859"/>
      <c r="D60" s="859"/>
      <c r="E60" s="859"/>
      <c r="F60" s="859"/>
      <c r="G60" s="859"/>
      <c r="H60" s="27"/>
      <c r="I60" s="27"/>
      <c r="J60" s="282"/>
      <c r="K60" s="281"/>
      <c r="L60" s="281"/>
      <c r="M60" s="281"/>
      <c r="N60" s="282"/>
      <c r="O60" s="281"/>
      <c r="P60" s="57"/>
      <c r="Q60" s="141"/>
      <c r="R60" s="280"/>
      <c r="S60" s="141"/>
      <c r="T60" s="146"/>
      <c r="U60" s="51"/>
    </row>
    <row r="61" spans="1:27" ht="16.5" thickBot="1" x14ac:dyDescent="0.25">
      <c r="A61" s="23"/>
      <c r="B61" s="2"/>
      <c r="C61" s="10"/>
      <c r="D61" s="10"/>
      <c r="E61" s="10"/>
      <c r="F61" s="10"/>
      <c r="G61" s="10"/>
      <c r="H61" s="27"/>
      <c r="I61" s="27"/>
      <c r="J61" s="58"/>
      <c r="K61" s="57"/>
      <c r="L61" s="57"/>
      <c r="M61" s="27"/>
      <c r="N61" s="58"/>
      <c r="O61" s="57"/>
      <c r="P61" s="57"/>
      <c r="Q61" s="141"/>
      <c r="R61" s="243"/>
      <c r="S61" s="141"/>
      <c r="T61" s="146"/>
      <c r="U61" s="51"/>
    </row>
    <row r="62" spans="1:27" ht="16.5" thickBot="1" x14ac:dyDescent="0.25">
      <c r="A62" s="23"/>
      <c r="B62" s="2"/>
      <c r="C62" s="859" t="s">
        <v>769</v>
      </c>
      <c r="D62" s="859"/>
      <c r="E62" s="859"/>
      <c r="F62" s="859"/>
      <c r="G62" s="859"/>
      <c r="H62" s="27"/>
      <c r="I62" s="27"/>
      <c r="J62" s="827" cm="1">
        <f t="array" ref="J62">INDEX(DataSheet2!$A$8:$DW$317,'Part 1'!$F$1,40)</f>
        <v>625314653</v>
      </c>
      <c r="K62" s="828"/>
      <c r="L62" s="57"/>
      <c r="M62" s="27"/>
      <c r="N62" s="827" cm="1">
        <f t="array" ref="N62">INDEX(DataSheet2!$A$8:$DW$317,'Part 1'!$F$1,41)</f>
        <v>7645253</v>
      </c>
      <c r="O62" s="828"/>
      <c r="P62" s="57"/>
      <c r="Q62" s="141"/>
      <c r="R62" s="879" cm="1">
        <f t="array" ref="R62">INDEX(DataSheet2!$A$8:$DW$317,'Part 1'!$F$1,42)</f>
        <v>632959906</v>
      </c>
      <c r="S62" s="880"/>
      <c r="T62" s="146"/>
      <c r="U62" s="51"/>
    </row>
    <row r="63" spans="1:27" ht="15.75" customHeight="1" x14ac:dyDescent="0.2">
      <c r="A63" s="23"/>
      <c r="B63" s="2"/>
      <c r="C63" s="897"/>
      <c r="D63" s="897"/>
      <c r="E63" s="897"/>
      <c r="F63" s="897"/>
      <c r="G63" s="897"/>
      <c r="H63" s="27"/>
      <c r="I63" s="27"/>
      <c r="J63" s="58"/>
      <c r="K63" s="57"/>
      <c r="L63" s="57"/>
      <c r="M63" s="27"/>
      <c r="N63" s="58"/>
      <c r="O63" s="57"/>
      <c r="P63" s="57"/>
      <c r="Q63" s="141"/>
      <c r="R63" s="243"/>
      <c r="S63" s="141"/>
      <c r="T63" s="146"/>
      <c r="U63" s="51"/>
    </row>
    <row r="64" spans="1:27" ht="16.5" thickBot="1" x14ac:dyDescent="0.25">
      <c r="A64" s="23"/>
      <c r="B64" s="2"/>
      <c r="C64" s="275"/>
      <c r="D64" s="275"/>
      <c r="E64" s="275"/>
      <c r="F64" s="275"/>
      <c r="G64" s="275"/>
      <c r="H64" s="27"/>
      <c r="I64" s="27"/>
      <c r="J64" s="58"/>
      <c r="K64" s="57"/>
      <c r="L64" s="57"/>
      <c r="M64" s="27"/>
      <c r="N64" s="58"/>
      <c r="O64" s="57"/>
      <c r="P64" s="57"/>
      <c r="Q64" s="141"/>
      <c r="R64" s="243"/>
      <c r="S64" s="141"/>
      <c r="T64" s="146"/>
      <c r="U64" s="51"/>
    </row>
    <row r="65" spans="1:21" ht="16.5" thickBot="1" x14ac:dyDescent="0.25">
      <c r="A65" s="23"/>
      <c r="B65" s="2"/>
      <c r="C65" s="10" t="s">
        <v>791</v>
      </c>
      <c r="D65" s="10"/>
      <c r="E65" s="10"/>
      <c r="F65" s="10"/>
      <c r="G65" s="10"/>
      <c r="H65" s="27"/>
      <c r="I65" s="27"/>
      <c r="J65" s="888" cm="1">
        <f t="array" ref="J65">INDEX(DataSheet2!$A$8:$DW$317,'Part 1'!$F$1,43)</f>
        <v>-1470068465</v>
      </c>
      <c r="K65" s="889"/>
      <c r="L65" s="57"/>
      <c r="M65" s="27"/>
      <c r="N65" s="888" cm="1">
        <f t="array" ref="N65">INDEX(DataSheet2!$A$8:$DW$317,'Part 1'!$F$1,44)</f>
        <v>-324103</v>
      </c>
      <c r="O65" s="889"/>
      <c r="P65" s="57"/>
      <c r="Q65" s="141"/>
      <c r="R65" s="879" cm="1">
        <f t="array" ref="R65">INDEX(DataSheet2!$A$8:$DW$317,'Part 1'!$F$1,45)</f>
        <v>-1470392568</v>
      </c>
      <c r="S65" s="880"/>
      <c r="T65" s="146"/>
      <c r="U65" s="51"/>
    </row>
    <row r="66" spans="1:21" ht="15" x14ac:dyDescent="0.2">
      <c r="A66" s="23"/>
      <c r="B66" s="2"/>
      <c r="C66" s="10"/>
      <c r="D66" s="10"/>
      <c r="E66" s="10"/>
      <c r="F66" s="10"/>
      <c r="G66" s="10"/>
      <c r="H66" s="27"/>
      <c r="I66" s="27"/>
      <c r="J66" s="57"/>
      <c r="K66" s="57"/>
      <c r="L66" s="57"/>
      <c r="M66" s="27"/>
      <c r="N66" s="57"/>
      <c r="O66" s="57"/>
      <c r="P66" s="57"/>
      <c r="Q66" s="141"/>
      <c r="R66" s="141"/>
      <c r="S66" s="141"/>
      <c r="T66" s="146"/>
      <c r="U66" s="51"/>
    </row>
    <row r="67" spans="1:21" ht="16.5" thickBot="1" x14ac:dyDescent="0.3">
      <c r="A67" s="23"/>
      <c r="B67" s="2"/>
      <c r="C67" s="13" t="s">
        <v>607</v>
      </c>
      <c r="D67" s="10"/>
      <c r="E67" s="10"/>
      <c r="F67" s="10"/>
      <c r="G67" s="10"/>
      <c r="H67" s="27"/>
      <c r="I67" s="27"/>
      <c r="J67" s="57"/>
      <c r="K67" s="57"/>
      <c r="L67" s="57"/>
      <c r="M67" s="27"/>
      <c r="N67" s="57"/>
      <c r="O67" s="57"/>
      <c r="P67" s="57"/>
      <c r="Q67" s="141"/>
      <c r="R67" s="141"/>
      <c r="S67" s="141"/>
      <c r="T67" s="146"/>
      <c r="U67" s="51"/>
    </row>
    <row r="68" spans="1:21" ht="16.5" thickBot="1" x14ac:dyDescent="0.25">
      <c r="A68" s="23"/>
      <c r="B68" s="2"/>
      <c r="C68" s="10" t="s">
        <v>1065</v>
      </c>
      <c r="D68" s="10"/>
      <c r="E68" s="10"/>
      <c r="F68" s="10"/>
      <c r="G68" s="10"/>
      <c r="H68" s="27"/>
      <c r="I68" s="27"/>
      <c r="J68" s="827" cm="1">
        <f t="array" ref="J68">INDEX(DataSheet2!$A$8:$DW$317,'Part 1'!$F$1,46)</f>
        <v>-2004581412</v>
      </c>
      <c r="K68" s="828"/>
      <c r="L68" s="57"/>
      <c r="M68" s="27"/>
      <c r="N68" s="827" cm="1">
        <f t="array" ref="N68">INDEX(DataSheet2!$A$8:$DW$317,'Part 1'!$F$1,47)</f>
        <v>-10124080</v>
      </c>
      <c r="O68" s="828"/>
      <c r="P68" s="57"/>
      <c r="Q68" s="141"/>
      <c r="R68" s="879" cm="1">
        <f t="array" ref="R68">INDEX(DataSheet2!$A$8:$DW$317,'Part 1'!$F$1,48)</f>
        <v>-2014705492</v>
      </c>
      <c r="S68" s="880"/>
      <c r="T68" s="146"/>
      <c r="U68" s="51"/>
    </row>
    <row r="69" spans="1:21" ht="15" x14ac:dyDescent="0.2">
      <c r="A69" s="23"/>
      <c r="B69" s="2"/>
      <c r="C69" s="10"/>
      <c r="D69" s="10"/>
      <c r="E69" s="10"/>
      <c r="F69" s="10"/>
      <c r="G69" s="10"/>
      <c r="H69" s="27"/>
      <c r="I69" s="27"/>
      <c r="J69" s="57"/>
      <c r="K69" s="57"/>
      <c r="L69" s="57"/>
      <c r="M69" s="27"/>
      <c r="N69" s="57"/>
      <c r="O69" s="57"/>
      <c r="P69" s="57"/>
      <c r="Q69" s="141"/>
      <c r="R69" s="141"/>
      <c r="S69" s="141"/>
      <c r="T69" s="146"/>
      <c r="U69" s="51"/>
    </row>
    <row r="70" spans="1:21" ht="16.5" thickBot="1" x14ac:dyDescent="0.3">
      <c r="A70" s="23"/>
      <c r="B70" s="2"/>
      <c r="C70" s="13" t="s">
        <v>590</v>
      </c>
      <c r="D70" s="10"/>
      <c r="E70" s="10"/>
      <c r="F70" s="10"/>
      <c r="G70" s="10"/>
      <c r="H70" s="27"/>
      <c r="I70" s="27"/>
      <c r="J70" s="57"/>
      <c r="K70" s="57"/>
      <c r="L70" s="57"/>
      <c r="M70" s="27"/>
      <c r="N70" s="57"/>
      <c r="O70" s="57"/>
      <c r="P70" s="57"/>
      <c r="Q70" s="141"/>
      <c r="R70" s="141"/>
      <c r="S70" s="141"/>
      <c r="T70" s="146"/>
      <c r="U70" s="51"/>
    </row>
    <row r="71" spans="1:21" ht="16.5" thickBot="1" x14ac:dyDescent="0.25">
      <c r="A71" s="23"/>
      <c r="B71" s="2"/>
      <c r="C71" s="10" t="s">
        <v>1066</v>
      </c>
      <c r="D71" s="10"/>
      <c r="E71" s="10"/>
      <c r="F71" s="10"/>
      <c r="G71" s="10"/>
      <c r="H71" s="27"/>
      <c r="I71" s="27"/>
      <c r="J71" s="827" cm="1">
        <f t="array" ref="J71">INDEX(DataSheet2!$A$8:$DW$317,'Part 1'!$F$1,49)</f>
        <v>-20754802</v>
      </c>
      <c r="K71" s="828"/>
      <c r="L71" s="57"/>
      <c r="M71" s="27"/>
      <c r="N71" s="827" cm="1">
        <f t="array" ref="N71">INDEX(DataSheet2!$A$8:$DW$317,'Part 1'!$F$1,50)</f>
        <v>-18432</v>
      </c>
      <c r="O71" s="828"/>
      <c r="P71" s="57"/>
      <c r="Q71" s="141"/>
      <c r="R71" s="879" cm="1">
        <f t="array" ref="R71">INDEX(DataSheet2!$A$8:$DW$317,'Part 1'!$F$1,51)</f>
        <v>-20773234</v>
      </c>
      <c r="S71" s="880"/>
      <c r="T71" s="146"/>
      <c r="U71" s="51"/>
    </row>
    <row r="72" spans="1:21" ht="15.75" x14ac:dyDescent="0.2">
      <c r="A72" s="23"/>
      <c r="B72" s="2"/>
      <c r="C72" s="27"/>
      <c r="D72" s="27"/>
      <c r="E72" s="27"/>
      <c r="F72" s="27"/>
      <c r="G72" s="27"/>
      <c r="H72" s="27"/>
      <c r="I72" s="27"/>
      <c r="J72" s="58"/>
      <c r="K72" s="57"/>
      <c r="L72" s="57"/>
      <c r="M72" s="27"/>
      <c r="N72" s="58"/>
      <c r="O72" s="57"/>
      <c r="P72" s="57"/>
      <c r="Q72" s="141"/>
      <c r="R72" s="455"/>
      <c r="S72" s="141"/>
      <c r="T72" s="146"/>
      <c r="U72" s="51"/>
    </row>
    <row r="73" spans="1:21" ht="16.5" thickBot="1" x14ac:dyDescent="0.3">
      <c r="A73" s="23"/>
      <c r="B73" s="2"/>
      <c r="C73" s="26" t="s">
        <v>609</v>
      </c>
      <c r="D73" s="27"/>
      <c r="E73" s="27"/>
      <c r="F73" s="27"/>
      <c r="G73" s="27"/>
      <c r="H73" s="27"/>
      <c r="I73" s="27"/>
      <c r="J73" s="57"/>
      <c r="K73" s="57"/>
      <c r="L73" s="57"/>
      <c r="M73" s="27"/>
      <c r="N73" s="57"/>
      <c r="O73" s="57"/>
      <c r="P73" s="57"/>
      <c r="Q73" s="141"/>
      <c r="R73" s="141"/>
      <c r="S73" s="141"/>
      <c r="T73" s="146"/>
      <c r="U73" s="51"/>
    </row>
    <row r="74" spans="1:21" ht="16.5" thickBot="1" x14ac:dyDescent="0.25">
      <c r="A74" s="23"/>
      <c r="B74" s="2"/>
      <c r="C74" s="10" t="s">
        <v>1067</v>
      </c>
      <c r="D74" s="27"/>
      <c r="E74" s="27"/>
      <c r="F74" s="27"/>
      <c r="G74" s="27"/>
      <c r="H74" s="27"/>
      <c r="I74" s="27"/>
      <c r="J74" s="827" cm="1">
        <f t="array" ref="J74">INDEX(DataSheet2!$A$8:$DW$317,'Part 1'!$F$1,52)</f>
        <v>-4080417</v>
      </c>
      <c r="K74" s="828"/>
      <c r="L74" s="57"/>
      <c r="M74" s="27"/>
      <c r="N74" s="827" cm="1">
        <f t="array" ref="N74">INDEX(DataSheet2!$A$8:$DW$317,'Part 1'!$F$1,53)</f>
        <v>0</v>
      </c>
      <c r="O74" s="828"/>
      <c r="P74" s="57"/>
      <c r="Q74" s="141"/>
      <c r="R74" s="879" cm="1">
        <f t="array" ref="R74">INDEX(DataSheet2!$A$8:$DW$317,'Part 1'!$F$1,54)</f>
        <v>-4080417</v>
      </c>
      <c r="S74" s="880"/>
      <c r="T74" s="146"/>
      <c r="U74" s="51"/>
    </row>
    <row r="75" spans="1:21" s="528" customFormat="1" ht="15.75" x14ac:dyDescent="0.2">
      <c r="A75" s="23"/>
      <c r="B75" s="2"/>
      <c r="C75" s="10"/>
      <c r="D75" s="27"/>
      <c r="E75" s="27"/>
      <c r="F75" s="27"/>
      <c r="G75" s="27"/>
      <c r="H75" s="27"/>
      <c r="I75" s="27"/>
      <c r="J75" s="540"/>
      <c r="K75" s="540"/>
      <c r="L75" s="541"/>
      <c r="M75" s="542"/>
      <c r="N75" s="540"/>
      <c r="O75" s="540"/>
      <c r="P75" s="541"/>
      <c r="Q75" s="314"/>
      <c r="R75" s="315"/>
      <c r="S75" s="314"/>
      <c r="T75" s="146"/>
      <c r="U75" s="51"/>
    </row>
    <row r="76" spans="1:21" s="238" customFormat="1" ht="16.5" customHeight="1" thickBot="1" x14ac:dyDescent="0.3">
      <c r="A76" s="457"/>
      <c r="B76" s="310"/>
      <c r="C76" s="327" t="s">
        <v>1142</v>
      </c>
      <c r="D76" s="467"/>
      <c r="E76" s="467"/>
      <c r="F76" s="467"/>
      <c r="G76" s="467"/>
      <c r="H76" s="466"/>
      <c r="I76" s="309"/>
      <c r="J76" s="355"/>
      <c r="K76" s="355"/>
      <c r="L76" s="458"/>
      <c r="M76" s="309"/>
      <c r="N76" s="309"/>
      <c r="O76" s="309"/>
      <c r="P76" s="355"/>
      <c r="Q76" s="141"/>
      <c r="R76" s="468"/>
      <c r="S76" s="141"/>
      <c r="T76" s="146"/>
      <c r="U76" s="471"/>
    </row>
    <row r="77" spans="1:21" s="238" customFormat="1" ht="16.5" customHeight="1" thickBot="1" x14ac:dyDescent="0.25">
      <c r="A77" s="457"/>
      <c r="B77" s="310"/>
      <c r="C77" s="925" t="s">
        <v>1068</v>
      </c>
      <c r="D77" s="926"/>
      <c r="E77" s="926"/>
      <c r="F77" s="926"/>
      <c r="G77" s="926"/>
      <c r="H77" s="466"/>
      <c r="I77" s="309"/>
      <c r="J77" s="912" cm="1">
        <f t="array" ref="J77">INDEX(DataSheet2!$A$8:$DW$317,'Part 1'!$F$1,55)</f>
        <v>-74650</v>
      </c>
      <c r="K77" s="913"/>
      <c r="L77" s="458"/>
      <c r="M77" s="309"/>
      <c r="N77" s="918" cm="1">
        <f t="array" ref="N77">INDEX(DataSheet2!$A$8:$DW$317,'Part 1'!$F$1,56)</f>
        <v>0</v>
      </c>
      <c r="O77" s="919"/>
      <c r="P77" s="355"/>
      <c r="Q77" s="141"/>
      <c r="R77" s="879" cm="1">
        <f t="array" ref="R77">INDEX(DataSheet2!$A$8:$DW$317,'Part 1'!$F$1,57)</f>
        <v>-74650</v>
      </c>
      <c r="S77" s="880"/>
      <c r="T77" s="146"/>
      <c r="U77" s="471"/>
    </row>
    <row r="78" spans="1:21" s="238" customFormat="1" ht="16.5" customHeight="1" x14ac:dyDescent="0.2">
      <c r="A78" s="457"/>
      <c r="B78" s="310"/>
      <c r="C78" s="10"/>
      <c r="D78" s="27"/>
      <c r="E78" s="27"/>
      <c r="F78" s="27"/>
      <c r="G78" s="27"/>
      <c r="H78" s="27"/>
      <c r="I78" s="27"/>
      <c r="J78" s="540"/>
      <c r="K78" s="540"/>
      <c r="L78" s="541"/>
      <c r="M78" s="542"/>
      <c r="N78" s="540"/>
      <c r="O78" s="540"/>
      <c r="P78" s="541"/>
      <c r="Q78" s="314"/>
      <c r="R78" s="315"/>
      <c r="S78" s="314"/>
      <c r="T78" s="146"/>
      <c r="U78" s="471"/>
    </row>
    <row r="79" spans="1:21" ht="16.5" thickBot="1" x14ac:dyDescent="0.25">
      <c r="A79" s="23"/>
      <c r="B79" s="2"/>
      <c r="C79" s="27"/>
      <c r="D79" s="27"/>
      <c r="E79" s="27"/>
      <c r="F79" s="27"/>
      <c r="G79" s="27"/>
      <c r="H79" s="27"/>
      <c r="I79" s="27"/>
      <c r="J79" s="58"/>
      <c r="K79" s="57"/>
      <c r="L79" s="57"/>
      <c r="M79" s="57"/>
      <c r="N79" s="58"/>
      <c r="O79" s="57"/>
      <c r="P79" s="57"/>
      <c r="Q79" s="141"/>
      <c r="R79" s="267"/>
      <c r="S79" s="141"/>
      <c r="T79" s="146"/>
      <c r="U79" s="51"/>
    </row>
    <row r="80" spans="1:21" ht="16.5" thickBot="1" x14ac:dyDescent="0.25">
      <c r="A80" s="23"/>
      <c r="B80" s="4"/>
      <c r="C80" s="53"/>
      <c r="D80" s="53"/>
      <c r="E80" s="53"/>
      <c r="F80" s="53"/>
      <c r="G80" s="53"/>
      <c r="H80" s="53"/>
      <c r="I80" s="53"/>
      <c r="J80" s="60"/>
      <c r="K80" s="61"/>
      <c r="L80" s="61"/>
      <c r="M80" s="61"/>
      <c r="N80" s="60"/>
      <c r="O80" s="61"/>
      <c r="P80" s="61"/>
      <c r="Q80" s="148"/>
      <c r="R80" s="147"/>
      <c r="S80" s="148"/>
      <c r="T80" s="164"/>
      <c r="U80" s="51"/>
    </row>
    <row r="81" spans="1:21" ht="16.5" thickBot="1" x14ac:dyDescent="0.25">
      <c r="A81" s="23"/>
      <c r="B81" s="5"/>
      <c r="C81" s="27"/>
      <c r="D81" s="27"/>
      <c r="E81" s="27"/>
      <c r="F81" s="27"/>
      <c r="G81" s="27"/>
      <c r="H81" s="27"/>
      <c r="I81" s="184"/>
      <c r="J81" s="198"/>
      <c r="K81" s="185"/>
      <c r="L81" s="186"/>
      <c r="M81" s="185"/>
      <c r="N81" s="198"/>
      <c r="O81" s="185"/>
      <c r="P81" s="186"/>
      <c r="Q81" s="187"/>
      <c r="R81" s="199"/>
      <c r="S81" s="187"/>
      <c r="T81" s="188"/>
      <c r="U81" s="51"/>
    </row>
    <row r="82" spans="1:21" ht="16.5" thickBot="1" x14ac:dyDescent="0.25">
      <c r="A82" s="23"/>
      <c r="B82" s="5"/>
      <c r="C82" s="845" t="s">
        <v>1132</v>
      </c>
      <c r="D82" s="845"/>
      <c r="E82" s="845"/>
      <c r="F82" s="845"/>
      <c r="G82" s="845"/>
      <c r="H82" s="27"/>
      <c r="I82" s="189"/>
      <c r="J82" s="888" cm="1">
        <f t="array" ref="J82">INDEX(DataSheet2!$A$8:$DW$317,'Part 1'!$F$1,58)</f>
        <v>-3499559744</v>
      </c>
      <c r="K82" s="898"/>
      <c r="L82" s="59"/>
      <c r="M82" s="27"/>
      <c r="N82" s="888" cm="1">
        <f t="array" ref="N82">INDEX(DataSheet2!$A$8:$DW$317,'Part 1'!$F$1,59)</f>
        <v>-10466615</v>
      </c>
      <c r="O82" s="898"/>
      <c r="P82" s="59"/>
      <c r="Q82" s="141"/>
      <c r="R82" s="141"/>
      <c r="S82" s="141"/>
      <c r="T82" s="190"/>
      <c r="U82" s="51"/>
    </row>
    <row r="83" spans="1:21" ht="15.75" x14ac:dyDescent="0.2">
      <c r="A83" s="23"/>
      <c r="B83" s="5"/>
      <c r="C83" s="845"/>
      <c r="D83" s="845"/>
      <c r="E83" s="845"/>
      <c r="F83" s="845"/>
      <c r="G83" s="845"/>
      <c r="H83" s="27"/>
      <c r="I83" s="189"/>
      <c r="J83" s="58"/>
      <c r="K83" s="57"/>
      <c r="L83" s="59"/>
      <c r="M83" s="27"/>
      <c r="N83" s="58"/>
      <c r="O83" s="57"/>
      <c r="P83" s="59"/>
      <c r="Q83" s="141"/>
      <c r="R83" s="141"/>
      <c r="S83" s="141"/>
      <c r="T83" s="190"/>
      <c r="U83" s="51"/>
    </row>
    <row r="84" spans="1:21" ht="16.5" thickBot="1" x14ac:dyDescent="0.25">
      <c r="A84" s="23"/>
      <c r="B84" s="5"/>
      <c r="C84" s="27"/>
      <c r="D84" s="27"/>
      <c r="E84" s="27"/>
      <c r="F84" s="27"/>
      <c r="G84" s="27"/>
      <c r="H84" s="27"/>
      <c r="I84" s="189"/>
      <c r="J84" s="58"/>
      <c r="K84" s="57"/>
      <c r="L84" s="59"/>
      <c r="M84" s="27"/>
      <c r="N84" s="58"/>
      <c r="O84" s="57"/>
      <c r="P84" s="59"/>
      <c r="Q84" s="141"/>
      <c r="R84" s="141"/>
      <c r="S84" s="141"/>
      <c r="T84" s="190"/>
      <c r="U84" s="51"/>
    </row>
    <row r="85" spans="1:21" ht="16.5" customHeight="1" thickBot="1" x14ac:dyDescent="0.25">
      <c r="A85" s="23"/>
      <c r="B85" s="5"/>
      <c r="C85" s="862" t="s">
        <v>1042</v>
      </c>
      <c r="D85" s="929"/>
      <c r="E85" s="929"/>
      <c r="F85" s="929"/>
      <c r="G85" s="929"/>
      <c r="H85" s="27"/>
      <c r="I85" s="189"/>
      <c r="J85" s="827" cm="1">
        <f t="array" ref="J85">INDEX(DataSheet2!$A$8:$DW$317,'Part 1'!$F$1,60)</f>
        <v>-11502646</v>
      </c>
      <c r="K85" s="828"/>
      <c r="L85" s="59"/>
      <c r="M85" s="27"/>
      <c r="N85" s="827" cm="1">
        <f t="array" ref="N85">INDEX(DataSheet2!$A$8:$DW$317,'Part 1'!$F$1,61)</f>
        <v>-167043</v>
      </c>
      <c r="O85" s="828"/>
      <c r="P85" s="59"/>
      <c r="Q85" s="141"/>
      <c r="R85" s="141"/>
      <c r="S85" s="141"/>
      <c r="T85" s="190"/>
      <c r="U85" s="51"/>
    </row>
    <row r="86" spans="1:21" ht="15.75" customHeight="1" x14ac:dyDescent="0.2">
      <c r="A86" s="23"/>
      <c r="B86" s="5"/>
      <c r="C86" s="929"/>
      <c r="D86" s="929"/>
      <c r="E86" s="929"/>
      <c r="F86" s="929"/>
      <c r="G86" s="929"/>
      <c r="H86" s="27"/>
      <c r="I86" s="189"/>
      <c r="J86" s="58"/>
      <c r="K86" s="57"/>
      <c r="L86" s="59"/>
      <c r="M86" s="27"/>
      <c r="N86" s="58"/>
      <c r="O86" s="57"/>
      <c r="P86" s="59"/>
      <c r="Q86" s="141"/>
      <c r="R86" s="154"/>
      <c r="S86" s="141"/>
      <c r="T86" s="190"/>
      <c r="U86" s="51"/>
    </row>
    <row r="87" spans="1:21" ht="15.75" customHeight="1" x14ac:dyDescent="0.2">
      <c r="A87" s="23"/>
      <c r="B87" s="5"/>
      <c r="C87" s="929"/>
      <c r="D87" s="929"/>
      <c r="E87" s="929"/>
      <c r="F87" s="929"/>
      <c r="G87" s="929"/>
      <c r="H87" s="27"/>
      <c r="I87" s="189"/>
      <c r="J87" s="58"/>
      <c r="K87" s="57"/>
      <c r="L87" s="59"/>
      <c r="M87" s="27"/>
      <c r="N87" s="58"/>
      <c r="O87" s="57"/>
      <c r="P87" s="59"/>
      <c r="Q87" s="141"/>
      <c r="R87" s="202"/>
      <c r="S87" s="141"/>
      <c r="T87" s="190"/>
      <c r="U87" s="51"/>
    </row>
    <row r="88" spans="1:21" ht="16.5" thickBot="1" x14ac:dyDescent="0.25">
      <c r="A88" s="23"/>
      <c r="B88" s="5"/>
      <c r="C88" s="55"/>
      <c r="D88" s="55"/>
      <c r="E88" s="55"/>
      <c r="F88" s="55"/>
      <c r="G88" s="55"/>
      <c r="H88" s="27"/>
      <c r="I88" s="189"/>
      <c r="J88" s="58"/>
      <c r="K88" s="57"/>
      <c r="L88" s="59"/>
      <c r="M88" s="27"/>
      <c r="N88" s="58"/>
      <c r="O88" s="57"/>
      <c r="P88" s="59"/>
      <c r="Q88" s="141"/>
      <c r="R88" s="154"/>
      <c r="S88" s="141"/>
      <c r="T88" s="190"/>
      <c r="U88" s="51"/>
    </row>
    <row r="89" spans="1:21" ht="16.5" thickBot="1" x14ac:dyDescent="0.25">
      <c r="A89" s="23"/>
      <c r="B89" s="5"/>
      <c r="C89" s="907" t="s">
        <v>1133</v>
      </c>
      <c r="D89" s="908"/>
      <c r="E89" s="908"/>
      <c r="F89" s="908"/>
      <c r="G89" s="908"/>
      <c r="H89" s="27"/>
      <c r="I89" s="189"/>
      <c r="J89" s="888" cm="1">
        <f t="array" ref="J89">INDEX(DataSheet2!$A$8:$DW$317,'Part 1'!$F$1,62)</f>
        <v>-3511062390</v>
      </c>
      <c r="K89" s="898"/>
      <c r="L89" s="59"/>
      <c r="M89" s="27"/>
      <c r="N89" s="888" cm="1">
        <f t="array" ref="N89">INDEX(DataSheet2!$A$8:$DW$317,'Part 1'!$F$1,63)</f>
        <v>-10633658</v>
      </c>
      <c r="O89" s="898"/>
      <c r="P89" s="59"/>
      <c r="Q89" s="141"/>
      <c r="R89" s="879" cm="1">
        <f t="array" ref="R89">INDEX(DataSheet2!$A$8:$DW$317,'Part 1'!$F$1,64)</f>
        <v>-3521696048</v>
      </c>
      <c r="S89" s="880"/>
      <c r="T89" s="190"/>
      <c r="U89" s="51"/>
    </row>
    <row r="90" spans="1:21" ht="16.5" thickBot="1" x14ac:dyDescent="0.25">
      <c r="A90" s="23"/>
      <c r="B90" s="5"/>
      <c r="C90" s="897"/>
      <c r="D90" s="897"/>
      <c r="E90" s="897"/>
      <c r="F90" s="897"/>
      <c r="G90" s="897"/>
      <c r="H90" s="27"/>
      <c r="I90" s="191"/>
      <c r="J90" s="192"/>
      <c r="K90" s="193"/>
      <c r="L90" s="194"/>
      <c r="M90" s="192"/>
      <c r="N90" s="192"/>
      <c r="O90" s="193"/>
      <c r="P90" s="194"/>
      <c r="Q90" s="195"/>
      <c r="R90" s="196"/>
      <c r="S90" s="195"/>
      <c r="T90" s="197"/>
      <c r="U90" s="51"/>
    </row>
    <row r="91" spans="1:21" ht="16.5" thickBot="1" x14ac:dyDescent="0.25">
      <c r="A91" s="23"/>
      <c r="B91" s="7"/>
      <c r="C91" s="54"/>
      <c r="D91" s="54"/>
      <c r="E91" s="54"/>
      <c r="F91" s="54"/>
      <c r="G91" s="54"/>
      <c r="H91" s="54"/>
      <c r="I91" s="54"/>
      <c r="J91" s="62"/>
      <c r="K91" s="63"/>
      <c r="L91" s="63"/>
      <c r="M91" s="63"/>
      <c r="N91" s="62"/>
      <c r="O91" s="63"/>
      <c r="P91" s="63"/>
      <c r="Q91" s="150"/>
      <c r="R91" s="149"/>
      <c r="S91" s="149"/>
      <c r="T91" s="166"/>
      <c r="U91" s="51"/>
    </row>
    <row r="92" spans="1:21" ht="16.5" thickBot="1" x14ac:dyDescent="0.25">
      <c r="A92" s="24"/>
      <c r="B92" s="25"/>
      <c r="C92" s="82"/>
      <c r="D92" s="82"/>
      <c r="E92" s="82"/>
      <c r="F92" s="82"/>
      <c r="G92" s="82"/>
      <c r="H92" s="82"/>
      <c r="I92" s="82"/>
      <c r="J92" s="83"/>
      <c r="K92" s="84"/>
      <c r="L92" s="84"/>
      <c r="M92" s="84"/>
      <c r="N92" s="83"/>
      <c r="O92" s="84"/>
      <c r="P92" s="84"/>
      <c r="Q92" s="152"/>
      <c r="R92" s="151"/>
      <c r="S92" s="152"/>
      <c r="T92" s="167"/>
      <c r="U92" s="52"/>
    </row>
    <row r="93" spans="1:21" ht="15" hidden="1" customHeight="1" x14ac:dyDescent="0.2">
      <c r="A93" s="23"/>
      <c r="B93" s="2"/>
      <c r="C93" s="27"/>
      <c r="D93" s="27"/>
      <c r="E93" s="27"/>
      <c r="F93" s="27"/>
      <c r="G93" s="27"/>
      <c r="H93" s="27"/>
      <c r="I93" s="27"/>
      <c r="J93" s="58"/>
      <c r="K93" s="57"/>
      <c r="L93" s="57"/>
      <c r="M93" s="27"/>
      <c r="N93" s="58"/>
      <c r="O93" s="57"/>
      <c r="P93" s="57"/>
      <c r="Q93" s="141"/>
      <c r="R93" s="142"/>
      <c r="S93" s="141"/>
      <c r="T93" s="146"/>
      <c r="U93" s="51"/>
    </row>
    <row r="94" spans="1:21" ht="15.75" x14ac:dyDescent="0.25">
      <c r="A94" s="23"/>
      <c r="B94" s="2"/>
      <c r="C94" s="13" t="s">
        <v>1143</v>
      </c>
      <c r="D94" s="27"/>
      <c r="E94" s="27"/>
      <c r="F94" s="27"/>
      <c r="G94" s="27"/>
      <c r="H94" s="27"/>
      <c r="I94" s="27"/>
      <c r="J94" s="57"/>
      <c r="K94" s="57"/>
      <c r="L94" s="57"/>
      <c r="M94" s="27"/>
      <c r="N94" s="57"/>
      <c r="O94" s="57"/>
      <c r="P94" s="57"/>
      <c r="Q94" s="141"/>
      <c r="R94" s="141"/>
      <c r="S94" s="141"/>
      <c r="T94" s="146"/>
      <c r="U94" s="51"/>
    </row>
    <row r="95" spans="1:21" ht="15" x14ac:dyDescent="0.2">
      <c r="A95" s="23"/>
      <c r="B95" s="2"/>
      <c r="C95" s="27"/>
      <c r="D95" s="27"/>
      <c r="E95" s="27"/>
      <c r="F95" s="27"/>
      <c r="G95" s="27"/>
      <c r="H95" s="27"/>
      <c r="I95" s="27"/>
      <c r="J95" s="57"/>
      <c r="K95" s="57"/>
      <c r="L95" s="57"/>
      <c r="M95" s="27"/>
      <c r="N95" s="57"/>
      <c r="O95" s="57"/>
      <c r="P95" s="57"/>
      <c r="Q95" s="141"/>
      <c r="R95" s="141"/>
      <c r="S95" s="141"/>
      <c r="T95" s="146"/>
      <c r="U95" s="51"/>
    </row>
    <row r="96" spans="1:21" ht="16.5" thickBot="1" x14ac:dyDescent="0.3">
      <c r="A96" s="23"/>
      <c r="B96" s="2"/>
      <c r="C96" s="13" t="s">
        <v>482</v>
      </c>
      <c r="D96" s="10"/>
      <c r="E96" s="10"/>
      <c r="F96" s="10"/>
      <c r="G96" s="10"/>
      <c r="H96" s="27"/>
      <c r="I96" s="27"/>
      <c r="J96" s="57"/>
      <c r="K96" s="57"/>
      <c r="L96" s="57"/>
      <c r="M96" s="27"/>
      <c r="N96" s="57"/>
      <c r="O96" s="57"/>
      <c r="P96" s="57"/>
      <c r="Q96" s="141"/>
      <c r="R96" s="141"/>
      <c r="S96" s="141"/>
      <c r="T96" s="146"/>
      <c r="U96" s="51"/>
    </row>
    <row r="97" spans="1:21" ht="16.5" thickBot="1" x14ac:dyDescent="0.25">
      <c r="A97" s="23"/>
      <c r="B97" s="2"/>
      <c r="C97" s="10" t="s">
        <v>1134</v>
      </c>
      <c r="D97" s="10"/>
      <c r="E97" s="10"/>
      <c r="F97" s="10"/>
      <c r="G97" s="10"/>
      <c r="H97" s="27"/>
      <c r="I97" s="27"/>
      <c r="J97" s="827" cm="1">
        <f t="array" ref="J97">INDEX(DataSheet2!$A$8:$DW$317,'Part 1'!$F$1,65)</f>
        <v>-15006744</v>
      </c>
      <c r="K97" s="828"/>
      <c r="L97" s="57"/>
      <c r="M97" s="27"/>
      <c r="N97" s="827" cm="1">
        <f t="array" ref="N97">INDEX(DataSheet2!$A$8:$DW$317,'Part 1'!$F$1,66)</f>
        <v>-61954</v>
      </c>
      <c r="O97" s="828"/>
      <c r="P97" s="57"/>
      <c r="Q97" s="141"/>
      <c r="R97" s="879" cm="1">
        <f t="array" ref="R97">INDEX(DataSheet2!$A$8:$DW$317,'Part 1'!$F$1,67)</f>
        <v>-15068698</v>
      </c>
      <c r="S97" s="903"/>
      <c r="T97" s="146"/>
      <c r="U97" s="51"/>
    </row>
    <row r="98" spans="1:21" ht="15" customHeight="1" x14ac:dyDescent="0.2">
      <c r="A98" s="23"/>
      <c r="B98" s="2"/>
      <c r="C98" s="10"/>
      <c r="D98" s="10"/>
      <c r="E98" s="10"/>
      <c r="F98" s="10"/>
      <c r="G98" s="10"/>
      <c r="H98" s="27"/>
      <c r="I98" s="27"/>
      <c r="J98" s="57"/>
      <c r="K98" s="57"/>
      <c r="L98" s="57"/>
      <c r="M98" s="57"/>
      <c r="N98" s="57"/>
      <c r="O98" s="57"/>
      <c r="P98" s="57"/>
      <c r="Q98" s="141"/>
      <c r="R98" s="141"/>
      <c r="S98" s="141"/>
      <c r="T98" s="146"/>
      <c r="U98" s="51"/>
    </row>
    <row r="99" spans="1:21" ht="16.5" thickBot="1" x14ac:dyDescent="0.3">
      <c r="A99" s="23"/>
      <c r="B99" s="2"/>
      <c r="C99" s="13" t="s">
        <v>483</v>
      </c>
      <c r="D99" s="10"/>
      <c r="E99" s="10"/>
      <c r="F99" s="10"/>
      <c r="G99" s="10"/>
      <c r="H99" s="27"/>
      <c r="I99" s="27"/>
      <c r="J99" s="57"/>
      <c r="K99" s="57"/>
      <c r="L99" s="57"/>
      <c r="M99" s="57"/>
      <c r="N99" s="57"/>
      <c r="O99" s="57"/>
      <c r="P99" s="57"/>
      <c r="Q99" s="141"/>
      <c r="R99" s="141"/>
      <c r="S99" s="141"/>
      <c r="T99" s="146"/>
      <c r="U99" s="51"/>
    </row>
    <row r="100" spans="1:21" ht="16.5" customHeight="1" thickBot="1" x14ac:dyDescent="0.25">
      <c r="A100" s="23"/>
      <c r="B100" s="2"/>
      <c r="C100" s="10" t="s">
        <v>1069</v>
      </c>
      <c r="D100" s="10"/>
      <c r="E100" s="10"/>
      <c r="F100" s="10"/>
      <c r="G100" s="10"/>
      <c r="H100" s="27"/>
      <c r="I100" s="27"/>
      <c r="J100" s="827" cm="1">
        <f t="array" ref="J100">INDEX(DataSheet2!$A$8:$DW$317,'Part 1'!$F$1,68)</f>
        <v>-924111833</v>
      </c>
      <c r="K100" s="828"/>
      <c r="L100" s="57"/>
      <c r="M100" s="27"/>
      <c r="N100" s="827" cm="1">
        <f t="array" ref="N100">INDEX(DataSheet2!$A$8:$DW$317,'Part 1'!$F$1,69)</f>
        <v>-18600727</v>
      </c>
      <c r="O100" s="828"/>
      <c r="P100" s="57"/>
      <c r="Q100" s="141"/>
      <c r="R100" s="879" cm="1">
        <f t="array" ref="R100">INDEX(DataSheet2!$A$8:$DW$317,'Part 1'!$F$1,70)</f>
        <v>-942712560</v>
      </c>
      <c r="S100" s="880"/>
      <c r="T100" s="146"/>
      <c r="U100" s="51"/>
    </row>
    <row r="101" spans="1:21" ht="15" customHeight="1" x14ac:dyDescent="0.2">
      <c r="A101" s="23"/>
      <c r="B101" s="2"/>
      <c r="C101" s="10"/>
      <c r="D101" s="10"/>
      <c r="E101" s="10"/>
      <c r="F101" s="10"/>
      <c r="G101" s="10"/>
      <c r="H101" s="27"/>
      <c r="I101" s="56"/>
      <c r="J101" s="57"/>
      <c r="K101" s="57"/>
      <c r="L101" s="57"/>
      <c r="M101" s="57"/>
      <c r="N101" s="57"/>
      <c r="O101" s="57"/>
      <c r="P101" s="57"/>
      <c r="Q101" s="141"/>
      <c r="R101" s="141"/>
      <c r="S101" s="141"/>
      <c r="T101" s="146"/>
      <c r="U101" s="51"/>
    </row>
    <row r="102" spans="1:21" ht="16.5" thickBot="1" x14ac:dyDescent="0.25">
      <c r="A102" s="23"/>
      <c r="B102" s="2"/>
      <c r="C102" s="10"/>
      <c r="D102" s="10"/>
      <c r="E102" s="10"/>
      <c r="F102" s="10"/>
      <c r="G102" s="10"/>
      <c r="H102" s="27"/>
      <c r="I102" s="27"/>
      <c r="J102" s="58"/>
      <c r="K102" s="58"/>
      <c r="L102" s="58"/>
      <c r="M102" s="58"/>
      <c r="N102" s="58"/>
      <c r="O102" s="58"/>
      <c r="P102" s="58"/>
      <c r="Q102" s="141"/>
      <c r="R102" s="142"/>
      <c r="S102" s="141"/>
      <c r="T102" s="146"/>
      <c r="U102" s="51"/>
    </row>
    <row r="103" spans="1:21" ht="16.5" thickBot="1" x14ac:dyDescent="0.25">
      <c r="A103" s="23"/>
      <c r="B103" s="4"/>
      <c r="C103" s="276"/>
      <c r="D103" s="276"/>
      <c r="E103" s="276"/>
      <c r="F103" s="276"/>
      <c r="G103" s="276"/>
      <c r="H103" s="53"/>
      <c r="I103" s="53"/>
      <c r="J103" s="60"/>
      <c r="K103" s="60"/>
      <c r="L103" s="60"/>
      <c r="M103" s="511"/>
      <c r="N103" s="60"/>
      <c r="O103" s="60"/>
      <c r="P103" s="60"/>
      <c r="Q103" s="148"/>
      <c r="R103" s="147"/>
      <c r="S103" s="148"/>
      <c r="T103" s="164"/>
      <c r="U103" s="51"/>
    </row>
    <row r="104" spans="1:21" ht="16.5" thickBot="1" x14ac:dyDescent="0.25">
      <c r="A104" s="23"/>
      <c r="B104" s="5"/>
      <c r="C104" s="859" t="s">
        <v>1135</v>
      </c>
      <c r="D104" s="859"/>
      <c r="E104" s="859"/>
      <c r="F104" s="859"/>
      <c r="G104" s="859"/>
      <c r="H104" s="27"/>
      <c r="I104" s="27"/>
      <c r="J104" s="888" cm="1">
        <f t="array" ref="J104">INDEX(DataSheet2!$A$8:$DW$317,'Part 1'!$F$1,71)</f>
        <v>-939118578</v>
      </c>
      <c r="K104" s="889"/>
      <c r="L104" s="57"/>
      <c r="M104" s="512"/>
      <c r="N104" s="888" cm="1">
        <f t="array" ref="N104">INDEX(DataSheet2!$A$8:$DW$317,'Part 1'!$F$1,72)</f>
        <v>-18662681</v>
      </c>
      <c r="O104" s="889"/>
      <c r="P104" s="57"/>
      <c r="Q104" s="141"/>
      <c r="R104" s="141"/>
      <c r="S104" s="141"/>
      <c r="T104" s="165"/>
      <c r="U104" s="51"/>
    </row>
    <row r="105" spans="1:21" ht="15.75" x14ac:dyDescent="0.2">
      <c r="A105" s="23"/>
      <c r="B105" s="5"/>
      <c r="C105" s="859"/>
      <c r="D105" s="859"/>
      <c r="E105" s="859"/>
      <c r="F105" s="859"/>
      <c r="G105" s="859"/>
      <c r="H105" s="27"/>
      <c r="I105" s="27"/>
      <c r="J105" s="58"/>
      <c r="K105" s="57"/>
      <c r="L105" s="57"/>
      <c r="M105" s="513"/>
      <c r="N105" s="58"/>
      <c r="O105" s="57"/>
      <c r="P105" s="57"/>
      <c r="Q105" s="141"/>
      <c r="R105" s="141"/>
      <c r="S105" s="141"/>
      <c r="T105" s="165"/>
      <c r="U105" s="51"/>
    </row>
    <row r="106" spans="1:21" ht="16.5" thickBot="1" x14ac:dyDescent="0.25">
      <c r="A106" s="23"/>
      <c r="B106" s="5"/>
      <c r="C106" s="275"/>
      <c r="D106" s="275"/>
      <c r="E106" s="275"/>
      <c r="F106" s="275"/>
      <c r="G106" s="275"/>
      <c r="H106" s="27"/>
      <c r="I106" s="27"/>
      <c r="J106" s="58"/>
      <c r="K106" s="57"/>
      <c r="L106" s="57"/>
      <c r="M106" s="513"/>
      <c r="N106" s="58"/>
      <c r="O106" s="57"/>
      <c r="P106" s="57"/>
      <c r="Q106" s="141"/>
      <c r="R106" s="141"/>
      <c r="S106" s="141"/>
      <c r="T106" s="165"/>
      <c r="U106" s="51"/>
    </row>
    <row r="107" spans="1:21" ht="15.75" customHeight="1" thickBot="1" x14ac:dyDescent="0.25">
      <c r="A107" s="23"/>
      <c r="B107" s="5"/>
      <c r="C107" s="920" t="s">
        <v>1043</v>
      </c>
      <c r="D107" s="920"/>
      <c r="E107" s="920"/>
      <c r="F107" s="920"/>
      <c r="G107" s="920"/>
      <c r="H107" s="27"/>
      <c r="I107" s="27"/>
      <c r="J107" s="827" cm="1">
        <f t="array" ref="J107">INDEX(DataSheet2!$A$8:$DW$317,'Part 1'!$F$1,73)</f>
        <v>-78521590</v>
      </c>
      <c r="K107" s="828"/>
      <c r="L107" s="57"/>
      <c r="M107" s="512"/>
      <c r="N107" s="827" cm="1">
        <f t="array" ref="N107">INDEX(DataSheet2!$A$8:$DW$317,'Part 1'!$F$1,74)</f>
        <v>-1432325</v>
      </c>
      <c r="O107" s="828"/>
      <c r="P107" s="57"/>
      <c r="Q107" s="141"/>
      <c r="R107" s="141"/>
      <c r="S107" s="141"/>
      <c r="T107" s="165"/>
      <c r="U107" s="51"/>
    </row>
    <row r="108" spans="1:21" ht="15.75" customHeight="1" x14ac:dyDescent="0.2">
      <c r="A108" s="23"/>
      <c r="B108" s="5"/>
      <c r="C108" s="920"/>
      <c r="D108" s="920"/>
      <c r="E108" s="920"/>
      <c r="F108" s="920"/>
      <c r="G108" s="920"/>
      <c r="H108" s="27"/>
      <c r="I108" s="27"/>
      <c r="J108" s="58"/>
      <c r="K108" s="57"/>
      <c r="L108" s="57"/>
      <c r="M108" s="512"/>
      <c r="N108" s="58"/>
      <c r="O108" s="57"/>
      <c r="P108" s="57"/>
      <c r="Q108" s="141"/>
      <c r="R108" s="142"/>
      <c r="S108" s="141"/>
      <c r="T108" s="165"/>
      <c r="U108" s="51"/>
    </row>
    <row r="109" spans="1:21" ht="15.75" customHeight="1" x14ac:dyDescent="0.2">
      <c r="A109" s="23"/>
      <c r="B109" s="5"/>
      <c r="C109" s="920"/>
      <c r="D109" s="920"/>
      <c r="E109" s="920"/>
      <c r="F109" s="920"/>
      <c r="G109" s="920"/>
      <c r="H109" s="27"/>
      <c r="I109" s="27"/>
      <c r="J109" s="58"/>
      <c r="K109" s="57"/>
      <c r="L109" s="57"/>
      <c r="M109" s="512"/>
      <c r="N109" s="58"/>
      <c r="O109" s="57"/>
      <c r="P109" s="57"/>
      <c r="Q109" s="141"/>
      <c r="R109" s="202"/>
      <c r="S109" s="141"/>
      <c r="T109" s="165"/>
      <c r="U109" s="51"/>
    </row>
    <row r="110" spans="1:21" ht="16.5" thickBot="1" x14ac:dyDescent="0.25">
      <c r="A110" s="23"/>
      <c r="B110" s="5"/>
      <c r="C110" s="275"/>
      <c r="D110" s="275"/>
      <c r="E110" s="275"/>
      <c r="F110" s="275"/>
      <c r="G110" s="275"/>
      <c r="H110" s="27"/>
      <c r="I110" s="27"/>
      <c r="J110" s="58"/>
      <c r="K110" s="57"/>
      <c r="L110" s="57"/>
      <c r="M110" s="512"/>
      <c r="N110" s="58"/>
      <c r="O110" s="57"/>
      <c r="P110" s="57"/>
      <c r="Q110" s="141"/>
      <c r="R110" s="142"/>
      <c r="S110" s="141"/>
      <c r="T110" s="165"/>
      <c r="U110" s="51"/>
    </row>
    <row r="111" spans="1:21" ht="16.5" thickBot="1" x14ac:dyDescent="0.25">
      <c r="A111" s="23"/>
      <c r="B111" s="5"/>
      <c r="C111" s="907" t="s">
        <v>1136</v>
      </c>
      <c r="D111" s="908"/>
      <c r="E111" s="908"/>
      <c r="F111" s="908"/>
      <c r="G111" s="908"/>
      <c r="H111" s="27"/>
      <c r="I111" s="27"/>
      <c r="J111" s="888" cm="1">
        <f t="array" ref="J111">INDEX(DataSheet2!$A$8:$DW$317,'Part 1'!$F$1,75)</f>
        <v>-1017640168</v>
      </c>
      <c r="K111" s="889"/>
      <c r="L111" s="57"/>
      <c r="M111" s="512"/>
      <c r="N111" s="888" cm="1">
        <f t="array" ref="N111">INDEX(DataSheet2!$A$8:$DW$317,'Part 1'!$F$1,76)</f>
        <v>-20095006</v>
      </c>
      <c r="O111" s="889"/>
      <c r="P111" s="57"/>
      <c r="Q111" s="141"/>
      <c r="R111" s="879" cm="1">
        <f t="array" ref="R111">INDEX(DataSheet2!$A$8:$DW$317,'Part 1'!$F$1,77)</f>
        <v>-1037735174</v>
      </c>
      <c r="S111" s="880"/>
      <c r="T111" s="165"/>
      <c r="U111" s="51"/>
    </row>
    <row r="112" spans="1:21" ht="15" x14ac:dyDescent="0.2">
      <c r="A112" s="23"/>
      <c r="B112" s="5"/>
      <c r="C112" s="897"/>
      <c r="D112" s="897"/>
      <c r="E112" s="897"/>
      <c r="F112" s="897"/>
      <c r="G112" s="897"/>
      <c r="H112" s="27"/>
      <c r="I112" s="27"/>
      <c r="J112" s="27"/>
      <c r="K112" s="27"/>
      <c r="L112" s="27"/>
      <c r="M112" s="512"/>
      <c r="N112" s="27"/>
      <c r="O112" s="27"/>
      <c r="P112" s="57"/>
      <c r="Q112" s="153"/>
      <c r="R112" s="153"/>
      <c r="S112" s="153"/>
      <c r="T112" s="165"/>
      <c r="U112" s="51"/>
    </row>
    <row r="113" spans="1:21" ht="16.5" thickBot="1" x14ac:dyDescent="0.25">
      <c r="A113" s="23"/>
      <c r="B113" s="7"/>
      <c r="C113" s="54"/>
      <c r="D113" s="54"/>
      <c r="E113" s="54"/>
      <c r="F113" s="54"/>
      <c r="G113" s="54"/>
      <c r="H113" s="54"/>
      <c r="I113" s="54"/>
      <c r="J113" s="62"/>
      <c r="K113" s="63"/>
      <c r="L113" s="63"/>
      <c r="M113" s="514"/>
      <c r="N113" s="63"/>
      <c r="O113" s="63"/>
      <c r="P113" s="63"/>
      <c r="Q113" s="150"/>
      <c r="R113" s="149"/>
      <c r="S113" s="150"/>
      <c r="T113" s="166"/>
      <c r="U113" s="51"/>
    </row>
    <row r="114" spans="1:21" ht="15" x14ac:dyDescent="0.2">
      <c r="A114" s="23"/>
      <c r="B114" s="2"/>
      <c r="C114" s="27"/>
      <c r="D114" s="27"/>
      <c r="E114" s="27"/>
      <c r="F114" s="27"/>
      <c r="G114" s="27"/>
      <c r="H114" s="27"/>
      <c r="I114" s="27"/>
      <c r="J114" s="57"/>
      <c r="K114" s="57"/>
      <c r="L114" s="57"/>
      <c r="M114" s="57"/>
      <c r="N114" s="57"/>
      <c r="O114" s="57"/>
      <c r="P114" s="57"/>
      <c r="Q114" s="141"/>
      <c r="R114" s="141"/>
      <c r="S114" s="141"/>
      <c r="T114" s="146"/>
      <c r="U114" s="51"/>
    </row>
    <row r="115" spans="1:21" ht="15.75" x14ac:dyDescent="0.25">
      <c r="A115" s="23"/>
      <c r="B115" s="2"/>
      <c r="C115" s="13" t="s">
        <v>1144</v>
      </c>
      <c r="D115" s="27"/>
      <c r="E115" s="27"/>
      <c r="F115" s="27"/>
      <c r="G115" s="27"/>
      <c r="H115" s="27"/>
      <c r="I115" s="27"/>
      <c r="J115" s="57"/>
      <c r="K115" s="57"/>
      <c r="L115" s="57"/>
      <c r="M115" s="27"/>
      <c r="N115" s="57"/>
      <c r="O115" s="57"/>
      <c r="P115" s="57"/>
      <c r="Q115" s="141"/>
      <c r="R115" s="141"/>
      <c r="S115" s="141"/>
      <c r="T115" s="146"/>
      <c r="U115" s="51"/>
    </row>
    <row r="116" spans="1:21" ht="16.5" thickBot="1" x14ac:dyDescent="0.3">
      <c r="A116" s="23"/>
      <c r="B116" s="2"/>
      <c r="C116" s="13" t="s">
        <v>607</v>
      </c>
      <c r="D116" s="27"/>
      <c r="E116" s="27"/>
      <c r="F116" s="27"/>
      <c r="G116" s="27"/>
      <c r="H116" s="27"/>
      <c r="I116" s="27"/>
      <c r="J116" s="57"/>
      <c r="K116" s="57"/>
      <c r="L116" s="57"/>
      <c r="M116" s="27"/>
      <c r="N116" s="57"/>
      <c r="O116" s="57"/>
      <c r="P116" s="57"/>
      <c r="Q116" s="141"/>
      <c r="R116" s="141"/>
      <c r="S116" s="141"/>
      <c r="T116" s="146"/>
      <c r="U116" s="51"/>
    </row>
    <row r="117" spans="1:21" ht="16.5" thickBot="1" x14ac:dyDescent="0.25">
      <c r="A117" s="23"/>
      <c r="B117" s="2"/>
      <c r="C117" s="10" t="s">
        <v>1137</v>
      </c>
      <c r="D117" s="27"/>
      <c r="E117" s="27"/>
      <c r="F117" s="27"/>
      <c r="G117" s="27"/>
      <c r="H117" s="27"/>
      <c r="I117" s="27"/>
      <c r="J117" s="827" cm="1">
        <f t="array" ref="J117">INDEX(DataSheet2!$A$8:$DW$317,'Part 1'!$F$1,78)</f>
        <v>-45388439</v>
      </c>
      <c r="K117" s="828"/>
      <c r="L117" s="57"/>
      <c r="M117" s="27"/>
      <c r="N117" s="827" cm="1">
        <f t="array" ref="N117">INDEX(DataSheet2!$A$8:$DW$317,'Part 1'!$F$1,79)</f>
        <v>-134008</v>
      </c>
      <c r="O117" s="828"/>
      <c r="P117" s="57"/>
      <c r="Q117" s="141"/>
      <c r="R117" s="879" cm="1">
        <f t="array" ref="R117">INDEX(DataSheet2!$A$8:$DW$317,'Part 1'!$F$1,80)</f>
        <v>-45522447</v>
      </c>
      <c r="S117" s="880"/>
      <c r="T117" s="146"/>
      <c r="U117" s="51"/>
    </row>
    <row r="118" spans="1:21" ht="15.75" x14ac:dyDescent="0.25">
      <c r="A118" s="23"/>
      <c r="B118" s="2"/>
      <c r="C118" s="13"/>
      <c r="D118" s="27"/>
      <c r="E118" s="27"/>
      <c r="F118" s="27"/>
      <c r="G118" s="27"/>
      <c r="H118" s="27"/>
      <c r="I118" s="27"/>
      <c r="J118" s="57"/>
      <c r="K118" s="57"/>
      <c r="L118" s="57"/>
      <c r="M118" s="57"/>
      <c r="N118" s="57"/>
      <c r="O118" s="57"/>
      <c r="P118" s="57"/>
      <c r="Q118" s="141"/>
      <c r="R118" s="141"/>
      <c r="S118" s="141"/>
      <c r="T118" s="146"/>
      <c r="U118" s="51"/>
    </row>
    <row r="119" spans="1:21" ht="16.5" thickBot="1" x14ac:dyDescent="0.3">
      <c r="A119" s="23"/>
      <c r="B119" s="2"/>
      <c r="C119" s="13" t="s">
        <v>591</v>
      </c>
      <c r="D119" s="27"/>
      <c r="E119" s="27"/>
      <c r="F119" s="27"/>
      <c r="G119" s="27"/>
      <c r="H119" s="27"/>
      <c r="I119" s="27"/>
      <c r="J119" s="57"/>
      <c r="K119" s="57"/>
      <c r="L119" s="57"/>
      <c r="M119" s="57"/>
      <c r="N119" s="57"/>
      <c r="O119" s="57"/>
      <c r="P119" s="57"/>
      <c r="Q119" s="141"/>
      <c r="R119" s="141"/>
      <c r="S119" s="141"/>
      <c r="T119" s="146"/>
      <c r="U119" s="51"/>
    </row>
    <row r="120" spans="1:21" ht="16.5" thickBot="1" x14ac:dyDescent="0.25">
      <c r="A120" s="23"/>
      <c r="B120" s="2"/>
      <c r="C120" s="10" t="s">
        <v>1070</v>
      </c>
      <c r="D120" s="27"/>
      <c r="E120" s="27"/>
      <c r="F120" s="27"/>
      <c r="G120" s="27"/>
      <c r="H120" s="27"/>
      <c r="I120" s="27"/>
      <c r="J120" s="827" cm="1">
        <f t="array" ref="J120">INDEX(DataSheet2!$A$8:$DW$317,'Part 1'!$F$1,81)</f>
        <v>-32608748</v>
      </c>
      <c r="K120" s="828"/>
      <c r="L120" s="57"/>
      <c r="M120" s="27"/>
      <c r="N120" s="827" cm="1">
        <f t="array" ref="N120">INDEX(DataSheet2!$A$8:$DW$317,'Part 1'!$F$1,82)</f>
        <v>-320746</v>
      </c>
      <c r="O120" s="828"/>
      <c r="P120" s="57"/>
      <c r="Q120" s="141"/>
      <c r="R120" s="879" cm="1">
        <f t="array" ref="R120">INDEX(DataSheet2!$A$8:$DW$317,'Part 1'!$F$1,83)</f>
        <v>-32929494</v>
      </c>
      <c r="S120" s="880"/>
      <c r="T120" s="146"/>
      <c r="U120" s="51"/>
    </row>
    <row r="121" spans="1:21" ht="15" x14ac:dyDescent="0.2">
      <c r="A121" s="23"/>
      <c r="B121" s="2"/>
      <c r="C121" s="10"/>
      <c r="D121" s="27"/>
      <c r="E121" s="27"/>
      <c r="F121" s="27"/>
      <c r="G121" s="27"/>
      <c r="H121" s="27"/>
      <c r="I121" s="27"/>
      <c r="J121" s="57"/>
      <c r="K121" s="57"/>
      <c r="L121" s="57"/>
      <c r="M121" s="27"/>
      <c r="N121" s="57"/>
      <c r="O121" s="57"/>
      <c r="P121" s="57"/>
      <c r="Q121" s="141"/>
      <c r="R121" s="141"/>
      <c r="S121" s="141"/>
      <c r="T121" s="146"/>
      <c r="U121" s="51"/>
    </row>
    <row r="122" spans="1:21" ht="16.5" thickBot="1" x14ac:dyDescent="0.3">
      <c r="A122" s="23"/>
      <c r="B122" s="2"/>
      <c r="C122" s="13" t="s">
        <v>590</v>
      </c>
      <c r="D122" s="27"/>
      <c r="E122" s="27"/>
      <c r="F122" s="27"/>
      <c r="G122" s="27"/>
      <c r="H122" s="27"/>
      <c r="I122" s="27"/>
      <c r="J122" s="57"/>
      <c r="K122" s="57"/>
      <c r="L122" s="57"/>
      <c r="M122" s="27"/>
      <c r="N122" s="57"/>
      <c r="O122" s="57"/>
      <c r="P122" s="57"/>
      <c r="Q122" s="141"/>
      <c r="R122" s="141"/>
      <c r="S122" s="141"/>
      <c r="T122" s="146"/>
      <c r="U122" s="51"/>
    </row>
    <row r="123" spans="1:21" ht="16.5" thickBot="1" x14ac:dyDescent="0.25">
      <c r="A123" s="23"/>
      <c r="B123" s="2"/>
      <c r="C123" s="10" t="s">
        <v>1071</v>
      </c>
      <c r="D123" s="27"/>
      <c r="E123" s="27"/>
      <c r="F123" s="27"/>
      <c r="G123" s="27"/>
      <c r="H123" s="27"/>
      <c r="I123" s="27"/>
      <c r="J123" s="827" cm="1">
        <f t="array" ref="J123">INDEX(DataSheet2!$A$8:$DW$317,'Part 1'!$F$1,84)</f>
        <v>-1232466</v>
      </c>
      <c r="K123" s="828"/>
      <c r="L123" s="57"/>
      <c r="M123" s="27"/>
      <c r="N123" s="827" cm="1">
        <f t="array" ref="N123">INDEX(DataSheet2!$A$8:$DW$317,'Part 1'!$F$1,85)</f>
        <v>0</v>
      </c>
      <c r="O123" s="828"/>
      <c r="P123" s="57"/>
      <c r="Q123" s="141"/>
      <c r="R123" s="879" cm="1">
        <f t="array" ref="R123">INDEX(DataSheet2!$A$8:$DW$317,'Part 1'!$F$1,86)</f>
        <v>-1232466</v>
      </c>
      <c r="S123" s="880"/>
      <c r="T123" s="146"/>
      <c r="U123" s="51"/>
    </row>
    <row r="124" spans="1:21" ht="15" x14ac:dyDescent="0.2">
      <c r="A124" s="23"/>
      <c r="B124" s="2"/>
      <c r="C124" s="10"/>
      <c r="D124" s="27"/>
      <c r="E124" s="27"/>
      <c r="F124" s="27"/>
      <c r="G124" s="27"/>
      <c r="H124" s="27"/>
      <c r="I124" s="27"/>
      <c r="J124" s="57"/>
      <c r="K124" s="57"/>
      <c r="L124" s="57"/>
      <c r="M124" s="57"/>
      <c r="N124" s="57"/>
      <c r="O124" s="57"/>
      <c r="P124" s="57"/>
      <c r="Q124" s="141"/>
      <c r="R124" s="141"/>
      <c r="S124" s="141"/>
      <c r="T124" s="146"/>
      <c r="U124" s="51"/>
    </row>
    <row r="125" spans="1:21" ht="16.5" thickBot="1" x14ac:dyDescent="0.3">
      <c r="A125" s="23"/>
      <c r="B125" s="2"/>
      <c r="C125" s="13" t="s">
        <v>608</v>
      </c>
      <c r="D125" s="27"/>
      <c r="E125" s="27"/>
      <c r="F125" s="27"/>
      <c r="G125" s="27"/>
      <c r="H125" s="27"/>
      <c r="I125" s="27"/>
      <c r="J125" s="57"/>
      <c r="K125" s="57"/>
      <c r="L125" s="57"/>
      <c r="M125" s="57"/>
      <c r="N125" s="57"/>
      <c r="O125" s="57"/>
      <c r="P125" s="57"/>
      <c r="Q125" s="141"/>
      <c r="R125" s="141"/>
      <c r="S125" s="141"/>
      <c r="T125" s="146"/>
      <c r="U125" s="51"/>
    </row>
    <row r="126" spans="1:21" ht="16.5" thickBot="1" x14ac:dyDescent="0.25">
      <c r="A126" s="23"/>
      <c r="B126" s="2"/>
      <c r="C126" s="10" t="s">
        <v>1072</v>
      </c>
      <c r="D126" s="27"/>
      <c r="E126" s="27"/>
      <c r="F126" s="27"/>
      <c r="G126" s="27"/>
      <c r="H126" s="27"/>
      <c r="I126" s="27"/>
      <c r="J126" s="827" cm="1">
        <f t="array" ref="J126">INDEX(DataSheet2!$A$8:$DW$317,'Part 1'!$F$1,87)</f>
        <v>-281156</v>
      </c>
      <c r="K126" s="828"/>
      <c r="L126" s="57"/>
      <c r="M126" s="27"/>
      <c r="N126" s="827" cm="1">
        <f t="array" ref="N126">INDEX(DataSheet2!$A$8:$DW$317,'Part 1'!$F$1,88)</f>
        <v>0</v>
      </c>
      <c r="O126" s="828"/>
      <c r="P126" s="57"/>
      <c r="Q126" s="141"/>
      <c r="R126" s="879" cm="1">
        <f t="array" ref="R126">INDEX(DataSheet2!$A$8:$DW$317,'Part 1'!$F$1,89)</f>
        <v>-281156</v>
      </c>
      <c r="S126" s="880"/>
      <c r="T126" s="146"/>
      <c r="U126" s="51"/>
    </row>
    <row r="127" spans="1:21" ht="15" x14ac:dyDescent="0.2">
      <c r="A127" s="23"/>
      <c r="B127" s="2"/>
      <c r="C127" s="10"/>
      <c r="D127" s="27"/>
      <c r="E127" s="27"/>
      <c r="F127" s="27"/>
      <c r="G127" s="27"/>
      <c r="H127" s="27"/>
      <c r="I127" s="27"/>
      <c r="J127" s="541"/>
      <c r="K127" s="541"/>
      <c r="L127" s="541"/>
      <c r="M127" s="542"/>
      <c r="N127" s="541"/>
      <c r="O127" s="541"/>
      <c r="P127" s="541"/>
      <c r="Q127" s="314"/>
      <c r="R127" s="314"/>
      <c r="S127" s="314"/>
      <c r="T127" s="146"/>
      <c r="U127" s="51"/>
    </row>
    <row r="128" spans="1:21" ht="16.5" thickBot="1" x14ac:dyDescent="0.3">
      <c r="A128" s="23"/>
      <c r="B128" s="2"/>
      <c r="C128" s="13" t="s">
        <v>592</v>
      </c>
      <c r="D128" s="27"/>
      <c r="E128" s="27"/>
      <c r="F128" s="27"/>
      <c r="G128" s="27"/>
      <c r="H128" s="27"/>
      <c r="I128" s="27"/>
      <c r="J128" s="541"/>
      <c r="K128" s="541"/>
      <c r="L128" s="541"/>
      <c r="M128" s="542"/>
      <c r="N128" s="541"/>
      <c r="O128" s="541"/>
      <c r="P128" s="541"/>
      <c r="Q128" s="314"/>
      <c r="R128" s="314"/>
      <c r="S128" s="314"/>
      <c r="T128" s="146"/>
      <c r="U128" s="51"/>
    </row>
    <row r="129" spans="1:21" ht="16.5" thickBot="1" x14ac:dyDescent="0.25">
      <c r="A129" s="23"/>
      <c r="B129" s="2"/>
      <c r="C129" s="10" t="s">
        <v>1073</v>
      </c>
      <c r="D129" s="27"/>
      <c r="E129" s="27"/>
      <c r="F129" s="27"/>
      <c r="G129" s="27"/>
      <c r="H129" s="27"/>
      <c r="I129" s="27"/>
      <c r="J129" s="827" cm="1">
        <f t="array" ref="J129">INDEX(DataSheet2!$A$8:$DW$317,'Part 1'!$F$1,90)</f>
        <v>-845419</v>
      </c>
      <c r="K129" s="828"/>
      <c r="L129" s="57"/>
      <c r="M129" s="27"/>
      <c r="N129" s="827" cm="1">
        <f t="array" ref="N129">INDEX(DataSheet2!$A$8:$DW$317,'Part 1'!$F$1,91)</f>
        <v>0</v>
      </c>
      <c r="O129" s="828"/>
      <c r="P129" s="57"/>
      <c r="Q129" s="141"/>
      <c r="R129" s="879" cm="1">
        <f t="array" ref="R129">INDEX(DataSheet2!$A$8:$DW$317,'Part 1'!$F$1,92)</f>
        <v>-845419</v>
      </c>
      <c r="S129" s="880"/>
      <c r="T129" s="146"/>
      <c r="U129" s="51"/>
    </row>
    <row r="130" spans="1:21" ht="15" x14ac:dyDescent="0.2">
      <c r="A130" s="23"/>
      <c r="B130" s="2"/>
      <c r="C130" s="10"/>
      <c r="D130" s="27"/>
      <c r="E130" s="27"/>
      <c r="F130" s="27"/>
      <c r="G130" s="27"/>
      <c r="H130" s="27"/>
      <c r="I130" s="27"/>
      <c r="J130" s="57"/>
      <c r="K130" s="57"/>
      <c r="L130" s="57"/>
      <c r="M130" s="57"/>
      <c r="N130" s="57"/>
      <c r="O130" s="57"/>
      <c r="P130" s="57"/>
      <c r="Q130" s="141"/>
      <c r="R130" s="141"/>
      <c r="S130" s="141"/>
      <c r="T130" s="146"/>
      <c r="U130" s="51"/>
    </row>
    <row r="131" spans="1:21" ht="16.5" thickBot="1" x14ac:dyDescent="0.3">
      <c r="A131" s="23"/>
      <c r="B131" s="2"/>
      <c r="C131" s="13" t="s">
        <v>1055</v>
      </c>
      <c r="D131" s="27"/>
      <c r="E131" s="27"/>
      <c r="F131" s="27"/>
      <c r="G131" s="27"/>
      <c r="H131" s="27"/>
      <c r="I131" s="27"/>
      <c r="J131" s="57"/>
      <c r="K131" s="57"/>
      <c r="L131" s="57"/>
      <c r="M131" s="57"/>
      <c r="N131" s="57"/>
      <c r="O131" s="57"/>
      <c r="P131" s="57"/>
      <c r="Q131" s="141"/>
      <c r="R131" s="141"/>
      <c r="S131" s="141"/>
      <c r="T131" s="146"/>
      <c r="U131" s="51"/>
    </row>
    <row r="132" spans="1:21" ht="16.5" thickBot="1" x14ac:dyDescent="0.25">
      <c r="A132" s="23"/>
      <c r="B132" s="2"/>
      <c r="C132" s="10" t="s">
        <v>1074</v>
      </c>
      <c r="D132" s="27"/>
      <c r="E132" s="27"/>
      <c r="F132" s="27"/>
      <c r="G132" s="27"/>
      <c r="H132" s="27"/>
      <c r="I132" s="27"/>
      <c r="J132" s="827" cm="1">
        <f t="array" ref="J132">INDEX(DataSheet2!$A$8:$DW$317,'Part 1'!$F$1,93)</f>
        <v>-6152583</v>
      </c>
      <c r="K132" s="828"/>
      <c r="L132" s="57"/>
      <c r="M132" s="27"/>
      <c r="N132" s="827" cm="1">
        <f t="array" ref="N132">INDEX(DataSheet2!$A$8:$DW$317,'Part 1'!$F$1,94)</f>
        <v>-13153892</v>
      </c>
      <c r="O132" s="828"/>
      <c r="P132" s="57"/>
      <c r="Q132" s="141"/>
      <c r="R132" s="879" cm="1">
        <f t="array" ref="R132">INDEX(DataSheet2!$A$8:$DW$317,'Part 1'!$F$1,95)</f>
        <v>-19306475</v>
      </c>
      <c r="S132" s="880"/>
      <c r="T132" s="146"/>
      <c r="U132" s="51"/>
    </row>
    <row r="133" spans="1:21" ht="15.75" x14ac:dyDescent="0.25">
      <c r="A133" s="23"/>
      <c r="B133" s="2"/>
      <c r="C133" s="155"/>
      <c r="D133" s="27"/>
      <c r="E133" s="27"/>
      <c r="F133" s="27"/>
      <c r="G133" s="27"/>
      <c r="H133" s="27"/>
      <c r="I133" s="27"/>
      <c r="J133" s="27"/>
      <c r="K133" s="27"/>
      <c r="L133" s="27"/>
      <c r="M133" s="27"/>
      <c r="N133" s="27"/>
      <c r="O133" s="27"/>
      <c r="P133" s="57"/>
      <c r="Q133" s="141"/>
      <c r="R133" s="211"/>
      <c r="S133" s="141"/>
      <c r="T133" s="146"/>
      <c r="U133" s="51"/>
    </row>
    <row r="134" spans="1:21" ht="16.5" thickBot="1" x14ac:dyDescent="0.25">
      <c r="A134" s="23"/>
      <c r="B134" s="2"/>
      <c r="C134" s="212" t="s">
        <v>1860</v>
      </c>
      <c r="D134" s="27"/>
      <c r="E134" s="27"/>
      <c r="F134" s="27"/>
      <c r="G134" s="27"/>
      <c r="H134" s="27"/>
      <c r="I134" s="27"/>
      <c r="J134" s="207"/>
      <c r="K134" s="57"/>
      <c r="L134" s="57"/>
      <c r="M134" s="27"/>
      <c r="N134" s="207"/>
      <c r="O134" s="57"/>
      <c r="P134" s="57"/>
      <c r="Q134" s="141"/>
      <c r="R134" s="208"/>
      <c r="S134" s="141"/>
      <c r="T134" s="146"/>
      <c r="U134" s="51"/>
    </row>
    <row r="135" spans="1:21" ht="16.5" thickBot="1" x14ac:dyDescent="0.25">
      <c r="A135" s="23"/>
      <c r="B135" s="2"/>
      <c r="C135" s="15" t="s">
        <v>1044</v>
      </c>
      <c r="D135" s="27"/>
      <c r="E135" s="27"/>
      <c r="F135" s="27"/>
      <c r="G135" s="27"/>
      <c r="H135" s="27"/>
      <c r="I135" s="27"/>
      <c r="J135" s="541"/>
      <c r="K135" s="541"/>
      <c r="L135" s="541"/>
      <c r="M135" s="27"/>
      <c r="N135" s="829" cm="1">
        <f t="array" ref="N135">INDEX(DataSheet2!$A$8:$DW$317,'Part 1'!$F$1,96)</f>
        <v>-12920801</v>
      </c>
      <c r="O135" s="830"/>
      <c r="P135" s="57"/>
      <c r="Q135" s="141"/>
      <c r="R135" s="141"/>
      <c r="S135" s="141"/>
      <c r="T135" s="146"/>
      <c r="U135" s="51"/>
    </row>
    <row r="136" spans="1:21" ht="16.5" thickBot="1" x14ac:dyDescent="0.25">
      <c r="A136" s="23"/>
      <c r="B136" s="2"/>
      <c r="C136" s="15" t="s">
        <v>1045</v>
      </c>
      <c r="D136" s="27"/>
      <c r="E136" s="27"/>
      <c r="F136" s="27"/>
      <c r="G136" s="27"/>
      <c r="H136" s="27"/>
      <c r="I136" s="27"/>
      <c r="J136" s="827" cm="1">
        <f t="array" ref="J136">INDEX(DataSheet2!$A$8:$DW$317,'Part 1'!$F$1,97)</f>
        <v>-1797271</v>
      </c>
      <c r="K136" s="828"/>
      <c r="L136" s="541"/>
      <c r="M136" s="27"/>
      <c r="N136" s="646"/>
      <c r="O136" s="57"/>
      <c r="P136" s="57"/>
      <c r="Q136" s="141"/>
      <c r="R136" s="141"/>
      <c r="S136" s="141"/>
      <c r="T136" s="146"/>
      <c r="U136" s="51"/>
    </row>
    <row r="137" spans="1:21" ht="15.75" x14ac:dyDescent="0.25">
      <c r="A137" s="23"/>
      <c r="B137" s="2"/>
      <c r="C137" s="155"/>
      <c r="D137" s="27"/>
      <c r="E137" s="27"/>
      <c r="F137" s="27"/>
      <c r="G137" s="27"/>
      <c r="H137" s="27"/>
      <c r="I137" s="27"/>
      <c r="J137" s="57"/>
      <c r="K137" s="57"/>
      <c r="L137" s="57"/>
      <c r="M137" s="57"/>
      <c r="N137" s="57"/>
      <c r="O137" s="57"/>
      <c r="P137" s="57"/>
      <c r="Q137" s="141"/>
      <c r="R137" s="141"/>
      <c r="S137" s="141"/>
      <c r="T137" s="146"/>
      <c r="U137" s="51"/>
    </row>
    <row r="138" spans="1:21" ht="15" x14ac:dyDescent="0.2">
      <c r="A138" s="23"/>
      <c r="B138" s="2"/>
      <c r="C138" s="27"/>
      <c r="D138" s="27"/>
      <c r="E138" s="27"/>
      <c r="F138" s="27"/>
      <c r="G138" s="27"/>
      <c r="H138" s="27"/>
      <c r="I138" s="27"/>
      <c r="J138" s="57"/>
      <c r="K138" s="57"/>
      <c r="L138" s="57"/>
      <c r="M138" s="57"/>
      <c r="N138" s="57"/>
      <c r="O138" s="57"/>
      <c r="P138" s="57"/>
      <c r="Q138" s="141"/>
      <c r="R138" s="141"/>
      <c r="S138" s="141"/>
      <c r="T138" s="146"/>
      <c r="U138" s="51"/>
    </row>
    <row r="139" spans="1:21" ht="15.75" thickBot="1" x14ac:dyDescent="0.25">
      <c r="A139" s="23"/>
      <c r="B139" s="2"/>
      <c r="C139" s="27"/>
      <c r="D139" s="27"/>
      <c r="E139" s="27"/>
      <c r="F139" s="27"/>
      <c r="G139" s="27"/>
      <c r="H139" s="27"/>
      <c r="I139" s="27"/>
      <c r="J139" s="57"/>
      <c r="K139" s="57"/>
      <c r="L139" s="57"/>
      <c r="M139" s="57"/>
      <c r="N139" s="57"/>
      <c r="O139" s="57"/>
      <c r="P139" s="57"/>
      <c r="Q139" s="141"/>
      <c r="R139" s="141"/>
      <c r="S139" s="141"/>
      <c r="T139" s="146"/>
      <c r="U139" s="51"/>
    </row>
    <row r="140" spans="1:21" ht="15.75" thickBot="1" x14ac:dyDescent="0.25">
      <c r="A140" s="23"/>
      <c r="B140" s="4"/>
      <c r="C140" s="53"/>
      <c r="D140" s="53"/>
      <c r="E140" s="53"/>
      <c r="F140" s="53"/>
      <c r="G140" s="53"/>
      <c r="H140" s="53"/>
      <c r="I140" s="53"/>
      <c r="J140" s="61"/>
      <c r="K140" s="61"/>
      <c r="L140" s="61"/>
      <c r="M140" s="61"/>
      <c r="N140" s="61"/>
      <c r="O140" s="61"/>
      <c r="P140" s="61"/>
      <c r="Q140" s="148"/>
      <c r="R140" s="148"/>
      <c r="S140" s="148"/>
      <c r="T140" s="164"/>
      <c r="U140" s="51"/>
    </row>
    <row r="141" spans="1:21" ht="15.75" thickBot="1" x14ac:dyDescent="0.25">
      <c r="A141" s="23"/>
      <c r="B141" s="5"/>
      <c r="C141" s="27"/>
      <c r="D141" s="27"/>
      <c r="E141" s="27"/>
      <c r="F141" s="27"/>
      <c r="G141" s="27"/>
      <c r="H141" s="27"/>
      <c r="I141" s="184"/>
      <c r="J141" s="185"/>
      <c r="K141" s="185"/>
      <c r="L141" s="186"/>
      <c r="M141" s="185"/>
      <c r="N141" s="185"/>
      <c r="O141" s="185"/>
      <c r="P141" s="186"/>
      <c r="Q141" s="187"/>
      <c r="R141" s="187"/>
      <c r="S141" s="187"/>
      <c r="T141" s="188"/>
      <c r="U141" s="51"/>
    </row>
    <row r="142" spans="1:21" ht="16.5" thickBot="1" x14ac:dyDescent="0.25">
      <c r="A142" s="23"/>
      <c r="B142" s="5"/>
      <c r="C142" s="859" t="s">
        <v>1170</v>
      </c>
      <c r="D142" s="859"/>
      <c r="E142" s="859"/>
      <c r="F142" s="859"/>
      <c r="G142" s="859"/>
      <c r="H142" s="27"/>
      <c r="I142" s="189"/>
      <c r="J142" s="888" cm="1">
        <f t="array" ref="J142">INDEX(DataSheet2!$A$8:$DW$317,'Part 1'!$F$1,98)</f>
        <v>-86508809</v>
      </c>
      <c r="K142" s="889"/>
      <c r="L142" s="59"/>
      <c r="M142" s="27"/>
      <c r="N142" s="888" cm="1">
        <f t="array" ref="N142">INDEX(DataSheet2!$A$8:$DW$317,'Part 1'!$F$1,99)</f>
        <v>-13608646</v>
      </c>
      <c r="O142" s="889"/>
      <c r="P142" s="59"/>
      <c r="Q142" s="141"/>
      <c r="R142" s="141"/>
      <c r="S142" s="141"/>
      <c r="T142" s="190"/>
      <c r="U142" s="51"/>
    </row>
    <row r="143" spans="1:21" ht="15.75" x14ac:dyDescent="0.2">
      <c r="A143" s="23"/>
      <c r="B143" s="5"/>
      <c r="C143" s="859"/>
      <c r="D143" s="859"/>
      <c r="E143" s="859"/>
      <c r="F143" s="859"/>
      <c r="G143" s="859"/>
      <c r="H143" s="27"/>
      <c r="I143" s="189"/>
      <c r="J143" s="58"/>
      <c r="K143" s="57"/>
      <c r="L143" s="59"/>
      <c r="M143" s="27"/>
      <c r="N143" s="58"/>
      <c r="O143" s="57"/>
      <c r="P143" s="59"/>
      <c r="Q143" s="141"/>
      <c r="R143" s="141"/>
      <c r="S143" s="141"/>
      <c r="T143" s="190"/>
      <c r="U143" s="51"/>
    </row>
    <row r="144" spans="1:21" ht="16.5" customHeight="1" thickBot="1" x14ac:dyDescent="0.25">
      <c r="A144" s="23"/>
      <c r="B144" s="5"/>
      <c r="C144" s="275"/>
      <c r="D144" s="275"/>
      <c r="E144" s="275"/>
      <c r="F144" s="275"/>
      <c r="G144" s="275"/>
      <c r="H144" s="27"/>
      <c r="I144" s="189"/>
      <c r="J144" s="58"/>
      <c r="K144" s="57"/>
      <c r="L144" s="59"/>
      <c r="M144" s="27"/>
      <c r="N144" s="58"/>
      <c r="O144" s="57"/>
      <c r="P144" s="59"/>
      <c r="Q144" s="141"/>
      <c r="R144" s="141"/>
      <c r="S144" s="141"/>
      <c r="T144" s="190"/>
      <c r="U144" s="51"/>
    </row>
    <row r="145" spans="1:21" ht="16.5" customHeight="1" thickBot="1" x14ac:dyDescent="0.25">
      <c r="A145" s="23"/>
      <c r="B145" s="5"/>
      <c r="C145" s="920" t="s">
        <v>1046</v>
      </c>
      <c r="D145" s="920"/>
      <c r="E145" s="920"/>
      <c r="F145" s="920"/>
      <c r="G145" s="920"/>
      <c r="H145" s="27"/>
      <c r="I145" s="189"/>
      <c r="J145" s="827" cm="1">
        <f t="array" ref="J145">INDEX(DataSheet2!$A$8:$DW$317,'Part 1'!$F$1,100)</f>
        <v>-2273690</v>
      </c>
      <c r="K145" s="828"/>
      <c r="L145" s="57"/>
      <c r="M145" s="510"/>
      <c r="N145" s="827" cm="1">
        <f t="array" ref="N145">INDEX(DataSheet2!$A$8:$DW$317,'Part 1'!$F$1,101)</f>
        <v>-101000</v>
      </c>
      <c r="O145" s="828"/>
      <c r="P145" s="543"/>
      <c r="Q145" s="141"/>
      <c r="R145" s="141"/>
      <c r="S145" s="141"/>
      <c r="T145" s="190"/>
      <c r="U145" s="51"/>
    </row>
    <row r="146" spans="1:21" ht="15.75" customHeight="1" x14ac:dyDescent="0.2">
      <c r="A146" s="23"/>
      <c r="B146" s="5"/>
      <c r="C146" s="920"/>
      <c r="D146" s="920"/>
      <c r="E146" s="920"/>
      <c r="F146" s="920"/>
      <c r="G146" s="920"/>
      <c r="H146" s="27"/>
      <c r="I146" s="189"/>
      <c r="J146" s="58"/>
      <c r="K146" s="57"/>
      <c r="L146" s="59"/>
      <c r="M146" s="27"/>
      <c r="N146" s="58"/>
      <c r="O146" s="57"/>
      <c r="P146" s="59"/>
      <c r="Q146" s="141"/>
      <c r="R146" s="154"/>
      <c r="S146" s="141"/>
      <c r="T146" s="190"/>
      <c r="U146" s="51"/>
    </row>
    <row r="147" spans="1:21" ht="15.75" customHeight="1" x14ac:dyDescent="0.2">
      <c r="A147" s="23"/>
      <c r="B147" s="5"/>
      <c r="C147" s="920"/>
      <c r="D147" s="920"/>
      <c r="E147" s="920"/>
      <c r="F147" s="920"/>
      <c r="G147" s="920"/>
      <c r="H147" s="27"/>
      <c r="I147" s="189"/>
      <c r="J147" s="58"/>
      <c r="K147" s="57"/>
      <c r="L147" s="59"/>
      <c r="M147" s="27"/>
      <c r="N147" s="58"/>
      <c r="O147" s="57"/>
      <c r="P147" s="59"/>
      <c r="Q147" s="141"/>
      <c r="R147" s="208"/>
      <c r="S147" s="141"/>
      <c r="T147" s="190"/>
      <c r="U147" s="51"/>
    </row>
    <row r="148" spans="1:21" ht="16.5" thickBot="1" x14ac:dyDescent="0.25">
      <c r="A148" s="23"/>
      <c r="B148" s="5"/>
      <c r="C148" s="275"/>
      <c r="D148" s="275"/>
      <c r="E148" s="275"/>
      <c r="F148" s="275"/>
      <c r="G148" s="275"/>
      <c r="H148" s="27"/>
      <c r="I148" s="189"/>
      <c r="J148" s="58"/>
      <c r="K148" s="57"/>
      <c r="L148" s="59"/>
      <c r="M148" s="27"/>
      <c r="N148" s="58"/>
      <c r="O148" s="57"/>
      <c r="P148" s="59"/>
      <c r="Q148" s="141"/>
      <c r="R148" s="154"/>
      <c r="S148" s="141"/>
      <c r="T148" s="190"/>
      <c r="U148" s="51"/>
    </row>
    <row r="149" spans="1:21" ht="16.5" thickBot="1" x14ac:dyDescent="0.25">
      <c r="A149" s="23"/>
      <c r="B149" s="5"/>
      <c r="C149" s="907" t="s">
        <v>1138</v>
      </c>
      <c r="D149" s="908"/>
      <c r="E149" s="908"/>
      <c r="F149" s="908"/>
      <c r="G149" s="908"/>
      <c r="H149" s="27"/>
      <c r="I149" s="189"/>
      <c r="J149" s="888" cm="1">
        <f t="array" ref="J149">INDEX(DataSheet2!$A$8:$DW$317,'Part 1'!$F$1,102)</f>
        <v>-88782499</v>
      </c>
      <c r="K149" s="889"/>
      <c r="L149" s="59"/>
      <c r="M149" s="27"/>
      <c r="N149" s="888" cm="1">
        <f t="array" ref="N149">INDEX(DataSheet2!$A$8:$DW$317,'Part 1'!$F$1,103)</f>
        <v>-13709646</v>
      </c>
      <c r="O149" s="889"/>
      <c r="P149" s="59"/>
      <c r="Q149" s="141"/>
      <c r="R149" s="879" cm="1">
        <f t="array" ref="R149">INDEX(DataSheet2!$A$8:$DW$317,'Part 1'!$F$1,104)</f>
        <v>-102492145</v>
      </c>
      <c r="S149" s="880"/>
      <c r="T149" s="190"/>
      <c r="U149" s="51"/>
    </row>
    <row r="150" spans="1:21" ht="15.75" x14ac:dyDescent="0.2">
      <c r="A150" s="23"/>
      <c r="B150" s="5"/>
      <c r="C150" s="897"/>
      <c r="D150" s="897"/>
      <c r="E150" s="897"/>
      <c r="F150" s="897"/>
      <c r="G150" s="897"/>
      <c r="H150" s="27"/>
      <c r="I150" s="189"/>
      <c r="J150" s="58"/>
      <c r="K150" s="57"/>
      <c r="L150" s="59"/>
      <c r="M150" s="27"/>
      <c r="N150" s="58"/>
      <c r="O150" s="57"/>
      <c r="P150" s="59"/>
      <c r="Q150" s="141"/>
      <c r="R150" s="154"/>
      <c r="S150" s="141"/>
      <c r="T150" s="190"/>
      <c r="U150" s="51"/>
    </row>
    <row r="151" spans="1:21" ht="16.5" thickBot="1" x14ac:dyDescent="0.3">
      <c r="A151" s="23"/>
      <c r="B151" s="5"/>
      <c r="C151" s="26"/>
      <c r="D151" s="27"/>
      <c r="E151" s="27"/>
      <c r="F151" s="27"/>
      <c r="G151" s="27"/>
      <c r="H151" s="27"/>
      <c r="I151" s="191"/>
      <c r="J151" s="192"/>
      <c r="K151" s="193"/>
      <c r="L151" s="194"/>
      <c r="M151" s="192"/>
      <c r="N151" s="192"/>
      <c r="O151" s="192"/>
      <c r="P151" s="194"/>
      <c r="Q151" s="195"/>
      <c r="R151" s="196"/>
      <c r="S151" s="195"/>
      <c r="T151" s="197"/>
      <c r="U151" s="51"/>
    </row>
    <row r="152" spans="1:21" ht="15.75" thickBot="1" x14ac:dyDescent="0.25">
      <c r="A152" s="23"/>
      <c r="B152" s="7"/>
      <c r="C152" s="54"/>
      <c r="D152" s="54"/>
      <c r="E152" s="54"/>
      <c r="F152" s="54"/>
      <c r="G152" s="54"/>
      <c r="H152" s="54"/>
      <c r="I152" s="54"/>
      <c r="J152" s="63"/>
      <c r="K152" s="63"/>
      <c r="L152" s="63"/>
      <c r="M152" s="63"/>
      <c r="N152" s="63"/>
      <c r="O152" s="63"/>
      <c r="P152" s="63"/>
      <c r="Q152" s="150"/>
      <c r="R152" s="150"/>
      <c r="S152" s="150"/>
      <c r="T152" s="166"/>
      <c r="U152" s="51"/>
    </row>
    <row r="153" spans="1:21" ht="15.75" thickBot="1" x14ac:dyDescent="0.25">
      <c r="A153" s="24"/>
      <c r="B153" s="25"/>
      <c r="C153" s="82"/>
      <c r="D153" s="82"/>
      <c r="E153" s="82"/>
      <c r="F153" s="82"/>
      <c r="G153" s="82"/>
      <c r="H153" s="82"/>
      <c r="I153" s="82"/>
      <c r="J153" s="84"/>
      <c r="K153" s="84"/>
      <c r="L153" s="84"/>
      <c r="M153" s="84"/>
      <c r="N153" s="84"/>
      <c r="O153" s="84"/>
      <c r="P153" s="84"/>
      <c r="Q153" s="152"/>
      <c r="R153" s="152"/>
      <c r="S153" s="152"/>
      <c r="T153" s="167"/>
      <c r="U153" s="52"/>
    </row>
    <row r="154" spans="1:21" ht="15.75" customHeight="1" x14ac:dyDescent="0.25">
      <c r="A154" s="48"/>
      <c r="B154" s="49"/>
      <c r="C154" s="927" t="s">
        <v>1145</v>
      </c>
      <c r="D154" s="927"/>
      <c r="E154" s="927"/>
      <c r="F154" s="927"/>
      <c r="G154" s="927"/>
      <c r="H154" s="927"/>
      <c r="I154" s="927"/>
      <c r="J154" s="927"/>
      <c r="K154" s="927"/>
      <c r="L154" s="927"/>
      <c r="M154" s="260"/>
      <c r="N154" s="260"/>
      <c r="O154" s="260"/>
      <c r="P154" s="260"/>
      <c r="Q154" s="261"/>
      <c r="R154" s="261"/>
      <c r="S154" s="261"/>
      <c r="T154" s="168"/>
      <c r="U154" s="50"/>
    </row>
    <row r="155" spans="1:21" ht="15.75" customHeight="1" x14ac:dyDescent="0.25">
      <c r="A155" s="23"/>
      <c r="B155" s="2"/>
      <c r="C155" s="928"/>
      <c r="D155" s="928"/>
      <c r="E155" s="928"/>
      <c r="F155" s="928"/>
      <c r="G155" s="928"/>
      <c r="H155" s="928"/>
      <c r="I155" s="928"/>
      <c r="J155" s="928"/>
      <c r="K155" s="928"/>
      <c r="L155" s="928"/>
      <c r="M155" s="259"/>
      <c r="N155" s="259"/>
      <c r="O155" s="259"/>
      <c r="P155" s="259"/>
      <c r="Q155" s="262"/>
      <c r="R155" s="262"/>
      <c r="S155" s="262"/>
      <c r="T155" s="146"/>
      <c r="U155" s="51"/>
    </row>
    <row r="156" spans="1:21" s="238" customFormat="1" ht="16.5" thickBot="1" x14ac:dyDescent="0.3">
      <c r="A156" s="457"/>
      <c r="B156" s="310"/>
      <c r="C156" s="327" t="s">
        <v>813</v>
      </c>
      <c r="D156" s="355"/>
      <c r="E156" s="355"/>
      <c r="F156" s="355"/>
      <c r="G156" s="355"/>
      <c r="H156" s="309"/>
      <c r="I156" s="309"/>
      <c r="J156" s="355"/>
      <c r="K156" s="355"/>
      <c r="L156" s="309"/>
      <c r="M156" s="309"/>
      <c r="N156" s="309"/>
      <c r="O156" s="309"/>
      <c r="P156" s="309"/>
      <c r="Q156" s="141"/>
      <c r="R156" s="141"/>
      <c r="S156" s="141"/>
      <c r="T156" s="146"/>
      <c r="U156" s="460"/>
    </row>
    <row r="157" spans="1:21" s="238" customFormat="1" ht="16.5" customHeight="1" thickBot="1" x14ac:dyDescent="0.25">
      <c r="A157" s="457"/>
      <c r="B157" s="310"/>
      <c r="C157" s="925" t="s">
        <v>1139</v>
      </c>
      <c r="D157" s="926"/>
      <c r="E157" s="926"/>
      <c r="F157" s="926"/>
      <c r="G157" s="926"/>
      <c r="H157" s="459"/>
      <c r="I157" s="309"/>
      <c r="J157" s="912" cm="1">
        <f t="array" ref="J157">INDEX(DataSheet2!$A$8:$DW$317,'Part 1'!$F$1,105)</f>
        <v>-4178622</v>
      </c>
      <c r="K157" s="913"/>
      <c r="L157" s="458"/>
      <c r="M157" s="309"/>
      <c r="N157" s="918" cm="1">
        <f t="array" ref="N157">INDEX(DataSheet2!$A$8:$DW$317,'Part 1'!$F$1,106)</f>
        <v>0</v>
      </c>
      <c r="O157" s="919"/>
      <c r="P157" s="355"/>
      <c r="Q157" s="141"/>
      <c r="R157" s="879" cm="1">
        <f t="array" ref="R157">INDEX(DataSheet2!$A$8:$DW$317,'Part 1'!$F$1,107)</f>
        <v>-4178622</v>
      </c>
      <c r="S157" s="880"/>
      <c r="T157" s="146"/>
      <c r="U157" s="460"/>
    </row>
    <row r="158" spans="1:21" s="238" customFormat="1" ht="16.5" customHeight="1" x14ac:dyDescent="0.2">
      <c r="A158" s="457"/>
      <c r="B158" s="310"/>
      <c r="C158" s="459"/>
      <c r="D158" s="459"/>
      <c r="E158" s="459"/>
      <c r="F158" s="459"/>
      <c r="G158" s="459"/>
      <c r="H158" s="459"/>
      <c r="I158" s="459"/>
      <c r="J158" s="459"/>
      <c r="K158" s="459"/>
      <c r="L158" s="458"/>
      <c r="M158" s="309"/>
      <c r="N158" s="309"/>
      <c r="O158" s="309"/>
      <c r="P158" s="355"/>
      <c r="Q158" s="141"/>
      <c r="R158" s="455"/>
      <c r="S158" s="141"/>
      <c r="T158" s="146"/>
      <c r="U158" s="460"/>
    </row>
    <row r="159" spans="1:21" s="238" customFormat="1" ht="16.5" thickBot="1" x14ac:dyDescent="0.3">
      <c r="A159" s="457"/>
      <c r="B159" s="310"/>
      <c r="C159" s="327" t="s">
        <v>1005</v>
      </c>
      <c r="D159" s="355"/>
      <c r="E159" s="355"/>
      <c r="F159" s="355"/>
      <c r="G159" s="355"/>
      <c r="H159" s="309"/>
      <c r="I159" s="309"/>
      <c r="J159" s="355"/>
      <c r="K159" s="355"/>
      <c r="L159" s="309"/>
      <c r="M159" s="309"/>
      <c r="N159" s="309"/>
      <c r="O159" s="309"/>
      <c r="P159" s="309"/>
      <c r="Q159" s="141"/>
      <c r="R159" s="141"/>
      <c r="S159" s="141"/>
      <c r="T159" s="146"/>
      <c r="U159" s="460"/>
    </row>
    <row r="160" spans="1:21" s="238" customFormat="1" ht="16.5" customHeight="1" thickBot="1" x14ac:dyDescent="0.25">
      <c r="A160" s="457"/>
      <c r="B160" s="310"/>
      <c r="C160" s="925" t="s">
        <v>1075</v>
      </c>
      <c r="D160" s="926"/>
      <c r="E160" s="926"/>
      <c r="F160" s="926"/>
      <c r="G160" s="926"/>
      <c r="H160" s="459"/>
      <c r="I160" s="309"/>
      <c r="J160" s="912" cm="1">
        <f t="array" ref="J160">INDEX(DataSheet2!$A$8:$DW$317,'Part 1'!$F$1,108)</f>
        <v>-12773612</v>
      </c>
      <c r="K160" s="913"/>
      <c r="L160" s="458"/>
      <c r="M160" s="309"/>
      <c r="N160" s="918" cm="1">
        <f t="array" ref="N160">INDEX(DataSheet2!$A$8:$DW$317,'Part 1'!$F$1,109)</f>
        <v>-14357</v>
      </c>
      <c r="O160" s="919"/>
      <c r="P160" s="355"/>
      <c r="Q160" s="141"/>
      <c r="R160" s="879" cm="1">
        <f t="array" ref="R160">INDEX(DataSheet2!$A$8:$DW$317,'Part 1'!$F$1,110)</f>
        <v>-12787969</v>
      </c>
      <c r="S160" s="880"/>
      <c r="T160" s="146"/>
      <c r="U160" s="460"/>
    </row>
    <row r="161" spans="1:55" s="238" customFormat="1" ht="16.5" customHeight="1" x14ac:dyDescent="0.2">
      <c r="A161" s="457"/>
      <c r="B161" s="310"/>
      <c r="C161" s="459"/>
      <c r="D161" s="459"/>
      <c r="E161" s="459"/>
      <c r="F161" s="459"/>
      <c r="G161" s="459"/>
      <c r="H161" s="459"/>
      <c r="I161" s="459"/>
      <c r="J161" s="459"/>
      <c r="K161" s="459"/>
      <c r="L161" s="458"/>
      <c r="M161" s="309"/>
      <c r="N161" s="331"/>
      <c r="O161" s="331"/>
      <c r="P161" s="355"/>
      <c r="Q161" s="141"/>
      <c r="R161" s="455"/>
      <c r="S161" s="141"/>
      <c r="T161" s="146"/>
      <c r="U161" s="460"/>
    </row>
    <row r="162" spans="1:55" s="238" customFormat="1" ht="16.5" customHeight="1" thickBot="1" x14ac:dyDescent="0.3">
      <c r="A162" s="457"/>
      <c r="B162" s="310"/>
      <c r="C162" s="13" t="s">
        <v>1091</v>
      </c>
      <c r="D162" s="572"/>
      <c r="E162" s="572"/>
      <c r="F162" s="572"/>
      <c r="G162" s="572"/>
      <c r="H162" s="570"/>
      <c r="I162" s="309"/>
      <c r="J162" s="572"/>
      <c r="K162" s="572"/>
      <c r="L162" s="458"/>
      <c r="M162" s="309"/>
      <c r="N162" s="576"/>
      <c r="O162" s="576"/>
      <c r="P162" s="355"/>
      <c r="Q162" s="141"/>
      <c r="R162" s="571"/>
      <c r="S162" s="141"/>
      <c r="T162" s="146"/>
      <c r="U162" s="471"/>
      <c r="BC162" s="394" t="s">
        <v>598</v>
      </c>
    </row>
    <row r="163" spans="1:55" s="238" customFormat="1" ht="16.5" customHeight="1" thickBot="1" x14ac:dyDescent="0.25">
      <c r="A163" s="457"/>
      <c r="B163" s="310"/>
      <c r="C163" s="925" t="s">
        <v>1076</v>
      </c>
      <c r="D163" s="926"/>
      <c r="E163" s="926"/>
      <c r="F163" s="926"/>
      <c r="G163" s="926"/>
      <c r="H163" s="570"/>
      <c r="I163" s="309"/>
      <c r="J163" s="912" cm="1">
        <f t="array" ref="J163">INDEX(DataSheet2!$A$8:$DW$317,'Part 1'!$F$1,111)</f>
        <v>-133157</v>
      </c>
      <c r="K163" s="913"/>
      <c r="L163" s="458"/>
      <c r="M163" s="309"/>
      <c r="N163" s="918" cm="1">
        <f t="array" ref="N163">INDEX(DataSheet2!$A$8:$DW$317,'Part 1'!$F$1,112)</f>
        <v>0</v>
      </c>
      <c r="O163" s="919"/>
      <c r="P163" s="355"/>
      <c r="Q163" s="141"/>
      <c r="R163" s="879" cm="1">
        <f t="array" ref="R163">INDEX(DataSheet2!$A$8:$DW$317,'Part 1'!$F$1,113)</f>
        <v>-133157</v>
      </c>
      <c r="S163" s="880"/>
      <c r="T163" s="146"/>
      <c r="U163" s="471"/>
    </row>
    <row r="164" spans="1:55" s="238" customFormat="1" ht="16.5" customHeight="1" thickBot="1" x14ac:dyDescent="0.25">
      <c r="A164" s="457"/>
      <c r="B164" s="310"/>
      <c r="C164" s="573"/>
      <c r="D164" s="575"/>
      <c r="E164" s="575"/>
      <c r="F164" s="575"/>
      <c r="G164" s="575"/>
      <c r="H164" s="573"/>
      <c r="I164" s="309"/>
      <c r="J164" s="309"/>
      <c r="K164" s="309"/>
      <c r="L164" s="458"/>
      <c r="M164" s="309"/>
      <c r="N164" s="576"/>
      <c r="O164" s="576"/>
      <c r="P164" s="355"/>
      <c r="Q164" s="141"/>
      <c r="R164" s="574"/>
      <c r="S164" s="141"/>
      <c r="T164" s="146"/>
      <c r="U164" s="471"/>
    </row>
    <row r="165" spans="1:55" ht="16.5" thickBot="1" x14ac:dyDescent="0.25">
      <c r="A165" s="23"/>
      <c r="B165" s="4"/>
      <c r="C165" s="53"/>
      <c r="D165" s="53"/>
      <c r="E165" s="53"/>
      <c r="F165" s="53"/>
      <c r="G165" s="53"/>
      <c r="H165" s="53"/>
      <c r="I165" s="53"/>
      <c r="J165" s="60"/>
      <c r="K165" s="61"/>
      <c r="L165" s="61"/>
      <c r="M165" s="61"/>
      <c r="N165" s="61"/>
      <c r="O165" s="61"/>
      <c r="P165" s="61"/>
      <c r="Q165" s="148"/>
      <c r="R165" s="147"/>
      <c r="S165" s="148"/>
      <c r="T165" s="164"/>
      <c r="U165" s="51"/>
    </row>
    <row r="166" spans="1:55" ht="16.5" thickBot="1" x14ac:dyDescent="0.25">
      <c r="A166" s="23"/>
      <c r="B166" s="5"/>
      <c r="C166" s="859" t="s">
        <v>1152</v>
      </c>
      <c r="D166" s="859"/>
      <c r="E166" s="859"/>
      <c r="F166" s="859"/>
      <c r="G166" s="859"/>
      <c r="H166" s="27"/>
      <c r="I166" s="27"/>
      <c r="J166" s="888" cm="1">
        <f t="array" ref="J166">INDEX(DataSheet2!$A$8:$DW$317,'Part 1'!$F$1,114)</f>
        <v>-17085391</v>
      </c>
      <c r="K166" s="889"/>
      <c r="L166" s="57"/>
      <c r="M166" s="27"/>
      <c r="N166" s="888" cm="1">
        <f t="array" ref="N166">INDEX(DataSheet2!$A$8:$DW$317,'Part 1'!$F$1,115)</f>
        <v>-14357</v>
      </c>
      <c r="O166" s="889"/>
      <c r="P166" s="57"/>
      <c r="Q166" s="141"/>
      <c r="R166" s="141"/>
      <c r="S166" s="141"/>
      <c r="T166" s="165"/>
      <c r="U166" s="51"/>
    </row>
    <row r="167" spans="1:55" ht="15.75" x14ac:dyDescent="0.2">
      <c r="A167" s="23"/>
      <c r="B167" s="5"/>
      <c r="C167" s="859"/>
      <c r="D167" s="859"/>
      <c r="E167" s="859"/>
      <c r="F167" s="859"/>
      <c r="G167" s="859"/>
      <c r="H167" s="27"/>
      <c r="I167" s="27"/>
      <c r="J167" s="58"/>
      <c r="K167" s="57"/>
      <c r="L167" s="57"/>
      <c r="M167" s="27"/>
      <c r="N167" s="58"/>
      <c r="O167" s="57"/>
      <c r="P167" s="57"/>
      <c r="Q167" s="141"/>
      <c r="R167" s="141"/>
      <c r="S167" s="141"/>
      <c r="T167" s="165"/>
      <c r="U167" s="51"/>
    </row>
    <row r="168" spans="1:55" ht="15.75" x14ac:dyDescent="0.2">
      <c r="A168" s="23"/>
      <c r="B168" s="5"/>
      <c r="C168" s="897"/>
      <c r="D168" s="908"/>
      <c r="E168" s="908"/>
      <c r="F168" s="908"/>
      <c r="G168" s="908"/>
      <c r="H168" s="27"/>
      <c r="I168" s="27"/>
      <c r="J168" s="58"/>
      <c r="K168" s="57"/>
      <c r="L168" s="57"/>
      <c r="M168" s="27"/>
      <c r="N168" s="58"/>
      <c r="O168" s="57"/>
      <c r="P168" s="57"/>
      <c r="Q168" s="141"/>
      <c r="R168" s="141"/>
      <c r="S168" s="141"/>
      <c r="T168" s="165"/>
      <c r="U168" s="51"/>
    </row>
    <row r="169" spans="1:55" ht="16.5" thickBot="1" x14ac:dyDescent="0.25">
      <c r="A169" s="23"/>
      <c r="B169" s="5"/>
      <c r="C169" s="275"/>
      <c r="D169" s="275"/>
      <c r="E169" s="275"/>
      <c r="F169" s="275"/>
      <c r="G169" s="275"/>
      <c r="H169" s="27"/>
      <c r="I169" s="27"/>
      <c r="J169" s="58"/>
      <c r="K169" s="57"/>
      <c r="L169" s="57"/>
      <c r="M169" s="27"/>
      <c r="N169" s="58"/>
      <c r="O169" s="57"/>
      <c r="P169" s="57"/>
      <c r="Q169" s="141"/>
      <c r="R169" s="141"/>
      <c r="S169" s="141"/>
      <c r="T169" s="165"/>
      <c r="U169" s="51"/>
    </row>
    <row r="170" spans="1:55" ht="16.5" customHeight="1" thickBot="1" x14ac:dyDescent="0.25">
      <c r="A170" s="23"/>
      <c r="B170" s="5"/>
      <c r="C170" s="920" t="s">
        <v>1153</v>
      </c>
      <c r="D170" s="920"/>
      <c r="E170" s="920"/>
      <c r="F170" s="920"/>
      <c r="G170" s="920"/>
      <c r="H170" s="27"/>
      <c r="I170" s="27"/>
      <c r="J170" s="827" cm="1">
        <f t="array" ref="J170">INDEX(DataSheet2!$A$8:$DW$317,'Part 1'!$F$1,116)</f>
        <v>-2627634</v>
      </c>
      <c r="K170" s="828"/>
      <c r="L170" s="57"/>
      <c r="M170" s="27"/>
      <c r="N170" s="827" cm="1">
        <f t="array" ref="N170">INDEX(DataSheet2!$A$8:$DW$317,'Part 1'!$F$1,117)</f>
        <v>0</v>
      </c>
      <c r="O170" s="828"/>
      <c r="P170" s="57"/>
      <c r="Q170" s="141"/>
      <c r="R170" s="141"/>
      <c r="S170" s="141"/>
      <c r="T170" s="165"/>
      <c r="U170" s="51"/>
    </row>
    <row r="171" spans="1:55" ht="15.75" x14ac:dyDescent="0.2">
      <c r="A171" s="23"/>
      <c r="B171" s="5"/>
      <c r="C171" s="920"/>
      <c r="D171" s="920"/>
      <c r="E171" s="920"/>
      <c r="F171" s="920"/>
      <c r="G171" s="920"/>
      <c r="H171" s="27"/>
      <c r="I171" s="27"/>
      <c r="J171" s="58"/>
      <c r="K171" s="57"/>
      <c r="L171" s="57"/>
      <c r="M171" s="27"/>
      <c r="N171" s="58"/>
      <c r="O171" s="57"/>
      <c r="P171" s="57"/>
      <c r="Q171" s="141"/>
      <c r="R171" s="142"/>
      <c r="S171" s="141"/>
      <c r="T171" s="165"/>
      <c r="U171" s="51"/>
    </row>
    <row r="172" spans="1:55" ht="15.75" x14ac:dyDescent="0.2">
      <c r="A172" s="23"/>
      <c r="B172" s="5"/>
      <c r="C172" s="920"/>
      <c r="D172" s="920"/>
      <c r="E172" s="920"/>
      <c r="F172" s="920"/>
      <c r="G172" s="920"/>
      <c r="H172" s="27"/>
      <c r="I172" s="27"/>
      <c r="J172" s="58"/>
      <c r="K172" s="57"/>
      <c r="L172" s="57"/>
      <c r="M172" s="27"/>
      <c r="N172" s="58"/>
      <c r="O172" s="57"/>
      <c r="P172" s="57"/>
      <c r="Q172" s="141"/>
      <c r="R172" s="208"/>
      <c r="S172" s="141"/>
      <c r="T172" s="165"/>
      <c r="U172" s="51"/>
    </row>
    <row r="173" spans="1:55" ht="16.5" thickBot="1" x14ac:dyDescent="0.25">
      <c r="A173" s="23"/>
      <c r="B173" s="5"/>
      <c r="C173" s="275"/>
      <c r="D173" s="275"/>
      <c r="E173" s="275"/>
      <c r="F173" s="275"/>
      <c r="G173" s="275"/>
      <c r="H173" s="27"/>
      <c r="I173" s="27"/>
      <c r="J173" s="58"/>
      <c r="K173" s="57"/>
      <c r="L173" s="57"/>
      <c r="M173" s="27"/>
      <c r="N173" s="58"/>
      <c r="O173" s="57"/>
      <c r="P173" s="57"/>
      <c r="Q173" s="141"/>
      <c r="R173" s="142"/>
      <c r="S173" s="141"/>
      <c r="T173" s="165"/>
      <c r="U173" s="51"/>
    </row>
    <row r="174" spans="1:55" ht="16.5" customHeight="1" thickBot="1" x14ac:dyDescent="0.25">
      <c r="A174" s="23"/>
      <c r="B174" s="5"/>
      <c r="C174" s="914" t="s">
        <v>1154</v>
      </c>
      <c r="D174" s="914"/>
      <c r="E174" s="914"/>
      <c r="F174" s="914"/>
      <c r="G174" s="914"/>
      <c r="H174" s="27"/>
      <c r="I174" s="27"/>
      <c r="J174" s="888" cm="1">
        <f t="array" ref="J174">INDEX(DataSheet2!$A$8:$DW$317,'Part 1'!$F$1,118)</f>
        <v>-19713025</v>
      </c>
      <c r="K174" s="889"/>
      <c r="L174" s="57"/>
      <c r="M174" s="27"/>
      <c r="N174" s="888" cm="1">
        <f t="array" ref="N174">INDEX(DataSheet2!$A$8:$DW$317,'Part 1'!$F$1,119)</f>
        <v>-14357</v>
      </c>
      <c r="O174" s="889"/>
      <c r="P174" s="57"/>
      <c r="Q174" s="141"/>
      <c r="R174" s="879" cm="1">
        <f t="array" ref="R174">INDEX(DataSheet2!$A$8:$DW$317,'Part 1'!$F$1,120)</f>
        <v>-19727382</v>
      </c>
      <c r="S174" s="880"/>
      <c r="T174" s="165"/>
      <c r="U174" s="51"/>
    </row>
    <row r="175" spans="1:55" ht="15" x14ac:dyDescent="0.2">
      <c r="A175" s="23"/>
      <c r="B175" s="5"/>
      <c r="C175" s="915"/>
      <c r="D175" s="916"/>
      <c r="E175" s="916"/>
      <c r="F175" s="916"/>
      <c r="G175" s="916"/>
      <c r="H175" s="27"/>
      <c r="I175" s="27"/>
      <c r="J175" s="27"/>
      <c r="K175" s="27"/>
      <c r="L175" s="27"/>
      <c r="M175" s="27"/>
      <c r="N175" s="27"/>
      <c r="O175" s="27"/>
      <c r="P175" s="57"/>
      <c r="Q175" s="153"/>
      <c r="R175" s="153"/>
      <c r="S175" s="153"/>
      <c r="T175" s="165"/>
      <c r="U175" s="51"/>
    </row>
    <row r="176" spans="1:55" ht="15" x14ac:dyDescent="0.2">
      <c r="A176" s="23"/>
      <c r="B176" s="5"/>
      <c r="C176" s="917"/>
      <c r="D176" s="917"/>
      <c r="E176" s="917"/>
      <c r="F176" s="917"/>
      <c r="G176" s="917"/>
      <c r="H176" s="27"/>
      <c r="I176" s="27"/>
      <c r="J176" s="27"/>
      <c r="K176" s="27"/>
      <c r="L176" s="27"/>
      <c r="M176" s="27"/>
      <c r="N176" s="27"/>
      <c r="O176" s="27"/>
      <c r="P176" s="57"/>
      <c r="Q176" s="153"/>
      <c r="R176" s="153"/>
      <c r="S176" s="153"/>
      <c r="T176" s="165"/>
      <c r="U176" s="51"/>
    </row>
    <row r="177" spans="1:21" ht="16.5" thickBot="1" x14ac:dyDescent="0.25">
      <c r="A177" s="23"/>
      <c r="B177" s="7"/>
      <c r="C177" s="54"/>
      <c r="D177" s="54"/>
      <c r="E177" s="54"/>
      <c r="F177" s="54"/>
      <c r="G177" s="54"/>
      <c r="H177" s="54"/>
      <c r="I177" s="54"/>
      <c r="J177" s="62"/>
      <c r="K177" s="63"/>
      <c r="L177" s="63"/>
      <c r="M177" s="63"/>
      <c r="N177" s="62"/>
      <c r="O177" s="62"/>
      <c r="P177" s="62"/>
      <c r="Q177" s="150"/>
      <c r="R177" s="149"/>
      <c r="S177" s="150"/>
      <c r="T177" s="166"/>
      <c r="U177" s="51"/>
    </row>
    <row r="178" spans="1:21" ht="15.75" thickBot="1" x14ac:dyDescent="0.25">
      <c r="A178" s="23"/>
      <c r="B178" s="2"/>
      <c r="C178" s="27"/>
      <c r="D178" s="27"/>
      <c r="E178" s="27"/>
      <c r="F178" s="27"/>
      <c r="G178" s="27"/>
      <c r="H178" s="27"/>
      <c r="I178" s="27"/>
      <c r="J178" s="57"/>
      <c r="K178" s="57"/>
      <c r="L178" s="57"/>
      <c r="M178" s="57"/>
      <c r="N178" s="57"/>
      <c r="O178" s="57"/>
      <c r="P178" s="57"/>
      <c r="Q178" s="141"/>
      <c r="R178" s="141"/>
      <c r="S178" s="141"/>
      <c r="T178" s="146"/>
      <c r="U178" s="51"/>
    </row>
    <row r="179" spans="1:21" ht="15" x14ac:dyDescent="0.2">
      <c r="A179" s="23"/>
      <c r="B179" s="585"/>
      <c r="C179" s="582"/>
      <c r="D179" s="582"/>
      <c r="E179" s="582"/>
      <c r="F179" s="582"/>
      <c r="G179" s="582"/>
      <c r="H179" s="582"/>
      <c r="I179" s="582"/>
      <c r="J179" s="581"/>
      <c r="K179" s="581"/>
      <c r="L179" s="581"/>
      <c r="M179" s="581"/>
      <c r="N179" s="581"/>
      <c r="O179" s="581"/>
      <c r="P179" s="581"/>
      <c r="Q179" s="144"/>
      <c r="R179" s="144"/>
      <c r="S179" s="144"/>
      <c r="T179" s="161"/>
      <c r="U179" s="51"/>
    </row>
    <row r="180" spans="1:21" ht="15.75" x14ac:dyDescent="0.25">
      <c r="A180" s="23"/>
      <c r="B180" s="586"/>
      <c r="C180" s="583" t="s">
        <v>600</v>
      </c>
      <c r="D180" s="309"/>
      <c r="E180" s="309"/>
      <c r="F180" s="309"/>
      <c r="G180" s="309"/>
      <c r="H180" s="309"/>
      <c r="I180" s="309"/>
      <c r="J180" s="458"/>
      <c r="K180" s="458"/>
      <c r="L180" s="458"/>
      <c r="M180" s="458"/>
      <c r="N180" s="458"/>
      <c r="O180" s="458"/>
      <c r="P180" s="458"/>
      <c r="Q180" s="141"/>
      <c r="R180" s="141"/>
      <c r="S180" s="141"/>
      <c r="T180" s="162"/>
      <c r="U180" s="51"/>
    </row>
    <row r="181" spans="1:21" ht="16.5" thickBot="1" x14ac:dyDescent="0.25">
      <c r="A181" s="23"/>
      <c r="B181" s="586"/>
      <c r="C181" s="309"/>
      <c r="D181" s="309"/>
      <c r="E181" s="309"/>
      <c r="F181" s="309"/>
      <c r="G181" s="309"/>
      <c r="H181" s="309"/>
      <c r="I181" s="309"/>
      <c r="J181" s="911"/>
      <c r="K181" s="911"/>
      <c r="L181" s="458"/>
      <c r="M181" s="458"/>
      <c r="N181" s="911"/>
      <c r="O181" s="911"/>
      <c r="P181" s="458"/>
      <c r="Q181" s="141"/>
      <c r="R181" s="921"/>
      <c r="S181" s="921"/>
      <c r="T181" s="162"/>
      <c r="U181" s="51"/>
    </row>
    <row r="182" spans="1:21" ht="16.5" thickBot="1" x14ac:dyDescent="0.25">
      <c r="A182" s="23"/>
      <c r="B182" s="586"/>
      <c r="C182" s="922" t="s">
        <v>1155</v>
      </c>
      <c r="D182" s="922"/>
      <c r="E182" s="922"/>
      <c r="F182" s="922"/>
      <c r="G182" s="922"/>
      <c r="H182" s="923"/>
      <c r="I182" s="309"/>
      <c r="J182" s="888" cm="1">
        <f t="array" ref="J182">INDEX(DataSheet2!$A$8:$DW$317,'Part 1'!$F$1,121)</f>
        <v>26966207255</v>
      </c>
      <c r="K182" s="889"/>
      <c r="L182" s="458"/>
      <c r="M182" s="458"/>
      <c r="N182" s="888" cm="1">
        <f t="array" ref="N182">INDEX(DataSheet2!$A$8:$DW$317,'Part 1'!$F$1,122)</f>
        <v>313587271</v>
      </c>
      <c r="O182" s="889"/>
      <c r="P182" s="458"/>
      <c r="Q182" s="141"/>
      <c r="R182" s="879" cm="1">
        <f t="array" ref="R182">INDEX(DataSheet2!$A$8:$DW$317,'Part 1'!$F$1,123)</f>
        <v>27279794526</v>
      </c>
      <c r="S182" s="880"/>
      <c r="T182" s="162"/>
      <c r="U182" s="51"/>
    </row>
    <row r="183" spans="1:21" ht="15.75" customHeight="1" x14ac:dyDescent="0.2">
      <c r="A183" s="23"/>
      <c r="B183" s="586"/>
      <c r="C183" s="922"/>
      <c r="D183" s="922"/>
      <c r="E183" s="922"/>
      <c r="F183" s="922"/>
      <c r="G183" s="922"/>
      <c r="H183" s="923"/>
      <c r="I183" s="309"/>
      <c r="J183" s="579"/>
      <c r="K183" s="458"/>
      <c r="L183" s="458"/>
      <c r="M183" s="458"/>
      <c r="N183" s="458"/>
      <c r="O183" s="458"/>
      <c r="P183" s="458"/>
      <c r="Q183" s="141"/>
      <c r="R183" s="142"/>
      <c r="S183" s="141"/>
      <c r="T183" s="162"/>
      <c r="U183" s="51"/>
    </row>
    <row r="184" spans="1:21" ht="15.75" x14ac:dyDescent="0.25">
      <c r="A184" s="23"/>
      <c r="B184" s="586"/>
      <c r="C184" s="924"/>
      <c r="D184" s="924"/>
      <c r="E184" s="924"/>
      <c r="F184" s="924"/>
      <c r="G184" s="924"/>
      <c r="H184" s="924"/>
      <c r="I184" s="309"/>
      <c r="J184" s="909"/>
      <c r="K184" s="910"/>
      <c r="L184" s="580"/>
      <c r="M184" s="580"/>
      <c r="N184" s="595"/>
      <c r="O184" s="580"/>
      <c r="P184" s="580"/>
      <c r="Q184" s="153"/>
      <c r="R184" s="257"/>
      <c r="S184" s="156"/>
      <c r="T184" s="162"/>
      <c r="U184" s="51"/>
    </row>
    <row r="185" spans="1:21" ht="15.75" thickBot="1" x14ac:dyDescent="0.25">
      <c r="A185" s="23"/>
      <c r="B185" s="587"/>
      <c r="C185" s="584"/>
      <c r="D185" s="584"/>
      <c r="E185" s="584"/>
      <c r="F185" s="584"/>
      <c r="G185" s="584"/>
      <c r="H185" s="584"/>
      <c r="I185" s="387"/>
      <c r="J185" s="387"/>
      <c r="K185" s="387"/>
      <c r="L185" s="387"/>
      <c r="M185" s="387"/>
      <c r="N185" s="387"/>
      <c r="O185" s="387"/>
      <c r="P185" s="387"/>
      <c r="Q185" s="169"/>
      <c r="R185" s="169"/>
      <c r="S185" s="169"/>
      <c r="T185" s="163"/>
      <c r="U185" s="51"/>
    </row>
    <row r="186" spans="1:21" x14ac:dyDescent="0.2">
      <c r="A186" s="23"/>
      <c r="B186" s="2"/>
      <c r="C186" s="2"/>
      <c r="D186" s="2"/>
      <c r="E186" s="2"/>
      <c r="F186" s="2"/>
      <c r="G186" s="2"/>
      <c r="H186" s="2"/>
      <c r="I186" s="2"/>
      <c r="J186" s="2"/>
      <c r="K186" s="2"/>
      <c r="L186" s="2"/>
      <c r="M186" s="2"/>
      <c r="N186" s="310"/>
      <c r="O186" s="310"/>
      <c r="P186" s="310"/>
      <c r="Q186" s="2"/>
      <c r="R186" s="2"/>
      <c r="S186" s="2"/>
      <c r="T186" s="2"/>
      <c r="U186" s="51"/>
    </row>
    <row r="187" spans="1:21" ht="15.75" hidden="1" x14ac:dyDescent="0.25">
      <c r="A187" s="23"/>
      <c r="B187" s="2"/>
      <c r="C187" s="86"/>
      <c r="D187" s="72"/>
      <c r="E187" s="72"/>
      <c r="F187" s="72"/>
      <c r="G187" s="72"/>
      <c r="H187" s="72"/>
      <c r="I187" s="72"/>
      <c r="J187" s="72"/>
      <c r="K187" s="72"/>
      <c r="L187" s="72"/>
      <c r="M187" s="72"/>
      <c r="N187" s="72"/>
      <c r="O187" s="72"/>
      <c r="P187" s="72"/>
      <c r="Q187" s="72"/>
      <c r="R187" s="72"/>
      <c r="S187" s="72"/>
      <c r="T187" s="2"/>
      <c r="U187" s="51"/>
    </row>
    <row r="188" spans="1:21" ht="16.5" hidden="1" thickBot="1" x14ac:dyDescent="0.3">
      <c r="A188" s="23"/>
      <c r="B188" s="2"/>
      <c r="C188" s="86"/>
      <c r="D188" s="72"/>
      <c r="E188" s="72"/>
      <c r="F188" s="72"/>
      <c r="G188" s="72"/>
      <c r="H188" s="72"/>
      <c r="I188" s="72"/>
      <c r="J188" s="72"/>
      <c r="K188" s="266" t="s">
        <v>778</v>
      </c>
      <c r="L188" s="904"/>
      <c r="M188" s="905"/>
      <c r="N188" s="905"/>
      <c r="O188" s="905"/>
      <c r="P188" s="905"/>
      <c r="Q188" s="905"/>
      <c r="R188" s="905"/>
      <c r="S188" s="906"/>
      <c r="T188" s="2"/>
      <c r="U188" s="51"/>
    </row>
    <row r="189" spans="1:21" ht="13.5" thickBot="1" x14ac:dyDescent="0.25">
      <c r="A189" s="24"/>
      <c r="B189" s="25"/>
      <c r="C189" s="25"/>
      <c r="D189" s="25"/>
      <c r="E189" s="25"/>
      <c r="F189" s="25"/>
      <c r="G189" s="25"/>
      <c r="H189" s="25"/>
      <c r="I189" s="25"/>
      <c r="J189" s="25"/>
      <c r="K189" s="25"/>
      <c r="L189" s="25"/>
      <c r="M189" s="25"/>
      <c r="N189" s="25"/>
      <c r="O189" s="25"/>
      <c r="P189" s="25"/>
      <c r="Q189" s="25"/>
      <c r="R189" s="25"/>
      <c r="S189" s="25"/>
      <c r="T189" s="25"/>
      <c r="U189" s="52"/>
    </row>
    <row r="191" spans="1:21" x14ac:dyDescent="0.2">
      <c r="B191" s="287"/>
      <c r="C191" s="287"/>
      <c r="D191" s="287"/>
      <c r="E191" s="287"/>
      <c r="F191" s="287"/>
      <c r="G191" s="287"/>
      <c r="H191" s="287"/>
      <c r="I191" s="287"/>
      <c r="J191" s="287"/>
      <c r="K191" s="287"/>
      <c r="L191" s="287"/>
      <c r="M191" s="287"/>
      <c r="N191" s="287"/>
      <c r="O191" s="287"/>
      <c r="P191" s="287"/>
      <c r="Q191" s="287"/>
      <c r="R191" s="287"/>
      <c r="S191" s="287"/>
      <c r="T191" s="287"/>
      <c r="U191" s="287"/>
    </row>
    <row r="192" spans="1:21" x14ac:dyDescent="0.2">
      <c r="B192" s="287"/>
      <c r="C192" s="287"/>
      <c r="D192" s="287"/>
      <c r="E192" s="287"/>
      <c r="F192" s="287"/>
      <c r="G192" s="287"/>
      <c r="H192" s="287"/>
      <c r="I192" s="287"/>
      <c r="J192" s="287"/>
      <c r="K192" s="287"/>
      <c r="L192" s="287"/>
      <c r="M192" s="287"/>
      <c r="N192" s="287"/>
      <c r="O192" s="287"/>
      <c r="P192" s="287"/>
      <c r="Q192" s="287"/>
      <c r="R192" s="287"/>
      <c r="S192" s="287"/>
      <c r="T192" s="287"/>
      <c r="U192" s="287"/>
    </row>
  </sheetData>
  <dataConsolidate/>
  <mergeCells count="175">
    <mergeCell ref="R68:S68"/>
    <mergeCell ref="R77:S77"/>
    <mergeCell ref="J74:K74"/>
    <mergeCell ref="N74:O74"/>
    <mergeCell ref="N46:O46"/>
    <mergeCell ref="R13:S13"/>
    <mergeCell ref="R33:S33"/>
    <mergeCell ref="A7:U7"/>
    <mergeCell ref="C15:D15"/>
    <mergeCell ref="C14:H14"/>
    <mergeCell ref="J18:K18"/>
    <mergeCell ref="N18:O18"/>
    <mergeCell ref="J26:K26"/>
    <mergeCell ref="N24:O24"/>
    <mergeCell ref="C13:H13"/>
    <mergeCell ref="R14:S14"/>
    <mergeCell ref="F19:G19"/>
    <mergeCell ref="J19:K19"/>
    <mergeCell ref="N26:O26"/>
    <mergeCell ref="R18:S18"/>
    <mergeCell ref="R19:S19"/>
    <mergeCell ref="J13:K13"/>
    <mergeCell ref="N13:O13"/>
    <mergeCell ref="R129:S129"/>
    <mergeCell ref="R100:S100"/>
    <mergeCell ref="A4:U4"/>
    <mergeCell ref="A8:U8"/>
    <mergeCell ref="N126:O126"/>
    <mergeCell ref="N123:O123"/>
    <mergeCell ref="R74:S74"/>
    <mergeCell ref="J29:K29"/>
    <mergeCell ref="J40:K40"/>
    <mergeCell ref="C42:G44"/>
    <mergeCell ref="N57:O57"/>
    <mergeCell ref="C17:H18"/>
    <mergeCell ref="J14:K14"/>
    <mergeCell ref="N14:O14"/>
    <mergeCell ref="C33:G34"/>
    <mergeCell ref="C89:G90"/>
    <mergeCell ref="C107:G109"/>
    <mergeCell ref="C36:G38"/>
    <mergeCell ref="J126:K126"/>
    <mergeCell ref="J120:K120"/>
    <mergeCell ref="A5:U5"/>
    <mergeCell ref="R120:S120"/>
    <mergeCell ref="R123:S123"/>
    <mergeCell ref="R117:S117"/>
    <mergeCell ref="N132:O132"/>
    <mergeCell ref="J89:K89"/>
    <mergeCell ref="J100:K100"/>
    <mergeCell ref="J111:K111"/>
    <mergeCell ref="N120:O120"/>
    <mergeCell ref="N111:O111"/>
    <mergeCell ref="J104:K104"/>
    <mergeCell ref="N100:O100"/>
    <mergeCell ref="N89:O89"/>
    <mergeCell ref="J129:K129"/>
    <mergeCell ref="N142:O142"/>
    <mergeCell ref="C154:L155"/>
    <mergeCell ref="J142:K142"/>
    <mergeCell ref="C145:G147"/>
    <mergeCell ref="N163:O163"/>
    <mergeCell ref="C59:G60"/>
    <mergeCell ref="C82:G83"/>
    <mergeCell ref="C77:G77"/>
    <mergeCell ref="J77:K77"/>
    <mergeCell ref="N77:O77"/>
    <mergeCell ref="N62:O62"/>
    <mergeCell ref="J136:K136"/>
    <mergeCell ref="N135:O135"/>
    <mergeCell ref="N97:O97"/>
    <mergeCell ref="J132:K132"/>
    <mergeCell ref="J107:K107"/>
    <mergeCell ref="N117:O117"/>
    <mergeCell ref="N68:O68"/>
    <mergeCell ref="J97:K97"/>
    <mergeCell ref="J85:K85"/>
    <mergeCell ref="N85:O85"/>
    <mergeCell ref="N82:O82"/>
    <mergeCell ref="C85:G87"/>
    <mergeCell ref="N71:O71"/>
    <mergeCell ref="R149:S149"/>
    <mergeCell ref="N166:O166"/>
    <mergeCell ref="R181:S181"/>
    <mergeCell ref="R182:S182"/>
    <mergeCell ref="J182:K182"/>
    <mergeCell ref="C182:H184"/>
    <mergeCell ref="R174:S174"/>
    <mergeCell ref="N174:O174"/>
    <mergeCell ref="N182:O182"/>
    <mergeCell ref="R157:S157"/>
    <mergeCell ref="J174:K174"/>
    <mergeCell ref="J170:K170"/>
    <mergeCell ref="C166:G168"/>
    <mergeCell ref="C157:G157"/>
    <mergeCell ref="C160:G160"/>
    <mergeCell ref="J160:K160"/>
    <mergeCell ref="N160:O160"/>
    <mergeCell ref="R160:S160"/>
    <mergeCell ref="R163:S163"/>
    <mergeCell ref="J163:K163"/>
    <mergeCell ref="J166:K166"/>
    <mergeCell ref="C163:G163"/>
    <mergeCell ref="L188:S188"/>
    <mergeCell ref="C104:G105"/>
    <mergeCell ref="C111:G112"/>
    <mergeCell ref="J184:K184"/>
    <mergeCell ref="J181:K181"/>
    <mergeCell ref="N181:O181"/>
    <mergeCell ref="J117:K117"/>
    <mergeCell ref="N170:O170"/>
    <mergeCell ref="R111:S111"/>
    <mergeCell ref="N129:O129"/>
    <mergeCell ref="N107:O107"/>
    <mergeCell ref="N104:O104"/>
    <mergeCell ref="R132:S132"/>
    <mergeCell ref="R126:S126"/>
    <mergeCell ref="J157:K157"/>
    <mergeCell ref="C174:G176"/>
    <mergeCell ref="J149:K149"/>
    <mergeCell ref="J145:K145"/>
    <mergeCell ref="C149:G150"/>
    <mergeCell ref="C142:G143"/>
    <mergeCell ref="N145:O145"/>
    <mergeCell ref="N149:O149"/>
    <mergeCell ref="N157:O157"/>
    <mergeCell ref="C170:G172"/>
    <mergeCell ref="A2:U2"/>
    <mergeCell ref="A3:U3"/>
    <mergeCell ref="C62:G63"/>
    <mergeCell ref="J123:K123"/>
    <mergeCell ref="R46:S46"/>
    <mergeCell ref="J36:K36"/>
    <mergeCell ref="N36:O36"/>
    <mergeCell ref="N51:O51"/>
    <mergeCell ref="J65:K65"/>
    <mergeCell ref="J59:K59"/>
    <mergeCell ref="N42:O42"/>
    <mergeCell ref="N59:O59"/>
    <mergeCell ref="R59:S59"/>
    <mergeCell ref="R62:S62"/>
    <mergeCell ref="R65:S65"/>
    <mergeCell ref="J51:K51"/>
    <mergeCell ref="J46:K46"/>
    <mergeCell ref="J82:K82"/>
    <mergeCell ref="N65:O65"/>
    <mergeCell ref="A6:U6"/>
    <mergeCell ref="C10:H10"/>
    <mergeCell ref="R97:S97"/>
    <mergeCell ref="R89:S89"/>
    <mergeCell ref="C21:F22"/>
    <mergeCell ref="V15:V16"/>
    <mergeCell ref="R36:S36"/>
    <mergeCell ref="R71:S71"/>
    <mergeCell ref="R51:S51"/>
    <mergeCell ref="R57:S57"/>
    <mergeCell ref="J57:K57"/>
    <mergeCell ref="J71:K71"/>
    <mergeCell ref="J68:K68"/>
    <mergeCell ref="J62:K62"/>
    <mergeCell ref="V38:AA39"/>
    <mergeCell ref="N33:O33"/>
    <mergeCell ref="J15:K16"/>
    <mergeCell ref="J17:K17"/>
    <mergeCell ref="N17:O17"/>
    <mergeCell ref="R17:S17"/>
    <mergeCell ref="N15:O16"/>
    <mergeCell ref="R15:S16"/>
    <mergeCell ref="N29:O29"/>
    <mergeCell ref="J24:K24"/>
    <mergeCell ref="J33:K33"/>
    <mergeCell ref="N40:O40"/>
    <mergeCell ref="N19:O19"/>
    <mergeCell ref="J42:K42"/>
    <mergeCell ref="R29:S29"/>
  </mergeCells>
  <phoneticPr fontId="6" type="noConversion"/>
  <dataValidations count="1">
    <dataValidation type="textLength" operator="equal" allowBlank="1" showInputMessage="1" showErrorMessage="1" error="Don't change as fixes other cells" sqref="AT1" xr:uid="{00000000-0002-0000-0200-00000C000000}">
      <formula1>3</formula1>
    </dataValidation>
  </dataValidations>
  <printOptions horizontalCentered="1"/>
  <pageMargins left="0.39370078740157483" right="0.39370078740157483" top="0.39370078740157483" bottom="0.39370078740157483" header="0.31496062992125984" footer="0.31496062992125984"/>
  <pageSetup paperSize="9" scale="67" fitToHeight="0" orientation="portrait" r:id="rId1"/>
  <headerFooter alignWithMargins="0"/>
  <rowBreaks count="3" manualBreakCount="3">
    <brk id="53" max="20" man="1"/>
    <brk id="114" max="16383" man="1"/>
    <brk id="153" max="2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U72"/>
  <sheetViews>
    <sheetView showGridLines="0" zoomScaleNormal="100" workbookViewId="0">
      <selection activeCell="C8" sqref="C8"/>
    </sheetView>
  </sheetViews>
  <sheetFormatPr defaultColWidth="9.140625" defaultRowHeight="15" x14ac:dyDescent="0.2"/>
  <cols>
    <col min="1" max="2" width="1.7109375" style="33" customWidth="1"/>
    <col min="3" max="3" width="21.42578125" style="33" customWidth="1"/>
    <col min="4" max="4" width="11" style="33" customWidth="1"/>
    <col min="5" max="5" width="22.85546875" style="33" customWidth="1"/>
    <col min="6" max="6" width="5.7109375" style="33" customWidth="1"/>
    <col min="7" max="8" width="11.42578125" style="33" customWidth="1"/>
    <col min="9" max="10" width="2.7109375" style="33" customWidth="1"/>
    <col min="11" max="12" width="11.42578125" style="33" customWidth="1"/>
    <col min="13" max="14" width="2.7109375" style="33" customWidth="1"/>
    <col min="15" max="16" width="11.42578125" style="33" customWidth="1"/>
    <col min="17" max="18" width="1.7109375" style="33" customWidth="1"/>
    <col min="19" max="19" width="8.7109375" style="33" customWidth="1"/>
    <col min="20" max="20" width="6.42578125" style="33" customWidth="1"/>
    <col min="21" max="51" width="9.140625" style="33" customWidth="1"/>
    <col min="52" max="16384" width="9.140625" style="33"/>
  </cols>
  <sheetData>
    <row r="1" spans="1:47" x14ac:dyDescent="0.2">
      <c r="A1" s="66"/>
      <c r="B1" s="67"/>
      <c r="C1" s="67"/>
      <c r="D1" s="67"/>
      <c r="E1" s="67"/>
      <c r="F1" s="67"/>
      <c r="G1" s="67"/>
      <c r="H1" s="67"/>
      <c r="I1" s="67"/>
      <c r="J1" s="67"/>
      <c r="K1" s="67"/>
      <c r="L1" s="67"/>
      <c r="M1" s="67"/>
      <c r="N1" s="67"/>
      <c r="O1" s="67"/>
      <c r="P1" s="297"/>
      <c r="Q1" s="297"/>
      <c r="R1" s="68"/>
      <c r="AU1" s="9" t="s">
        <v>772</v>
      </c>
    </row>
    <row r="2" spans="1:47" ht="15.75" x14ac:dyDescent="0.25">
      <c r="A2" s="892" t="s">
        <v>610</v>
      </c>
      <c r="B2" s="893"/>
      <c r="C2" s="893"/>
      <c r="D2" s="893"/>
      <c r="E2" s="893"/>
      <c r="F2" s="893"/>
      <c r="G2" s="893"/>
      <c r="H2" s="893"/>
      <c r="I2" s="893"/>
      <c r="J2" s="893"/>
      <c r="K2" s="893"/>
      <c r="L2" s="893"/>
      <c r="M2" s="893"/>
      <c r="N2" s="893"/>
      <c r="O2" s="893"/>
      <c r="P2" s="893"/>
      <c r="Q2" s="893"/>
      <c r="R2" s="894"/>
    </row>
    <row r="3" spans="1:47" ht="15.75" x14ac:dyDescent="0.25">
      <c r="A3" s="892" t="s">
        <v>1060</v>
      </c>
      <c r="B3" s="895"/>
      <c r="C3" s="895"/>
      <c r="D3" s="895"/>
      <c r="E3" s="895"/>
      <c r="F3" s="895"/>
      <c r="G3" s="895"/>
      <c r="H3" s="895"/>
      <c r="I3" s="895"/>
      <c r="J3" s="895"/>
      <c r="K3" s="895"/>
      <c r="L3" s="895"/>
      <c r="M3" s="895"/>
      <c r="N3" s="895"/>
      <c r="O3" s="895"/>
      <c r="P3" s="895"/>
      <c r="Q3" s="895"/>
      <c r="R3" s="896"/>
    </row>
    <row r="4" spans="1:47" ht="15.75" x14ac:dyDescent="0.25">
      <c r="A4" s="291"/>
      <c r="B4" s="293"/>
      <c r="C4" s="293"/>
      <c r="D4" s="293"/>
      <c r="E4" s="293"/>
      <c r="F4" s="293"/>
      <c r="G4" s="293"/>
      <c r="H4" s="293"/>
      <c r="I4" s="293"/>
      <c r="J4" s="293"/>
      <c r="K4" s="293"/>
      <c r="L4" s="293"/>
      <c r="M4" s="293"/>
      <c r="N4" s="293"/>
      <c r="O4" s="293"/>
      <c r="P4" s="293"/>
      <c r="Q4" s="293"/>
      <c r="R4" s="294"/>
    </row>
    <row r="5" spans="1:47" x14ac:dyDescent="0.2">
      <c r="A5" s="899" t="s">
        <v>775</v>
      </c>
      <c r="B5" s="900"/>
      <c r="C5" s="900"/>
      <c r="D5" s="900"/>
      <c r="E5" s="900"/>
      <c r="F5" s="900"/>
      <c r="G5" s="900"/>
      <c r="H5" s="900"/>
      <c r="I5" s="900"/>
      <c r="J5" s="900"/>
      <c r="K5" s="900"/>
      <c r="L5" s="900"/>
      <c r="M5" s="900"/>
      <c r="N5" s="900"/>
      <c r="O5" s="900"/>
      <c r="P5" s="900"/>
      <c r="Q5" s="900"/>
      <c r="R5" s="901"/>
    </row>
    <row r="6" spans="1:47" ht="15.75" thickBot="1" x14ac:dyDescent="0.25">
      <c r="A6" s="69"/>
      <c r="B6" s="70"/>
      <c r="C6" s="70"/>
      <c r="D6" s="70"/>
      <c r="E6" s="70"/>
      <c r="F6" s="70"/>
      <c r="G6" s="70"/>
      <c r="H6" s="70"/>
      <c r="I6" s="70"/>
      <c r="J6" s="70"/>
      <c r="K6" s="70"/>
      <c r="L6" s="70"/>
      <c r="M6" s="70"/>
      <c r="N6" s="70"/>
      <c r="O6" s="312" t="s">
        <v>792</v>
      </c>
      <c r="P6" s="472">
        <f>+'Part 1'!X19</f>
        <v>1.1000000000000001</v>
      </c>
      <c r="Q6" s="298"/>
      <c r="R6" s="71"/>
    </row>
    <row r="7" spans="1:47" x14ac:dyDescent="0.2">
      <c r="A7" s="23"/>
      <c r="B7" s="2"/>
      <c r="C7" s="959"/>
      <c r="D7" s="959"/>
      <c r="E7" s="959"/>
      <c r="F7" s="959"/>
      <c r="G7" s="959"/>
      <c r="H7" s="2"/>
      <c r="I7" s="2"/>
      <c r="J7" s="2"/>
      <c r="K7" s="2"/>
      <c r="L7" s="2"/>
      <c r="M7" s="2"/>
      <c r="N7" s="2"/>
      <c r="O7" s="2"/>
      <c r="P7" s="2"/>
      <c r="Q7" s="2"/>
      <c r="R7" s="51"/>
    </row>
    <row r="8" spans="1:47" ht="18" x14ac:dyDescent="0.25">
      <c r="A8" s="41"/>
      <c r="B8" s="27"/>
      <c r="C8" s="73" t="str">
        <f>+CONCATENATE("Local Authority : ",+'Part 1'!L14)</f>
        <v>Local Authority : England</v>
      </c>
      <c r="D8" s="73"/>
      <c r="E8" s="299"/>
      <c r="F8" s="299"/>
      <c r="G8" s="299"/>
      <c r="H8" s="27"/>
      <c r="I8" s="27"/>
      <c r="J8" s="27"/>
      <c r="K8" s="27"/>
      <c r="L8" s="27"/>
      <c r="M8" s="27"/>
      <c r="N8" s="27"/>
      <c r="O8" s="27"/>
      <c r="P8" s="27"/>
      <c r="Q8" s="27"/>
      <c r="R8" s="28"/>
    </row>
    <row r="9" spans="1:47" ht="15.75" x14ac:dyDescent="0.25">
      <c r="A9" s="37"/>
      <c r="B9" s="299"/>
      <c r="C9" s="299"/>
      <c r="D9" s="299"/>
      <c r="E9" s="38"/>
      <c r="F9" s="40"/>
      <c r="G9" s="40"/>
      <c r="H9" s="40"/>
      <c r="I9" s="40"/>
      <c r="J9" s="27"/>
      <c r="K9" s="27"/>
      <c r="L9" s="27"/>
      <c r="M9" s="27"/>
      <c r="N9" s="27"/>
      <c r="O9" s="27"/>
      <c r="P9" s="27"/>
      <c r="Q9" s="27"/>
      <c r="R9" s="28"/>
    </row>
    <row r="10" spans="1:47" ht="15.75" x14ac:dyDescent="0.25">
      <c r="A10" s="37"/>
      <c r="B10" s="299"/>
      <c r="C10" s="295" t="s">
        <v>774</v>
      </c>
      <c r="D10" s="299"/>
      <c r="E10" s="38"/>
      <c r="F10" s="40"/>
      <c r="G10" s="40"/>
      <c r="H10" s="40"/>
      <c r="I10" s="40"/>
      <c r="J10" s="27"/>
      <c r="K10" s="960"/>
      <c r="L10" s="960"/>
      <c r="M10" s="960"/>
      <c r="N10" s="27"/>
      <c r="O10" s="27"/>
      <c r="P10" s="27"/>
      <c r="Q10" s="27"/>
      <c r="R10" s="28"/>
    </row>
    <row r="11" spans="1:47" ht="15.75" customHeight="1" x14ac:dyDescent="0.25">
      <c r="A11" s="39"/>
      <c r="B11" s="38"/>
      <c r="C11" s="936"/>
      <c r="D11" s="936"/>
      <c r="E11" s="936"/>
      <c r="F11" s="301"/>
      <c r="G11" s="933" t="s">
        <v>585</v>
      </c>
      <c r="H11" s="933"/>
      <c r="I11" s="40"/>
      <c r="J11" s="357"/>
      <c r="K11" s="933" t="s">
        <v>586</v>
      </c>
      <c r="L11" s="933"/>
      <c r="M11" s="401"/>
      <c r="N11" s="300"/>
      <c r="O11" s="958" t="s">
        <v>587</v>
      </c>
      <c r="P11" s="933"/>
      <c r="Q11" s="300"/>
      <c r="R11" s="28"/>
    </row>
    <row r="12" spans="1:47" ht="15.75" customHeight="1" x14ac:dyDescent="0.25">
      <c r="A12" s="39"/>
      <c r="B12" s="38"/>
      <c r="C12" s="38"/>
      <c r="D12" s="38"/>
      <c r="E12" s="38"/>
      <c r="F12" s="38"/>
      <c r="G12" s="954" t="s">
        <v>736</v>
      </c>
      <c r="H12" s="955"/>
      <c r="I12" s="535"/>
      <c r="J12" s="200"/>
      <c r="K12" s="805" t="s">
        <v>805</v>
      </c>
      <c r="L12" s="956"/>
      <c r="M12" s="536"/>
      <c r="N12" s="200"/>
      <c r="O12" s="957" t="s">
        <v>29</v>
      </c>
      <c r="P12" s="955"/>
      <c r="Q12" s="307"/>
      <c r="R12" s="28"/>
    </row>
    <row r="13" spans="1:47" ht="34.5" customHeight="1" x14ac:dyDescent="0.2">
      <c r="A13" s="39"/>
      <c r="B13" s="38"/>
      <c r="C13" s="38"/>
      <c r="D13" s="38"/>
      <c r="E13" s="38"/>
      <c r="F13" s="38"/>
      <c r="G13" s="955"/>
      <c r="H13" s="955"/>
      <c r="I13" s="535"/>
      <c r="J13" s="200"/>
      <c r="K13" s="956"/>
      <c r="L13" s="956"/>
      <c r="M13" s="536"/>
      <c r="N13" s="200"/>
      <c r="O13" s="955"/>
      <c r="P13" s="955"/>
      <c r="Q13" s="27"/>
      <c r="R13" s="28"/>
    </row>
    <row r="14" spans="1:47" ht="11.25" customHeight="1" x14ac:dyDescent="0.25">
      <c r="A14" s="39"/>
      <c r="B14" s="38"/>
      <c r="C14" s="38"/>
      <c r="D14" s="38"/>
      <c r="E14" s="38"/>
      <c r="F14" s="38"/>
      <c r="G14" s="886"/>
      <c r="H14" s="886"/>
      <c r="I14" s="40"/>
      <c r="J14" s="200"/>
      <c r="K14" s="887"/>
      <c r="L14" s="887"/>
      <c r="M14" s="306"/>
      <c r="N14" s="200"/>
      <c r="O14" s="887"/>
      <c r="P14" s="887"/>
      <c r="Q14" s="27"/>
      <c r="R14" s="28"/>
    </row>
    <row r="15" spans="1:47" ht="16.5" thickBot="1" x14ac:dyDescent="0.3">
      <c r="A15" s="39"/>
      <c r="B15" s="299"/>
      <c r="C15" s="299" t="s">
        <v>600</v>
      </c>
      <c r="D15" s="299"/>
      <c r="E15" s="38"/>
      <c r="F15" s="38"/>
      <c r="G15" s="970" t="s">
        <v>577</v>
      </c>
      <c r="H15" s="970"/>
      <c r="I15" s="40"/>
      <c r="J15" s="27"/>
      <c r="K15" s="971" t="s">
        <v>577</v>
      </c>
      <c r="L15" s="971"/>
      <c r="M15" s="306"/>
      <c r="N15" s="153"/>
      <c r="O15" s="972" t="s">
        <v>577</v>
      </c>
      <c r="P15" s="972"/>
      <c r="Q15" s="153"/>
      <c r="R15" s="28"/>
    </row>
    <row r="16" spans="1:47" ht="16.5" thickBot="1" x14ac:dyDescent="0.3">
      <c r="A16" s="39"/>
      <c r="B16" s="38"/>
      <c r="C16" s="845" t="s">
        <v>624</v>
      </c>
      <c r="D16" s="973"/>
      <c r="E16" s="973"/>
      <c r="F16" s="38"/>
      <c r="G16" s="975" cm="1">
        <f t="array" ref="G16">INDEX(DataSheet3!$A$8:$AP$317,'Part 1'!$F$1,6)</f>
        <v>26966207255</v>
      </c>
      <c r="H16" s="976"/>
      <c r="I16" s="40"/>
      <c r="J16" s="57"/>
      <c r="K16" s="829" cm="1">
        <f t="array" ref="K16">INDEX(DataSheet3!$A$8:$AP$317,'Part 1'!$F$1,7)</f>
        <v>313587271</v>
      </c>
      <c r="L16" s="830"/>
      <c r="M16" s="544"/>
      <c r="N16" s="314"/>
      <c r="O16" s="952" cm="1">
        <f t="array" ref="O16">INDEX(DataSheet3!$A$8:$AP$317,'Part 1'!$F$1,8)</f>
        <v>27279794526</v>
      </c>
      <c r="P16" s="953"/>
      <c r="Q16" s="156"/>
      <c r="R16" s="51"/>
      <c r="V16" s="9"/>
    </row>
    <row r="17" spans="1:22" ht="15.75" x14ac:dyDescent="0.25">
      <c r="A17" s="39"/>
      <c r="B17" s="38"/>
      <c r="C17" s="973"/>
      <c r="D17" s="973"/>
      <c r="E17" s="973"/>
      <c r="F17" s="38"/>
      <c r="G17" s="57"/>
      <c r="H17" s="57"/>
      <c r="I17" s="40"/>
      <c r="J17" s="286"/>
      <c r="K17" s="282"/>
      <c r="L17" s="286"/>
      <c r="M17" s="286"/>
      <c r="N17" s="141"/>
      <c r="O17" s="141"/>
      <c r="P17" s="141"/>
      <c r="Q17" s="153"/>
      <c r="R17" s="28"/>
    </row>
    <row r="18" spans="1:22" ht="15.75" customHeight="1" x14ac:dyDescent="0.25">
      <c r="A18" s="39"/>
      <c r="B18" s="38"/>
      <c r="C18" s="974"/>
      <c r="D18" s="974"/>
      <c r="E18" s="974"/>
      <c r="F18" s="38"/>
      <c r="G18" s="285"/>
      <c r="H18" s="285"/>
      <c r="I18" s="285"/>
      <c r="J18" s="286"/>
      <c r="K18" s="286"/>
      <c r="L18" s="286"/>
      <c r="M18" s="286"/>
      <c r="N18" s="141"/>
      <c r="O18" s="141"/>
      <c r="P18" s="141"/>
      <c r="Q18" s="153"/>
      <c r="R18" s="28"/>
    </row>
    <row r="19" spans="1:22" ht="15.75" x14ac:dyDescent="0.25">
      <c r="A19" s="39"/>
      <c r="B19" s="38"/>
      <c r="C19" s="237"/>
      <c r="D19" s="38"/>
      <c r="E19" s="38"/>
      <c r="F19" s="38"/>
      <c r="G19" s="284"/>
      <c r="H19" s="284"/>
      <c r="I19" s="40"/>
      <c r="J19" s="286"/>
      <c r="K19" s="286"/>
      <c r="L19" s="286"/>
      <c r="M19" s="286"/>
      <c r="N19" s="141"/>
      <c r="O19" s="141"/>
      <c r="P19" s="141"/>
      <c r="Q19" s="153"/>
      <c r="R19" s="28"/>
    </row>
    <row r="20" spans="1:22" ht="16.5" thickBot="1" x14ac:dyDescent="0.3">
      <c r="A20" s="39"/>
      <c r="B20" s="40"/>
      <c r="C20" s="40" t="s">
        <v>613</v>
      </c>
      <c r="D20" s="38"/>
      <c r="E20" s="38"/>
      <c r="F20" s="38"/>
      <c r="G20" s="57"/>
      <c r="H20" s="57"/>
      <c r="I20" s="40"/>
      <c r="J20" s="57"/>
      <c r="K20" s="57"/>
      <c r="L20" s="57"/>
      <c r="M20" s="306"/>
      <c r="N20" s="141"/>
      <c r="O20" s="141"/>
      <c r="P20" s="141"/>
      <c r="Q20" s="153"/>
      <c r="R20" s="28"/>
    </row>
    <row r="21" spans="1:22" ht="16.5" thickBot="1" x14ac:dyDescent="0.3">
      <c r="A21" s="39"/>
      <c r="B21" s="38"/>
      <c r="C21" s="845" t="s">
        <v>1077</v>
      </c>
      <c r="D21" s="845"/>
      <c r="E21" s="845"/>
      <c r="F21" s="38"/>
      <c r="G21" s="827" cm="1">
        <f t="array" ref="G21">INDEX(DataSheet3!$A$8:$AP$317,'Part 1'!$F$1,9)</f>
        <v>-644082570</v>
      </c>
      <c r="H21" s="828"/>
      <c r="I21" s="40"/>
      <c r="J21" s="57"/>
      <c r="K21" s="829" cm="1">
        <f t="array" ref="K21">INDEX(DataSheet3!$A$8:$AP$317,'Part 1'!$F$1,10)</f>
        <v>-8733757</v>
      </c>
      <c r="L21" s="830"/>
      <c r="M21" s="306"/>
      <c r="N21" s="141"/>
      <c r="O21" s="952" cm="1">
        <f t="array" ref="O21">INDEX(DataSheet3!$A$8:$AP$317,'Part 1'!$F$1,11)</f>
        <v>-652816327</v>
      </c>
      <c r="P21" s="953"/>
      <c r="Q21" s="156"/>
      <c r="R21" s="51"/>
      <c r="S21" s="205"/>
    </row>
    <row r="22" spans="1:22" ht="15.75" x14ac:dyDescent="0.25">
      <c r="A22" s="39"/>
      <c r="B22" s="38"/>
      <c r="C22" s="845"/>
      <c r="D22" s="845"/>
      <c r="E22" s="845"/>
      <c r="F22" s="38"/>
      <c r="G22" s="57"/>
      <c r="H22" s="57"/>
      <c r="I22" s="40"/>
      <c r="J22" s="57"/>
      <c r="K22" s="57"/>
      <c r="L22" s="57"/>
      <c r="M22" s="306"/>
      <c r="N22" s="141"/>
      <c r="O22" s="141"/>
      <c r="P22" s="141"/>
      <c r="Q22" s="153"/>
      <c r="R22" s="28"/>
    </row>
    <row r="23" spans="1:22" ht="16.5" thickBot="1" x14ac:dyDescent="0.3">
      <c r="A23" s="39"/>
      <c r="B23" s="38"/>
      <c r="C23" s="296"/>
      <c r="D23" s="296"/>
      <c r="E23" s="296"/>
      <c r="F23" s="38"/>
      <c r="G23" s="57"/>
      <c r="H23" s="57"/>
      <c r="I23" s="40"/>
      <c r="J23" s="57"/>
      <c r="K23" s="57"/>
      <c r="L23" s="57"/>
      <c r="M23" s="306"/>
      <c r="N23" s="141"/>
      <c r="O23" s="141"/>
      <c r="P23" s="141"/>
      <c r="Q23" s="153"/>
      <c r="R23" s="28"/>
    </row>
    <row r="24" spans="1:22" ht="16.5" customHeight="1" thickBot="1" x14ac:dyDescent="0.3">
      <c r="A24" s="39"/>
      <c r="B24" s="38"/>
      <c r="C24" s="845" t="s">
        <v>1078</v>
      </c>
      <c r="D24" s="845"/>
      <c r="E24" s="845"/>
      <c r="F24" s="38"/>
      <c r="G24" s="827" cm="1">
        <f t="array" ref="G24">INDEX(DataSheet3!$A$8:$AP$317,'Part 1'!$F$1,12)</f>
        <v>-1152905142</v>
      </c>
      <c r="H24" s="828"/>
      <c r="I24" s="40"/>
      <c r="J24" s="57"/>
      <c r="K24" s="829" cm="1">
        <f t="array" ref="K24">INDEX(DataSheet3!$A$8:$AP$317,'Part 1'!$F$1,13)</f>
        <v>-9257140</v>
      </c>
      <c r="L24" s="830"/>
      <c r="M24" s="306"/>
      <c r="N24" s="141"/>
      <c r="O24" s="952" cm="1">
        <f t="array" ref="O24">INDEX(DataSheet3!$A$8:$AP$317,'Part 1'!$F$1,14)</f>
        <v>-1162162282</v>
      </c>
      <c r="P24" s="953"/>
      <c r="Q24" s="156"/>
      <c r="R24" s="51"/>
      <c r="S24" s="205"/>
    </row>
    <row r="25" spans="1:22" ht="15.75" x14ac:dyDescent="0.25">
      <c r="A25" s="39"/>
      <c r="B25" s="38"/>
      <c r="C25" s="845"/>
      <c r="D25" s="845"/>
      <c r="E25" s="845"/>
      <c r="F25" s="38"/>
      <c r="G25" s="58"/>
      <c r="H25" s="58"/>
      <c r="I25" s="40"/>
      <c r="J25" s="57"/>
      <c r="K25" s="58"/>
      <c r="L25" s="58"/>
      <c r="M25" s="306"/>
      <c r="N25" s="141"/>
      <c r="O25" s="303"/>
      <c r="P25" s="141"/>
      <c r="Q25" s="156"/>
      <c r="R25" s="28"/>
    </row>
    <row r="26" spans="1:22" ht="16.5" thickBot="1" x14ac:dyDescent="0.25">
      <c r="A26" s="39"/>
      <c r="B26" s="38"/>
      <c r="C26" s="292"/>
      <c r="D26" s="292"/>
      <c r="E26" s="292"/>
      <c r="F26" s="38"/>
      <c r="G26" s="58"/>
      <c r="H26" s="58"/>
      <c r="I26" s="382"/>
      <c r="J26" s="382"/>
      <c r="K26" s="58"/>
      <c r="L26" s="58"/>
      <c r="M26" s="58"/>
      <c r="N26" s="141"/>
      <c r="O26" s="303"/>
      <c r="P26" s="141"/>
      <c r="Q26" s="156"/>
      <c r="R26" s="28"/>
    </row>
    <row r="27" spans="1:22" ht="15.75" x14ac:dyDescent="0.2">
      <c r="A27" s="39"/>
      <c r="B27" s="132"/>
      <c r="C27" s="133"/>
      <c r="D27" s="133"/>
      <c r="E27" s="133"/>
      <c r="F27" s="134"/>
      <c r="G27" s="135"/>
      <c r="H27" s="135"/>
      <c r="I27" s="383"/>
      <c r="J27" s="255"/>
      <c r="K27" s="135"/>
      <c r="L27" s="135"/>
      <c r="M27" s="135"/>
      <c r="N27" s="251"/>
      <c r="O27" s="143"/>
      <c r="P27" s="144"/>
      <c r="Q27" s="157"/>
      <c r="R27" s="28"/>
    </row>
    <row r="28" spans="1:22" ht="16.5" thickBot="1" x14ac:dyDescent="0.3">
      <c r="A28" s="39"/>
      <c r="B28" s="136"/>
      <c r="C28" s="40" t="s">
        <v>517</v>
      </c>
      <c r="D28" s="38"/>
      <c r="E28" s="38"/>
      <c r="F28" s="38"/>
      <c r="G28" s="57"/>
      <c r="H28" s="57"/>
      <c r="I28" s="40"/>
      <c r="J28" s="389"/>
      <c r="K28" s="57"/>
      <c r="L28" s="57"/>
      <c r="M28" s="306"/>
      <c r="N28" s="252"/>
      <c r="O28" s="141"/>
      <c r="P28" s="141"/>
      <c r="Q28" s="158"/>
      <c r="R28" s="28"/>
    </row>
    <row r="29" spans="1:22" ht="16.5" thickBot="1" x14ac:dyDescent="0.3">
      <c r="A29" s="39"/>
      <c r="B29" s="137"/>
      <c r="C29" s="273" t="s">
        <v>618</v>
      </c>
      <c r="D29" s="38"/>
      <c r="E29" s="38"/>
      <c r="F29" s="38"/>
      <c r="G29" s="965" cm="1">
        <f t="array" ref="G29">INDEX(DataSheet3!$A$8:$AP$317,'Part 1'!$F$1,15)</f>
        <v>25169219543</v>
      </c>
      <c r="H29" s="966"/>
      <c r="I29" s="40"/>
      <c r="J29" s="389"/>
      <c r="K29" s="965" cm="1">
        <f t="array" ref="K29">INDEX(DataSheet3!$A$8:$AP$317,'Part 1'!$F$1,16)</f>
        <v>295596374</v>
      </c>
      <c r="L29" s="966"/>
      <c r="M29" s="306"/>
      <c r="N29" s="252"/>
      <c r="O29" s="952" cm="1">
        <f t="array" ref="O29">INDEX(DataSheet3!$A$8:$AP$317,'Part 1'!$F$1,17)</f>
        <v>25464815917</v>
      </c>
      <c r="P29" s="953"/>
      <c r="Q29" s="158"/>
      <c r="R29" s="51"/>
    </row>
    <row r="30" spans="1:22" ht="16.5" thickBot="1" x14ac:dyDescent="0.25">
      <c r="A30" s="39"/>
      <c r="B30" s="138"/>
      <c r="C30" s="139"/>
      <c r="D30" s="139"/>
      <c r="E30" s="139"/>
      <c r="F30" s="139"/>
      <c r="G30" s="140"/>
      <c r="H30" s="140"/>
      <c r="I30" s="382"/>
      <c r="J30" s="254"/>
      <c r="K30" s="140"/>
      <c r="L30" s="140"/>
      <c r="M30" s="140"/>
      <c r="N30" s="253"/>
      <c r="O30" s="145"/>
      <c r="P30" s="145"/>
      <c r="Q30" s="159"/>
      <c r="R30" s="28"/>
    </row>
    <row r="31" spans="1:22" ht="15.75" x14ac:dyDescent="0.25">
      <c r="A31" s="39"/>
      <c r="B31" s="38"/>
      <c r="C31" s="38"/>
      <c r="D31" s="38"/>
      <c r="E31" s="38"/>
      <c r="F31" s="38"/>
      <c r="G31" s="57"/>
      <c r="H31" s="57"/>
      <c r="I31" s="383"/>
      <c r="J31" s="383"/>
      <c r="K31" s="57"/>
      <c r="L31" s="57"/>
      <c r="M31" s="306"/>
      <c r="N31" s="141"/>
      <c r="O31" s="141"/>
      <c r="P31" s="141"/>
      <c r="Q31" s="153"/>
      <c r="R31" s="28"/>
    </row>
    <row r="32" spans="1:22" ht="15" customHeight="1" x14ac:dyDescent="0.25">
      <c r="A32" s="39"/>
      <c r="B32" s="38"/>
      <c r="C32" s="40"/>
      <c r="D32" s="38"/>
      <c r="E32" s="884"/>
      <c r="F32" s="38"/>
      <c r="G32" s="57"/>
      <c r="H32" s="57"/>
      <c r="I32" s="40"/>
      <c r="J32" s="57"/>
      <c r="K32" s="57"/>
      <c r="L32" s="57"/>
      <c r="M32" s="306"/>
      <c r="N32" s="390"/>
      <c r="O32" s="201"/>
      <c r="P32" s="201"/>
      <c r="Q32" s="153"/>
      <c r="R32" s="28"/>
      <c r="V32" s="203"/>
    </row>
    <row r="33" spans="1:22" ht="15" customHeight="1" thickBot="1" x14ac:dyDescent="0.3">
      <c r="A33" s="39"/>
      <c r="B33" s="38"/>
      <c r="C33" s="16" t="s">
        <v>798</v>
      </c>
      <c r="D33" s="38"/>
      <c r="E33" s="885"/>
      <c r="F33" s="38"/>
      <c r="G33" s="57"/>
      <c r="H33" s="57"/>
      <c r="I33" s="40"/>
      <c r="J33" s="57"/>
      <c r="K33" s="57"/>
      <c r="L33" s="57"/>
      <c r="M33" s="306"/>
      <c r="N33" s="141"/>
      <c r="O33" s="967"/>
      <c r="P33" s="967"/>
      <c r="Q33" s="153"/>
      <c r="R33" s="28"/>
      <c r="V33" s="203"/>
    </row>
    <row r="34" spans="1:22" ht="16.5" thickBot="1" x14ac:dyDescent="0.3">
      <c r="A34" s="39"/>
      <c r="B34" s="27"/>
      <c r="C34" s="10" t="s">
        <v>242</v>
      </c>
      <c r="D34" s="27"/>
      <c r="E34" s="884"/>
      <c r="F34" s="38"/>
      <c r="G34" s="827" cm="1">
        <f t="array" ref="G34">INDEX(DataSheet3!$A$8:$AP$317,'Part 1'!$F$1,18)</f>
        <v>85800754</v>
      </c>
      <c r="H34" s="828"/>
      <c r="I34" s="40"/>
      <c r="J34" s="57"/>
      <c r="K34" s="829" cm="1">
        <f t="array" ref="K34">INDEX(DataSheet3!$A$8:$AP$317,'Part 1'!$F$1,19)</f>
        <v>1042286</v>
      </c>
      <c r="L34" s="830"/>
      <c r="M34" s="306"/>
      <c r="N34" s="141"/>
      <c r="O34" s="952" cm="1">
        <f t="array" ref="O34">INDEX(DataSheet3!$A$8:$AP$317,'Part 1'!$F$1,20)</f>
        <v>86843040</v>
      </c>
      <c r="P34" s="953"/>
      <c r="Q34" s="156"/>
      <c r="R34" s="51"/>
      <c r="S34" s="205"/>
      <c r="V34" s="203"/>
    </row>
    <row r="35" spans="1:22" ht="16.5" thickBot="1" x14ac:dyDescent="0.3">
      <c r="A35" s="39"/>
      <c r="B35" s="27"/>
      <c r="C35" s="27"/>
      <c r="D35" s="27"/>
      <c r="E35" s="885"/>
      <c r="F35" s="38"/>
      <c r="G35" s="38"/>
      <c r="H35" s="38"/>
      <c r="I35" s="40"/>
      <c r="J35" s="57"/>
      <c r="K35" s="57"/>
      <c r="L35" s="57"/>
      <c r="M35" s="306"/>
      <c r="N35" s="141"/>
      <c r="O35" s="141"/>
      <c r="P35" s="141"/>
      <c r="Q35" s="153"/>
      <c r="R35" s="28"/>
      <c r="V35" s="203"/>
    </row>
    <row r="36" spans="1:22" ht="16.5" thickBot="1" x14ac:dyDescent="0.3">
      <c r="A36" s="39"/>
      <c r="B36" s="27"/>
      <c r="C36" s="10" t="s">
        <v>1054</v>
      </c>
      <c r="D36" s="27"/>
      <c r="E36" s="27"/>
      <c r="F36" s="38"/>
      <c r="G36" s="827" cm="1">
        <f t="array" ref="G36">INDEX(DataSheet3!$A$8:$AP$317,'Part 1'!$F$1,21)</f>
        <v>26368</v>
      </c>
      <c r="H36" s="828"/>
      <c r="I36" s="40"/>
      <c r="J36" s="57"/>
      <c r="K36" s="829" cm="1">
        <f t="array" ref="K36">INDEX(DataSheet3!$A$8:$AP$317,'Part 1'!$F$1,22)</f>
        <v>0</v>
      </c>
      <c r="L36" s="830"/>
      <c r="M36" s="475"/>
      <c r="N36" s="141"/>
      <c r="O36" s="952" cm="1">
        <f t="array" ref="O36">INDEX(DataSheet3!$A$8:$AP$317,'Part 1'!$F$1,23)</f>
        <v>26368</v>
      </c>
      <c r="P36" s="953"/>
      <c r="Q36" s="153"/>
      <c r="R36" s="478"/>
      <c r="V36" s="203"/>
    </row>
    <row r="37" spans="1:22" ht="16.5" thickBot="1" x14ac:dyDescent="0.3">
      <c r="A37" s="39"/>
      <c r="B37" s="27"/>
      <c r="C37" s="27"/>
      <c r="D37" s="27"/>
      <c r="E37" s="27"/>
      <c r="F37" s="38"/>
      <c r="G37" s="38"/>
      <c r="H37" s="38"/>
      <c r="I37" s="40"/>
      <c r="J37" s="57"/>
      <c r="K37" s="57"/>
      <c r="L37" s="57"/>
      <c r="M37" s="475"/>
      <c r="N37" s="141"/>
      <c r="O37" s="141"/>
      <c r="P37" s="141"/>
      <c r="Q37" s="153"/>
      <c r="R37" s="478"/>
      <c r="V37" s="203"/>
    </row>
    <row r="38" spans="1:22" ht="16.5" thickBot="1" x14ac:dyDescent="0.3">
      <c r="A38" s="39"/>
      <c r="B38" s="27"/>
      <c r="C38" s="10" t="s">
        <v>1028</v>
      </c>
      <c r="D38" s="27"/>
      <c r="E38" s="38"/>
      <c r="F38" s="27"/>
      <c r="G38" s="38"/>
      <c r="H38" s="38"/>
      <c r="I38" s="40"/>
      <c r="J38" s="57"/>
      <c r="K38" s="829" cm="1">
        <f t="array" ref="K38">INDEX(DataSheet3!$A$8:$AP$317,'Part 1'!$F$1,24)</f>
        <v>-1643410</v>
      </c>
      <c r="L38" s="830"/>
      <c r="M38" s="306"/>
      <c r="N38" s="141"/>
      <c r="O38" s="967"/>
      <c r="P38" s="967"/>
      <c r="Q38" s="153"/>
      <c r="R38" s="28"/>
      <c r="V38" s="203"/>
    </row>
    <row r="39" spans="1:22" ht="15.75" customHeight="1" thickBot="1" x14ac:dyDescent="0.3">
      <c r="A39" s="39"/>
      <c r="B39" s="27"/>
      <c r="C39" s="237"/>
      <c r="D39" s="237"/>
      <c r="E39" s="304"/>
      <c r="F39" s="237"/>
      <c r="G39" s="38"/>
      <c r="H39" s="38"/>
      <c r="I39" s="40"/>
      <c r="J39" s="237"/>
      <c r="K39" s="237"/>
      <c r="L39" s="237"/>
      <c r="M39" s="306"/>
      <c r="N39" s="141"/>
      <c r="O39" s="141"/>
      <c r="P39" s="141"/>
      <c r="Q39" s="153"/>
      <c r="R39" s="28"/>
      <c r="V39" s="203"/>
    </row>
    <row r="40" spans="1:22" ht="16.5" thickBot="1" x14ac:dyDescent="0.3">
      <c r="A40" s="41"/>
      <c r="B40" s="27"/>
      <c r="C40" s="10" t="s">
        <v>1029</v>
      </c>
      <c r="D40" s="27"/>
      <c r="E40" s="27"/>
      <c r="F40" s="27"/>
      <c r="G40" s="38"/>
      <c r="H40" s="38"/>
      <c r="I40" s="38"/>
      <c r="J40" s="57"/>
      <c r="K40" s="944" cm="1">
        <f t="array" ref="K40">INDEX(DataSheet3!$A$8:$AP$317,'Part 1'!$F$1,25)</f>
        <v>224425779</v>
      </c>
      <c r="L40" s="945"/>
      <c r="M40" s="306"/>
      <c r="N40" s="141"/>
      <c r="O40" s="141"/>
      <c r="P40" s="141"/>
      <c r="Q40" s="153"/>
      <c r="R40" s="28"/>
      <c r="S40" s="462"/>
      <c r="V40" s="203"/>
    </row>
    <row r="41" spans="1:22" ht="16.5" thickBot="1" x14ac:dyDescent="0.25">
      <c r="A41" s="41"/>
      <c r="B41" s="27"/>
      <c r="C41" s="27"/>
      <c r="D41" s="27"/>
      <c r="E41" s="27"/>
      <c r="F41" s="27"/>
      <c r="G41" s="57"/>
      <c r="H41" s="57"/>
      <c r="I41" s="57"/>
      <c r="J41" s="57"/>
      <c r="K41" s="58"/>
      <c r="L41" s="57"/>
      <c r="M41" s="57"/>
      <c r="N41" s="141"/>
      <c r="O41" s="141"/>
      <c r="P41" s="141"/>
      <c r="Q41" s="153"/>
      <c r="R41" s="28"/>
      <c r="V41" s="203"/>
    </row>
    <row r="42" spans="1:22" x14ac:dyDescent="0.2">
      <c r="A42" s="41"/>
      <c r="B42" s="34"/>
      <c r="C42" s="29"/>
      <c r="D42" s="29"/>
      <c r="E42" s="29"/>
      <c r="F42" s="29"/>
      <c r="G42" s="64"/>
      <c r="H42" s="64"/>
      <c r="I42" s="384"/>
      <c r="J42" s="388"/>
      <c r="K42" s="64"/>
      <c r="L42" s="64"/>
      <c r="M42" s="64"/>
      <c r="N42" s="144"/>
      <c r="O42" s="946"/>
      <c r="P42" s="947"/>
      <c r="Q42" s="160"/>
      <c r="R42" s="28"/>
    </row>
    <row r="43" spans="1:22" ht="16.5" thickBot="1" x14ac:dyDescent="0.3">
      <c r="A43" s="41"/>
      <c r="B43" s="35"/>
      <c r="C43" s="30" t="s">
        <v>617</v>
      </c>
      <c r="D43" s="31"/>
      <c r="E43" s="31"/>
      <c r="F43" s="31"/>
      <c r="G43" s="949"/>
      <c r="H43" s="949"/>
      <c r="I43" s="305"/>
      <c r="J43" s="249"/>
      <c r="K43" s="949"/>
      <c r="L43" s="949"/>
      <c r="M43" s="305"/>
      <c r="N43" s="247"/>
      <c r="O43" s="948"/>
      <c r="P43" s="948"/>
      <c r="Q43" s="158"/>
      <c r="R43" s="28"/>
    </row>
    <row r="44" spans="1:22" ht="16.5" thickBot="1" x14ac:dyDescent="0.25">
      <c r="A44" s="41"/>
      <c r="B44" s="35"/>
      <c r="C44" s="8" t="s">
        <v>1030</v>
      </c>
      <c r="D44" s="31"/>
      <c r="E44" s="31"/>
      <c r="F44" s="31"/>
      <c r="G44" s="203"/>
      <c r="H44" s="203"/>
      <c r="I44" s="203"/>
      <c r="J44" s="250"/>
      <c r="K44" s="965" cm="1">
        <f t="array" ref="K44">INDEX(DataSheet3!$A$8:$AP$317,'Part 1'!$F$1,26)</f>
        <v>100108675</v>
      </c>
      <c r="L44" s="966"/>
      <c r="M44" s="65"/>
      <c r="N44" s="141"/>
      <c r="O44" s="950" cm="1">
        <f t="array" ref="O44">INDEX(DataSheet3!$A$8:$AP$317,'Part 1'!$F$1,27)</f>
        <v>100108675</v>
      </c>
      <c r="P44" s="951"/>
      <c r="Q44" s="158"/>
      <c r="R44" s="51"/>
    </row>
    <row r="45" spans="1:22" ht="15.75" thickBot="1" x14ac:dyDescent="0.25">
      <c r="A45" s="41"/>
      <c r="B45" s="36"/>
      <c r="C45" s="32"/>
      <c r="D45" s="32"/>
      <c r="E45" s="32"/>
      <c r="F45" s="32"/>
      <c r="G45" s="32"/>
      <c r="H45" s="32"/>
      <c r="I45" s="32"/>
      <c r="J45" s="36"/>
      <c r="K45" s="32"/>
      <c r="L45" s="32"/>
      <c r="M45" s="32"/>
      <c r="N45" s="169"/>
      <c r="O45" s="169"/>
      <c r="P45" s="169"/>
      <c r="Q45" s="159"/>
      <c r="R45" s="28"/>
    </row>
    <row r="46" spans="1:22" x14ac:dyDescent="0.2">
      <c r="A46" s="41"/>
      <c r="B46" s="309"/>
      <c r="C46" s="309"/>
      <c r="D46" s="309"/>
      <c r="E46" s="309"/>
      <c r="F46" s="309"/>
      <c r="G46" s="309"/>
      <c r="H46" s="309"/>
      <c r="I46" s="385"/>
      <c r="J46" s="309"/>
      <c r="K46" s="309"/>
      <c r="L46" s="309"/>
      <c r="M46" s="309"/>
      <c r="N46" s="391"/>
      <c r="O46" s="153"/>
      <c r="P46" s="153"/>
      <c r="Q46" s="153"/>
      <c r="R46" s="28"/>
    </row>
    <row r="47" spans="1:22" ht="15.75" x14ac:dyDescent="0.25">
      <c r="A47" s="41"/>
      <c r="B47" s="309"/>
      <c r="C47" s="327" t="s">
        <v>1108</v>
      </c>
      <c r="D47" s="309"/>
      <c r="E47" s="309"/>
      <c r="F47" s="309"/>
      <c r="G47" s="309"/>
      <c r="H47" s="309"/>
      <c r="I47" s="309"/>
      <c r="J47" s="309"/>
      <c r="K47" s="309"/>
      <c r="L47" s="309"/>
      <c r="M47" s="309"/>
      <c r="N47" s="153"/>
      <c r="O47" s="153"/>
      <c r="P47" s="153"/>
      <c r="Q47" s="153"/>
      <c r="R47" s="28"/>
    </row>
    <row r="48" spans="1:22" ht="15.75" thickBot="1" x14ac:dyDescent="0.25">
      <c r="A48" s="41"/>
      <c r="B48" s="309"/>
      <c r="C48" s="309"/>
      <c r="D48" s="309"/>
      <c r="E48" s="309"/>
      <c r="F48" s="309"/>
      <c r="G48" s="309"/>
      <c r="H48" s="309"/>
      <c r="I48" s="309"/>
      <c r="J48" s="309"/>
      <c r="K48" s="309"/>
      <c r="L48" s="309"/>
      <c r="M48" s="309"/>
      <c r="N48" s="153"/>
      <c r="O48" s="153"/>
      <c r="P48" s="153"/>
      <c r="Q48" s="153"/>
      <c r="R48" s="28"/>
    </row>
    <row r="49" spans="1:18" ht="16.5" thickBot="1" x14ac:dyDescent="0.3">
      <c r="A49" s="41"/>
      <c r="B49" s="309"/>
      <c r="C49" s="10" t="s">
        <v>1031</v>
      </c>
      <c r="D49" s="309"/>
      <c r="E49" s="309"/>
      <c r="F49" s="309"/>
      <c r="G49" s="829" cm="1">
        <f t="array" ref="G49">INDEX(DataSheet3!$A$8:$AP$317,'Part 1'!$F$1,28)</f>
        <v>202940</v>
      </c>
      <c r="H49" s="830"/>
      <c r="I49" s="40"/>
      <c r="J49" s="309"/>
      <c r="K49" s="829" cm="1">
        <f t="array" ref="K49">INDEX(DataSheet3!$A$8:$AP$317,'Part 1'!$F$1,29)</f>
        <v>3704846</v>
      </c>
      <c r="L49" s="830"/>
      <c r="M49" s="309"/>
      <c r="N49" s="141"/>
      <c r="O49" s="952" cm="1">
        <f t="array" ref="O49">INDEX(DataSheet3!$A$8:$AP$317,'Part 1'!$F$1,30)</f>
        <v>3907786</v>
      </c>
      <c r="P49" s="953"/>
      <c r="Q49" s="153"/>
      <c r="R49" s="51"/>
    </row>
    <row r="50" spans="1:18" ht="15.75" x14ac:dyDescent="0.25">
      <c r="A50" s="41"/>
      <c r="B50" s="309"/>
      <c r="C50" s="155"/>
      <c r="D50" s="309"/>
      <c r="E50" s="309"/>
      <c r="F50" s="309"/>
      <c r="G50" s="309"/>
      <c r="H50" s="309"/>
      <c r="I50" s="40"/>
      <c r="J50" s="309"/>
      <c r="K50" s="309"/>
      <c r="L50" s="309"/>
      <c r="M50" s="309"/>
      <c r="N50" s="141"/>
      <c r="O50" s="356"/>
      <c r="P50" s="356"/>
      <c r="Q50" s="153"/>
      <c r="R50" s="28"/>
    </row>
    <row r="51" spans="1:18" x14ac:dyDescent="0.2">
      <c r="A51" s="41"/>
      <c r="B51" s="309"/>
      <c r="C51" s="309"/>
      <c r="D51" s="309"/>
      <c r="E51" s="309"/>
      <c r="F51" s="309"/>
      <c r="G51" s="309"/>
      <c r="H51" s="309"/>
      <c r="I51" s="309"/>
      <c r="J51" s="309"/>
      <c r="K51" s="309"/>
      <c r="L51" s="309"/>
      <c r="M51" s="309"/>
      <c r="N51" s="153"/>
      <c r="O51" s="153"/>
      <c r="P51" s="153"/>
      <c r="Q51" s="153"/>
      <c r="R51" s="28"/>
    </row>
    <row r="52" spans="1:18" ht="15.75" x14ac:dyDescent="0.25">
      <c r="A52" s="41"/>
      <c r="B52" s="309"/>
      <c r="C52" s="327" t="s">
        <v>799</v>
      </c>
      <c r="D52" s="309"/>
      <c r="E52" s="309"/>
      <c r="F52" s="309"/>
      <c r="G52" s="309"/>
      <c r="H52" s="309"/>
      <c r="I52" s="309"/>
      <c r="J52" s="309"/>
      <c r="K52" s="309"/>
      <c r="L52" s="309"/>
      <c r="M52" s="309"/>
      <c r="N52" s="153"/>
      <c r="O52" s="153"/>
      <c r="P52" s="153"/>
      <c r="Q52" s="153"/>
      <c r="R52" s="28"/>
    </row>
    <row r="53" spans="1:18" ht="16.5" thickBot="1" x14ac:dyDescent="0.3">
      <c r="A53" s="41"/>
      <c r="B53" s="309"/>
      <c r="C53" s="327"/>
      <c r="D53" s="309"/>
      <c r="E53" s="309"/>
      <c r="F53" s="309"/>
      <c r="G53" s="309"/>
      <c r="H53" s="309"/>
      <c r="I53" s="309"/>
      <c r="J53" s="309"/>
      <c r="K53" s="309"/>
      <c r="L53" s="309"/>
      <c r="M53" s="309"/>
      <c r="N53" s="153"/>
      <c r="O53" s="153"/>
      <c r="P53" s="153"/>
      <c r="Q53" s="153"/>
      <c r="R53" s="28"/>
    </row>
    <row r="54" spans="1:18" ht="16.5" thickBot="1" x14ac:dyDescent="0.3">
      <c r="A54" s="41"/>
      <c r="B54" s="309"/>
      <c r="C54" s="10" t="s">
        <v>1192</v>
      </c>
      <c r="D54" s="309"/>
      <c r="E54" s="309"/>
      <c r="F54" s="309"/>
      <c r="G54" s="961" cm="1">
        <f t="array" ref="G54">INDEX(DataSheet3!$A$8:$AP$317,'Part 1'!$F$1,31)</f>
        <v>797167</v>
      </c>
      <c r="H54" s="962"/>
      <c r="I54" s="386"/>
      <c r="J54" s="309"/>
      <c r="K54" s="963" cm="1">
        <f t="array" ref="K54">INDEX(DataSheet3!$A$8:$AP$317,'Part 1'!$F$1,32)</f>
        <v>9215955</v>
      </c>
      <c r="L54" s="964"/>
      <c r="M54" s="309"/>
      <c r="N54" s="153"/>
      <c r="O54" s="968" cm="1">
        <f t="array" ref="O54">INDEX(DataSheet3!$A$8:$AP$317,'Part 1'!$F$1,33)</f>
        <v>10013122</v>
      </c>
      <c r="P54" s="969"/>
      <c r="Q54" s="153"/>
      <c r="R54" s="28"/>
    </row>
    <row r="55" spans="1:18" x14ac:dyDescent="0.2">
      <c r="A55" s="41"/>
      <c r="B55" s="309"/>
      <c r="C55" s="309"/>
      <c r="D55" s="309"/>
      <c r="E55" s="309"/>
      <c r="F55" s="309"/>
      <c r="G55" s="309"/>
      <c r="H55" s="309"/>
      <c r="I55" s="309"/>
      <c r="J55" s="309"/>
      <c r="K55" s="309"/>
      <c r="L55" s="309"/>
      <c r="M55" s="309"/>
      <c r="N55" s="153"/>
      <c r="O55" s="153"/>
      <c r="P55" s="153"/>
      <c r="Q55" s="153"/>
      <c r="R55" s="28"/>
    </row>
    <row r="56" spans="1:18" s="461" customFormat="1" ht="16.5" thickBot="1" x14ac:dyDescent="0.3">
      <c r="A56" s="41"/>
      <c r="B56" s="309"/>
      <c r="C56" s="327" t="s">
        <v>800</v>
      </c>
      <c r="D56" s="309"/>
      <c r="E56" s="309"/>
      <c r="F56" s="309"/>
      <c r="G56" s="309"/>
      <c r="H56" s="309"/>
      <c r="I56" s="309"/>
      <c r="J56" s="309"/>
      <c r="K56" s="309"/>
      <c r="L56" s="309"/>
      <c r="M56" s="309"/>
      <c r="N56" s="153"/>
      <c r="O56" s="153"/>
      <c r="P56" s="153"/>
      <c r="Q56" s="153"/>
      <c r="R56" s="505"/>
    </row>
    <row r="57" spans="1:18" s="461" customFormat="1" ht="16.5" thickBot="1" x14ac:dyDescent="0.25">
      <c r="A57" s="41"/>
      <c r="B57" s="309"/>
      <c r="C57" s="309" t="str">
        <f>IF('Part 1'!L15="E0104","12. In respect of Port of Bristol","12. In respect of Port of Bristol: Not applicable")</f>
        <v>12. In respect of Port of Bristol: Not applicable</v>
      </c>
      <c r="D57" s="309"/>
      <c r="E57" s="309"/>
      <c r="F57" s="309"/>
      <c r="G57" s="918" cm="1">
        <f t="array" ref="G57">INDEX(DataSheet3!$A$8:$AP$317,'Part 1'!$F$1,34)</f>
        <v>1290240</v>
      </c>
      <c r="H57" s="919"/>
      <c r="I57" s="309"/>
      <c r="J57" s="309"/>
      <c r="K57" s="309"/>
      <c r="L57" s="309"/>
      <c r="M57" s="309"/>
      <c r="N57" s="153"/>
      <c r="O57" s="952" cm="1">
        <f t="array" ref="O57">INDEX(DataSheet3!$A$8:$AP$317,'Part 1'!$F$1,35)</f>
        <v>658022</v>
      </c>
      <c r="P57" s="953"/>
      <c r="Q57" s="153"/>
      <c r="R57" s="505"/>
    </row>
    <row r="58" spans="1:18" ht="15.75" thickBot="1" x14ac:dyDescent="0.25">
      <c r="A58" s="41"/>
      <c r="B58" s="309"/>
      <c r="C58" s="309"/>
      <c r="D58" s="309"/>
      <c r="E58" s="309"/>
      <c r="F58" s="309"/>
      <c r="G58" s="309"/>
      <c r="H58" s="309"/>
      <c r="I58" s="309"/>
      <c r="J58" s="387"/>
      <c r="K58" s="309"/>
      <c r="L58" s="309"/>
      <c r="M58" s="309"/>
      <c r="N58" s="153"/>
      <c r="O58" s="153"/>
      <c r="P58" s="153"/>
      <c r="Q58" s="153"/>
      <c r="R58" s="505"/>
    </row>
    <row r="59" spans="1:18" x14ac:dyDescent="0.2">
      <c r="A59" s="41"/>
      <c r="B59" s="34"/>
      <c r="C59" s="29"/>
      <c r="D59" s="29"/>
      <c r="E59" s="29"/>
      <c r="F59" s="29"/>
      <c r="G59" s="64"/>
      <c r="H59" s="64"/>
      <c r="I59" s="64"/>
      <c r="J59" s="248"/>
      <c r="K59" s="64"/>
      <c r="L59" s="64"/>
      <c r="M59" s="64"/>
      <c r="N59" s="144"/>
      <c r="O59" s="946"/>
      <c r="P59" s="947"/>
      <c r="Q59" s="160"/>
      <c r="R59" s="28"/>
    </row>
    <row r="60" spans="1:18" ht="16.5" thickBot="1" x14ac:dyDescent="0.3">
      <c r="A60" s="41"/>
      <c r="B60" s="35"/>
      <c r="C60" s="20" t="s">
        <v>799</v>
      </c>
      <c r="D60" s="31"/>
      <c r="E60" s="31"/>
      <c r="F60" s="31"/>
      <c r="G60" s="949"/>
      <c r="H60" s="949"/>
      <c r="I60" s="326"/>
      <c r="J60" s="249"/>
      <c r="K60" s="949"/>
      <c r="L60" s="949"/>
      <c r="M60" s="326"/>
      <c r="N60" s="247"/>
      <c r="O60" s="948"/>
      <c r="P60" s="948"/>
      <c r="Q60" s="158"/>
      <c r="R60" s="28"/>
    </row>
    <row r="61" spans="1:18" ht="16.5" thickBot="1" x14ac:dyDescent="0.25">
      <c r="A61" s="41"/>
      <c r="B61" s="35"/>
      <c r="C61" s="8" t="s">
        <v>1156</v>
      </c>
      <c r="D61" s="31"/>
      <c r="E61" s="31"/>
      <c r="F61" s="31"/>
      <c r="G61" s="829" cm="1">
        <f t="array" ref="G61">INDEX(DataSheet3!$A$8:$AP$317,'Part 1'!$F$1,36)</f>
        <v>1455189</v>
      </c>
      <c r="H61" s="830"/>
      <c r="I61" s="203"/>
      <c r="J61" s="250"/>
      <c r="K61" s="829" cm="1">
        <f t="array" ref="K61">INDEX(DataSheet3!$A$8:$AP$317,'Part 1'!$F$1,37)</f>
        <v>9215955</v>
      </c>
      <c r="L61" s="943"/>
      <c r="M61" s="65"/>
      <c r="N61" s="141"/>
      <c r="O61" s="950" cm="1">
        <f t="array" ref="O61">INDEX(DataSheet3!$A$8:$AP$317,'Part 1'!$F$1,38)</f>
        <v>10671144</v>
      </c>
      <c r="P61" s="951"/>
      <c r="Q61" s="158"/>
      <c r="R61" s="51"/>
    </row>
    <row r="62" spans="1:18" ht="15.75" thickBot="1" x14ac:dyDescent="0.25">
      <c r="A62" s="41"/>
      <c r="B62" s="36"/>
      <c r="C62" s="32"/>
      <c r="D62" s="32"/>
      <c r="E62" s="32"/>
      <c r="F62" s="32"/>
      <c r="G62" s="32"/>
      <c r="H62" s="32"/>
      <c r="I62" s="32"/>
      <c r="J62" s="36"/>
      <c r="K62" s="32"/>
      <c r="L62" s="32"/>
      <c r="M62" s="32"/>
      <c r="N62" s="169"/>
      <c r="O62" s="169"/>
      <c r="P62" s="169"/>
      <c r="Q62" s="159"/>
      <c r="R62" s="28"/>
    </row>
    <row r="63" spans="1:18" ht="15.75" thickBot="1" x14ac:dyDescent="0.25">
      <c r="A63" s="127"/>
      <c r="B63" s="82"/>
      <c r="C63" s="82"/>
      <c r="D63" s="82"/>
      <c r="E63" s="82"/>
      <c r="F63" s="82"/>
      <c r="G63" s="82"/>
      <c r="H63" s="82"/>
      <c r="I63" s="82"/>
      <c r="J63" s="82"/>
      <c r="K63" s="82"/>
      <c r="L63" s="82"/>
      <c r="M63" s="82"/>
      <c r="N63" s="82"/>
      <c r="O63" s="82"/>
      <c r="P63" s="82"/>
      <c r="Q63" s="82"/>
      <c r="R63" s="128"/>
    </row>
    <row r="65" spans="3:18" x14ac:dyDescent="0.2">
      <c r="C65" s="206"/>
      <c r="D65" s="206"/>
      <c r="E65" s="206"/>
      <c r="F65" s="206"/>
      <c r="G65" s="206"/>
      <c r="H65" s="206"/>
      <c r="I65" s="206"/>
      <c r="J65" s="206"/>
      <c r="K65" s="206"/>
      <c r="L65" s="206"/>
      <c r="M65" s="206"/>
      <c r="N65" s="206"/>
      <c r="O65" s="206"/>
      <c r="P65" s="206"/>
      <c r="Q65" s="206"/>
      <c r="R65" s="206"/>
    </row>
    <row r="66" spans="3:18" s="206" customFormat="1" x14ac:dyDescent="0.2"/>
    <row r="67" spans="3:18" s="206" customFormat="1" x14ac:dyDescent="0.2">
      <c r="K67" s="311"/>
    </row>
    <row r="68" spans="3:18" s="206" customFormat="1" x14ac:dyDescent="0.2">
      <c r="K68" s="942"/>
      <c r="L68" s="942"/>
    </row>
    <row r="69" spans="3:18" s="206" customFormat="1" x14ac:dyDescent="0.2"/>
    <row r="70" spans="3:18" s="206" customFormat="1" x14ac:dyDescent="0.2"/>
    <row r="71" spans="3:18" s="206" customFormat="1" x14ac:dyDescent="0.2"/>
    <row r="72" spans="3:18" s="206" customFormat="1" x14ac:dyDescent="0.2"/>
  </sheetData>
  <mergeCells count="65">
    <mergeCell ref="C16:E18"/>
    <mergeCell ref="G16:H16"/>
    <mergeCell ref="K16:L16"/>
    <mergeCell ref="O16:P16"/>
    <mergeCell ref="O29:P29"/>
    <mergeCell ref="C21:E22"/>
    <mergeCell ref="G21:H21"/>
    <mergeCell ref="K21:L21"/>
    <mergeCell ref="G24:H24"/>
    <mergeCell ref="K24:L24"/>
    <mergeCell ref="C24:E25"/>
    <mergeCell ref="O33:P33"/>
    <mergeCell ref="G29:H29"/>
    <mergeCell ref="K29:L29"/>
    <mergeCell ref="G14:H14"/>
    <mergeCell ref="K14:L14"/>
    <mergeCell ref="G15:H15"/>
    <mergeCell ref="K15:L15"/>
    <mergeCell ref="O14:P14"/>
    <mergeCell ref="O15:P15"/>
    <mergeCell ref="O21:P21"/>
    <mergeCell ref="E34:E35"/>
    <mergeCell ref="G34:H34"/>
    <mergeCell ref="O24:P24"/>
    <mergeCell ref="E32:E33"/>
    <mergeCell ref="G54:H54"/>
    <mergeCell ref="K54:L54"/>
    <mergeCell ref="K44:L44"/>
    <mergeCell ref="O38:P38"/>
    <mergeCell ref="O54:P54"/>
    <mergeCell ref="K43:L43"/>
    <mergeCell ref="K38:L38"/>
    <mergeCell ref="G36:H36"/>
    <mergeCell ref="K36:L36"/>
    <mergeCell ref="K34:L34"/>
    <mergeCell ref="O34:P34"/>
    <mergeCell ref="O36:P36"/>
    <mergeCell ref="A2:R2"/>
    <mergeCell ref="A3:R3"/>
    <mergeCell ref="A5:R5"/>
    <mergeCell ref="C7:G7"/>
    <mergeCell ref="K10:M10"/>
    <mergeCell ref="G12:H13"/>
    <mergeCell ref="K12:L13"/>
    <mergeCell ref="O12:P13"/>
    <mergeCell ref="C11:E11"/>
    <mergeCell ref="O11:P11"/>
    <mergeCell ref="G11:H11"/>
    <mergeCell ref="K11:L11"/>
    <mergeCell ref="K68:L68"/>
    <mergeCell ref="K61:L61"/>
    <mergeCell ref="K40:L40"/>
    <mergeCell ref="O42:P43"/>
    <mergeCell ref="G60:H60"/>
    <mergeCell ref="K60:L60"/>
    <mergeCell ref="O61:P61"/>
    <mergeCell ref="G61:H61"/>
    <mergeCell ref="G57:H57"/>
    <mergeCell ref="O57:P57"/>
    <mergeCell ref="O59:P60"/>
    <mergeCell ref="G49:H49"/>
    <mergeCell ref="K49:L49"/>
    <mergeCell ref="O49:P49"/>
    <mergeCell ref="O44:P44"/>
    <mergeCell ref="G43:H43"/>
  </mergeCells>
  <conditionalFormatting sqref="O57 G57">
    <cfRule type="expression" dxfId="8" priority="355">
      <formula>AND(#REF!=1)=FALSE</formula>
    </cfRule>
  </conditionalFormatting>
  <conditionalFormatting sqref="R29 R49">
    <cfRule type="expression" dxfId="7" priority="357">
      <formula>AND(#REF!=0)=FALSE</formula>
    </cfRule>
  </conditionalFormatting>
  <conditionalFormatting sqref="G36 O36 K36">
    <cfRule type="expression" dxfId="6" priority="359">
      <formula>#REF!="No"</formula>
    </cfRule>
  </conditionalFormatting>
  <printOptions horizontalCentered="1" verticalCentered="1"/>
  <pageMargins left="0.39370078740157483" right="0.39370078740157483" top="0.59055118110236227" bottom="0.59055118110236227" header="0.51181102362204722" footer="0.51181102362204722"/>
  <pageSetup paperSize="9" scale="59"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77" id="{8783E2F7-2139-411C-962D-CA323F00108F}">
            <xm:f>AND(VLOOKUP('Part 1'!$L15,#REF!,10,FALSE)&gt;0.75)=TRUE</xm:f>
            <x14:dxf>
              <fill>
                <patternFill>
                  <bgColor theme="0" tint="-0.24994659260841701"/>
                </patternFill>
              </fill>
            </x14:dxf>
          </x14:cfRule>
          <xm:sqref>K54 O54 G54</xm:sqref>
        </x14:conditionalFormatting>
        <x14:conditionalFormatting xmlns:xm="http://schemas.microsoft.com/office/excel/2006/main">
          <x14:cfRule type="expression" priority="3" id="{6644699C-99BB-40FB-B1F1-DDC605457CCB}">
            <xm:f>AND(VLOOKUP('Part 1'!$L15,#REF!,10,FALSE)&lt;1)=TRUE</xm:f>
            <x14:dxf>
              <fill>
                <patternFill>
                  <bgColor theme="0" tint="-0.14996795556505021"/>
                </patternFill>
              </fill>
            </x14:dxf>
          </x14:cfRule>
          <xm:sqref>G49:H49 K49:L49 O49:P49</xm:sqref>
        </x14:conditionalFormatting>
        <x14:conditionalFormatting xmlns:xm="http://schemas.microsoft.com/office/excel/2006/main">
          <x14:cfRule type="expression" priority="2" id="{9AA75E75-0765-47B7-9F03-CB71BEA658C1}">
            <xm:f>AND(VLOOKUP('Part 1'!$L15,#REF!,10,FALSE)&lt;1)=FALSE</xm:f>
            <x14:dxf>
              <fill>
                <patternFill>
                  <bgColor theme="0" tint="-0.24994659260841701"/>
                </patternFill>
              </fill>
            </x14:dxf>
          </x14:cfRule>
          <xm:sqref>G61:H61 K61:L61 O61:P61</xm:sqref>
        </x14:conditionalFormatting>
        <x14:conditionalFormatting xmlns:xm="http://schemas.microsoft.com/office/excel/2006/main">
          <x14:cfRule type="expression" priority="302" id="{78ECD3CE-3901-46C3-84AC-CDE1DC9D4AEB}">
            <xm:f>'Part 1'!#REF!=0</xm:f>
            <x14:dxf>
              <fill>
                <patternFill>
                  <bgColor theme="0" tint="-0.14996795556505021"/>
                </patternFill>
              </fill>
            </x14:dxf>
          </x14:cfRule>
          <xm:sqref>J15:M62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C54"/>
  <sheetViews>
    <sheetView showGridLines="0" zoomScale="80" zoomScaleNormal="80" workbookViewId="0">
      <selection activeCell="G13" sqref="G13"/>
    </sheetView>
  </sheetViews>
  <sheetFormatPr defaultColWidth="9.140625" defaultRowHeight="12.75" x14ac:dyDescent="0.2"/>
  <cols>
    <col min="1" max="1" width="6.85546875" style="359" customWidth="1"/>
    <col min="2" max="2" width="11.7109375" style="359" hidden="1" customWidth="1"/>
    <col min="3" max="3" width="107.140625" style="359" customWidth="1"/>
    <col min="4" max="4" width="3.7109375" style="359" customWidth="1"/>
    <col min="5" max="5" width="32.7109375" style="359" customWidth="1"/>
    <col min="6" max="6" width="3.5703125" style="359" customWidth="1"/>
    <col min="7" max="7" width="20.7109375" style="359" customWidth="1"/>
    <col min="8" max="8" width="3.7109375" style="359" customWidth="1"/>
    <col min="9" max="9" width="20.7109375" style="359" customWidth="1"/>
    <col min="10" max="10" width="3.7109375" style="359" customWidth="1"/>
    <col min="11" max="11" width="25.5703125" style="359" customWidth="1"/>
    <col min="12" max="12" width="3.7109375" style="360" customWidth="1"/>
    <col min="13" max="13" width="26.42578125" style="359" customWidth="1"/>
    <col min="14" max="14" width="3.5703125" style="359" customWidth="1"/>
    <col min="15" max="15" width="26.42578125" style="359" customWidth="1"/>
    <col min="16" max="16" width="3.5703125" style="359" customWidth="1"/>
    <col min="17" max="17" width="29.7109375" style="359" customWidth="1"/>
    <col min="18" max="18" width="3.7109375" style="359" customWidth="1"/>
    <col min="19" max="19" width="23.5703125" style="359" customWidth="1"/>
    <col min="20" max="20" width="3.7109375" style="359" customWidth="1"/>
    <col min="21" max="21" width="20.7109375" style="359" customWidth="1"/>
    <col min="22" max="22" width="3.5703125" style="359" customWidth="1"/>
    <col min="23" max="23" width="25.42578125" style="359" customWidth="1"/>
    <col min="24" max="24" width="3.140625" style="359" customWidth="1"/>
    <col min="25" max="25" width="24.5703125" style="448" hidden="1" customWidth="1"/>
    <col min="26" max="26" width="3.7109375" style="448" hidden="1" customWidth="1"/>
    <col min="27" max="27" width="22.7109375" style="359" customWidth="1"/>
    <col min="28" max="28" width="2.28515625" style="359" customWidth="1"/>
    <col min="29" max="29" width="3" style="359" customWidth="1"/>
    <col min="30" max="86" width="9.140625" style="359" customWidth="1"/>
    <col min="87" max="16384" width="9.140625" style="359"/>
  </cols>
  <sheetData>
    <row r="1" spans="1:29" s="360" customFormat="1" ht="23.25" x14ac:dyDescent="0.35">
      <c r="A1" s="982" t="s">
        <v>805</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4"/>
    </row>
    <row r="2" spans="1:29" ht="21" customHeight="1" x14ac:dyDescent="0.2">
      <c r="A2" s="358"/>
      <c r="B2" s="381"/>
      <c r="C2" s="371"/>
      <c r="D2" s="371"/>
      <c r="E2" s="371"/>
      <c r="F2" s="371"/>
      <c r="G2" s="380"/>
      <c r="H2" s="378"/>
      <c r="I2" s="377"/>
      <c r="J2" s="369"/>
      <c r="K2" s="376"/>
      <c r="L2" s="372"/>
      <c r="M2" s="371"/>
      <c r="N2" s="371"/>
      <c r="O2" s="371"/>
      <c r="P2" s="371"/>
      <c r="Q2" s="380"/>
      <c r="R2" s="378"/>
      <c r="S2" s="377"/>
      <c r="T2" s="369"/>
      <c r="U2" s="376"/>
      <c r="V2" s="376"/>
      <c r="W2" s="371"/>
      <c r="X2" s="371"/>
      <c r="Y2" s="434"/>
      <c r="Z2" s="435"/>
      <c r="AA2" s="377"/>
      <c r="AB2" s="369"/>
      <c r="AC2" s="368"/>
    </row>
    <row r="3" spans="1:29" ht="23.25" x14ac:dyDescent="0.2">
      <c r="A3" s="358"/>
      <c r="B3" s="381"/>
      <c r="C3" s="393" t="str">
        <f>Import_LA_Name</f>
        <v>England</v>
      </c>
      <c r="D3" s="379"/>
      <c r="E3" s="377" t="str">
        <f>'Part 1'!L15</f>
        <v>EZZZZ</v>
      </c>
      <c r="F3" s="378"/>
      <c r="G3" s="377"/>
      <c r="H3" s="369"/>
      <c r="I3" s="376"/>
      <c r="J3" s="372"/>
      <c r="K3" s="379"/>
      <c r="L3" s="379"/>
      <c r="M3" s="377"/>
      <c r="N3" s="378"/>
      <c r="O3" s="378"/>
      <c r="P3" s="378"/>
      <c r="Q3" s="377"/>
      <c r="R3" s="369"/>
      <c r="S3" s="376"/>
      <c r="T3" s="376"/>
      <c r="U3" s="379"/>
      <c r="V3" s="379"/>
      <c r="W3" s="377"/>
      <c r="X3" s="378"/>
      <c r="Y3" s="436"/>
      <c r="Z3" s="437"/>
      <c r="AA3" s="376"/>
      <c r="AB3" s="372"/>
      <c r="AC3" s="368"/>
    </row>
    <row r="4" spans="1:29" ht="23.25" x14ac:dyDescent="0.2">
      <c r="A4" s="358"/>
      <c r="B4" s="379"/>
      <c r="C4" s="395"/>
      <c r="D4" s="379"/>
      <c r="E4" s="995" t="s">
        <v>1015</v>
      </c>
      <c r="F4" s="996"/>
      <c r="G4" s="996"/>
      <c r="H4" s="996"/>
      <c r="I4" s="996"/>
      <c r="J4" s="996"/>
      <c r="K4" s="997"/>
      <c r="L4" s="372"/>
      <c r="M4" s="995" t="s">
        <v>798</v>
      </c>
      <c r="N4" s="996"/>
      <c r="O4" s="996"/>
      <c r="P4" s="996"/>
      <c r="Q4" s="996"/>
      <c r="R4" s="996"/>
      <c r="S4" s="996"/>
      <c r="T4" s="996"/>
      <c r="U4" s="997"/>
      <c r="V4" s="376"/>
      <c r="W4" s="995" t="s">
        <v>1013</v>
      </c>
      <c r="X4" s="998"/>
      <c r="Y4" s="998"/>
      <c r="Z4" s="998"/>
      <c r="AA4" s="998"/>
      <c r="AB4" s="421"/>
      <c r="AC4" s="368"/>
    </row>
    <row r="5" spans="1:29" ht="17.25" thickBot="1" x14ac:dyDescent="0.25">
      <c r="A5" s="358"/>
      <c r="B5" s="361"/>
      <c r="C5" s="361"/>
      <c r="D5" s="375"/>
      <c r="E5" s="412"/>
      <c r="F5" s="373"/>
      <c r="G5" s="373"/>
      <c r="H5" s="373"/>
      <c r="I5" s="373"/>
      <c r="J5" s="373"/>
      <c r="K5" s="413"/>
      <c r="L5" s="372"/>
      <c r="M5" s="412"/>
      <c r="N5" s="373"/>
      <c r="O5" s="373"/>
      <c r="P5" s="373"/>
      <c r="Q5" s="373"/>
      <c r="R5" s="373"/>
      <c r="S5" s="373"/>
      <c r="T5" s="373"/>
      <c r="U5" s="413"/>
      <c r="V5" s="374"/>
      <c r="W5" s="412"/>
      <c r="X5" s="373"/>
      <c r="Y5" s="438"/>
      <c r="Z5" s="438"/>
      <c r="AA5" s="373"/>
      <c r="AB5" s="422"/>
      <c r="AC5" s="368"/>
    </row>
    <row r="6" spans="1:29" ht="21" thickBot="1" x14ac:dyDescent="0.25">
      <c r="A6" s="358"/>
      <c r="B6" s="361"/>
      <c r="C6" s="392" t="s">
        <v>815</v>
      </c>
      <c r="D6" s="375"/>
      <c r="E6" s="414">
        <f>SUM(E13:E53)</f>
        <v>0</v>
      </c>
      <c r="F6" s="365"/>
      <c r="G6" s="405">
        <f>SUM(G13:G53)</f>
        <v>0</v>
      </c>
      <c r="H6" s="364"/>
      <c r="I6" s="405">
        <f>SUM(I13:I53)</f>
        <v>0</v>
      </c>
      <c r="J6" s="364"/>
      <c r="K6" s="415">
        <f>SUM(K13:K53)</f>
        <v>0</v>
      </c>
      <c r="L6" s="366"/>
      <c r="M6" s="414">
        <f>SUM(M13:M53)</f>
        <v>0</v>
      </c>
      <c r="N6" s="365"/>
      <c r="O6" s="405">
        <f>SUM(O13:O53)</f>
        <v>0</v>
      </c>
      <c r="P6" s="365"/>
      <c r="Q6" s="405">
        <f>SUM(Q13:Q53)</f>
        <v>0</v>
      </c>
      <c r="R6" s="364"/>
      <c r="S6" s="405">
        <f>SUM(S13:S53)</f>
        <v>0</v>
      </c>
      <c r="T6" s="364"/>
      <c r="U6" s="415">
        <f>SUM(U13:U53)</f>
        <v>0</v>
      </c>
      <c r="V6" s="364"/>
      <c r="W6" s="414">
        <f>SUM(W13:W53)</f>
        <v>0</v>
      </c>
      <c r="X6" s="365"/>
      <c r="Y6" s="439">
        <f>SUM(Y13:Y53)</f>
        <v>0</v>
      </c>
      <c r="Z6" s="440"/>
      <c r="AA6" s="405">
        <f>SUM(AA13:AA53)</f>
        <v>0</v>
      </c>
      <c r="AB6" s="423"/>
      <c r="AC6" s="368"/>
    </row>
    <row r="7" spans="1:29" s="525" customFormat="1" ht="41.25" customHeight="1" x14ac:dyDescent="0.2">
      <c r="A7" s="515"/>
      <c r="B7" s="516"/>
      <c r="C7" s="516"/>
      <c r="D7" s="516"/>
      <c r="E7" s="517" t="str">
        <f>IF(E6='Part 2'!$N$182,"","Not equal to Part 2 Line 45 column 2")</f>
        <v>Not equal to Part 2 Line 45 column 2</v>
      </c>
      <c r="F7" s="516"/>
      <c r="G7" s="518" t="str">
        <f>IF(G6=SUM(G13:G53),"","Total does not equal to sum of rows")</f>
        <v/>
      </c>
      <c r="H7" s="519"/>
      <c r="I7" s="518" t="str">
        <f>IF(I6=SUM(I13:I53),"","Total does not equal to sum of rows")</f>
        <v/>
      </c>
      <c r="J7" s="519"/>
      <c r="K7" s="520" t="str">
        <f>IF(K6=SUM(K13:K53),"","Total does not equal to sum of rows")</f>
        <v/>
      </c>
      <c r="L7" s="521"/>
      <c r="M7" s="522" t="str">
        <f>IF(M6=SUM(M13:M53),"","Total does not equal to sum of rows")</f>
        <v/>
      </c>
      <c r="N7" s="516"/>
      <c r="O7" s="518" t="str">
        <f>IF(O6=SUM(O13:O53),"","Total does not equal to sum of rows")</f>
        <v/>
      </c>
      <c r="P7" s="516"/>
      <c r="Q7" s="519" t="str">
        <f>IF(Q6='Part 2'!N51,"","Not equal to Part 2 Line 11 column 2")</f>
        <v>Not equal to Part 2 Line 11 column 2</v>
      </c>
      <c r="R7" s="519"/>
      <c r="S7" s="518" t="str">
        <f>IF(S6=SUM(S13:S53),"","Total does not equal to sum of rows")</f>
        <v/>
      </c>
      <c r="T7" s="519"/>
      <c r="U7" s="520" t="str">
        <f>IF(U6=SUM(U13:U53),"","Total does not equal to sum of rows")</f>
        <v/>
      </c>
      <c r="V7" s="523"/>
      <c r="W7" s="999" t="str">
        <f>IF(W6='Part 2'!N135*-1,"","Not equal to Part 2 Line 34 multiplied by -1")</f>
        <v>Not equal to Part 2 Line 34 multiplied by -1</v>
      </c>
      <c r="X7" s="516"/>
      <c r="Y7" s="987" t="str">
        <f>IF(AA6=SUM(AA13:AA54),"","Total does not equal sum of rows")</f>
        <v/>
      </c>
      <c r="Z7" s="988"/>
      <c r="AA7" s="988"/>
      <c r="AB7" s="989"/>
      <c r="AC7" s="524"/>
    </row>
    <row r="8" spans="1:29" s="454" customFormat="1" ht="18.75" customHeight="1" x14ac:dyDescent="0.2">
      <c r="A8" s="452"/>
      <c r="B8" s="361"/>
      <c r="C8" s="361"/>
      <c r="D8" s="371"/>
      <c r="E8" s="430"/>
      <c r="F8" s="371"/>
      <c r="G8" s="449"/>
      <c r="H8" s="449"/>
      <c r="I8" s="449"/>
      <c r="J8" s="449"/>
      <c r="K8" s="450"/>
      <c r="L8" s="449"/>
      <c r="M8" s="416"/>
      <c r="N8" s="371"/>
      <c r="O8" s="371"/>
      <c r="P8" s="371"/>
      <c r="Q8" s="449"/>
      <c r="R8" s="449"/>
      <c r="S8" s="449"/>
      <c r="T8" s="449"/>
      <c r="U8" s="450"/>
      <c r="V8" s="449"/>
      <c r="W8" s="1000"/>
      <c r="X8" s="449"/>
      <c r="Y8" s="451"/>
      <c r="Z8" s="451"/>
      <c r="AA8" s="449"/>
      <c r="AB8" s="450"/>
      <c r="AC8" s="453"/>
    </row>
    <row r="9" spans="1:29" ht="43.5" customHeight="1" x14ac:dyDescent="0.3">
      <c r="A9" s="358"/>
      <c r="B9" s="361"/>
      <c r="C9" s="406" t="s">
        <v>775</v>
      </c>
      <c r="D9" s="371"/>
      <c r="E9" s="418" t="s">
        <v>807</v>
      </c>
      <c r="F9" s="370"/>
      <c r="G9" s="990" t="s">
        <v>808</v>
      </c>
      <c r="H9" s="991"/>
      <c r="I9" s="992"/>
      <c r="J9" s="397"/>
      <c r="K9" s="408"/>
      <c r="L9" s="397"/>
      <c r="M9" s="977" t="s">
        <v>798</v>
      </c>
      <c r="N9" s="978"/>
      <c r="O9" s="978"/>
      <c r="P9" s="978"/>
      <c r="Q9" s="978"/>
      <c r="R9" s="978"/>
      <c r="S9" s="978"/>
      <c r="T9" s="979"/>
      <c r="U9" s="980"/>
      <c r="V9" s="397"/>
      <c r="W9" s="981"/>
      <c r="X9" s="978"/>
      <c r="Y9" s="978"/>
      <c r="Z9" s="441"/>
      <c r="AA9" s="402"/>
      <c r="AB9" s="417"/>
      <c r="AC9" s="368"/>
    </row>
    <row r="10" spans="1:29" ht="21" customHeight="1" x14ac:dyDescent="0.3">
      <c r="A10" s="358"/>
      <c r="B10" s="361"/>
      <c r="C10" s="361"/>
      <c r="D10" s="371"/>
      <c r="E10" s="418">
        <v>1</v>
      </c>
      <c r="F10" s="396"/>
      <c r="G10" s="407">
        <v>2</v>
      </c>
      <c r="H10" s="403"/>
      <c r="I10" s="408">
        <v>3</v>
      </c>
      <c r="J10" s="403"/>
      <c r="K10" s="408">
        <v>4</v>
      </c>
      <c r="L10" s="403"/>
      <c r="M10" s="418">
        <v>5</v>
      </c>
      <c r="N10" s="396"/>
      <c r="O10" s="396">
        <v>6</v>
      </c>
      <c r="P10" s="396"/>
      <c r="Q10" s="403">
        <v>7</v>
      </c>
      <c r="R10" s="403"/>
      <c r="S10" s="403">
        <v>8</v>
      </c>
      <c r="T10" s="403"/>
      <c r="U10" s="408">
        <v>9</v>
      </c>
      <c r="V10" s="403"/>
      <c r="W10" s="407" t="s">
        <v>1002</v>
      </c>
      <c r="X10" s="403"/>
      <c r="Y10" s="442">
        <v>10</v>
      </c>
      <c r="Z10" s="442"/>
      <c r="AA10" s="403" t="s">
        <v>1003</v>
      </c>
      <c r="AB10" s="417"/>
      <c r="AC10" s="368"/>
    </row>
    <row r="11" spans="1:29" ht="151.5" customHeight="1" x14ac:dyDescent="0.2">
      <c r="A11" s="358"/>
      <c r="B11" s="371"/>
      <c r="C11" s="367" t="s">
        <v>814</v>
      </c>
      <c r="D11" s="371"/>
      <c r="E11" s="409" t="s">
        <v>806</v>
      </c>
      <c r="F11" s="410"/>
      <c r="G11" s="409" t="s">
        <v>1079</v>
      </c>
      <c r="H11" s="410"/>
      <c r="I11" s="411" t="s">
        <v>1080</v>
      </c>
      <c r="J11" s="419"/>
      <c r="K11" s="411" t="s">
        <v>809</v>
      </c>
      <c r="L11" s="372"/>
      <c r="M11" s="409" t="s">
        <v>810</v>
      </c>
      <c r="N11" s="420"/>
      <c r="O11" s="420" t="s">
        <v>1053</v>
      </c>
      <c r="P11" s="420"/>
      <c r="Q11" s="420" t="s">
        <v>1001</v>
      </c>
      <c r="R11" s="420"/>
      <c r="S11" s="420" t="s">
        <v>801</v>
      </c>
      <c r="T11" s="419"/>
      <c r="U11" s="411" t="s">
        <v>811</v>
      </c>
      <c r="V11" s="374"/>
      <c r="W11" s="409" t="s">
        <v>998</v>
      </c>
      <c r="X11" s="410"/>
      <c r="Y11" s="443" t="s">
        <v>999</v>
      </c>
      <c r="Z11" s="444"/>
      <c r="AA11" s="420" t="s">
        <v>1000</v>
      </c>
      <c r="AB11" s="424"/>
      <c r="AC11" s="368"/>
    </row>
    <row r="12" spans="1:29" ht="45.75" customHeight="1" thickBot="1" x14ac:dyDescent="0.3">
      <c r="A12" s="358"/>
      <c r="B12" s="985"/>
      <c r="C12" s="986"/>
      <c r="D12" s="371"/>
      <c r="E12" s="425" t="s">
        <v>995</v>
      </c>
      <c r="F12" s="426"/>
      <c r="G12" s="993" t="s">
        <v>996</v>
      </c>
      <c r="H12" s="994"/>
      <c r="I12" s="994"/>
      <c r="J12" s="427"/>
      <c r="K12" s="425" t="s">
        <v>997</v>
      </c>
      <c r="L12" s="428"/>
      <c r="M12" s="425" t="s">
        <v>995</v>
      </c>
      <c r="N12" s="426"/>
      <c r="O12" s="476" t="s">
        <v>995</v>
      </c>
      <c r="P12" s="426"/>
      <c r="Q12" s="425" t="s">
        <v>1004</v>
      </c>
      <c r="R12" s="429"/>
      <c r="S12" s="425" t="s">
        <v>1009</v>
      </c>
      <c r="T12" s="427"/>
      <c r="U12" s="425" t="s">
        <v>997</v>
      </c>
      <c r="V12" s="425"/>
      <c r="W12" s="425" t="s">
        <v>995</v>
      </c>
      <c r="X12" s="426"/>
      <c r="Y12" s="445" t="s">
        <v>997</v>
      </c>
      <c r="Z12" s="446"/>
      <c r="AA12" s="425" t="s">
        <v>997</v>
      </c>
      <c r="AB12" s="369"/>
      <c r="AC12" s="368"/>
    </row>
    <row r="13" spans="1:29" s="362" customFormat="1" ht="21" customHeight="1" thickBot="1" x14ac:dyDescent="0.25">
      <c r="A13" s="404">
        <v>1</v>
      </c>
      <c r="B13" s="361" t="str">
        <f>CONCATENATE($E$3,"EZ",A13)</f>
        <v>EZZZZEZ1</v>
      </c>
      <c r="C13" s="763" t="str">
        <f>IFERROR(INDEX(DataSheetDA!$D:$D,MATCH($B13,DataSheetDA!$B:$B,0)),"")</f>
        <v/>
      </c>
      <c r="D13" s="764"/>
      <c r="E13" s="765" t="str">
        <f>IFERROR(INDEX(DataSheetDA!$E:$E,MATCH($B13,DataSheetDA!$B:$B,0)),"")</f>
        <v/>
      </c>
      <c r="F13" s="766"/>
      <c r="G13" s="765" t="str">
        <f>IFERROR(INDEX(DataSheetDA!$F:$F,MATCH($B13,DataSheetDA!$B:$B,0)),"")</f>
        <v/>
      </c>
      <c r="H13" s="767"/>
      <c r="I13" s="765" t="str">
        <f>IFERROR(INDEX(DataSheetDA!$G:$G,MATCH($B13,DataSheetDA!$B:$B,0)),"")</f>
        <v/>
      </c>
      <c r="J13" s="767"/>
      <c r="K13" s="768" t="str">
        <f>IFERROR(INDEX(DataSheetDA!$H:$H,MATCH($B13,DataSheetDA!$B:$B,0)),"")</f>
        <v/>
      </c>
      <c r="L13" s="769"/>
      <c r="M13" s="765" t="str">
        <f>IFERROR(INDEX(DataSheetDA!$I:$I,MATCH($B13,DataSheetDA!$B:$B,0)),"")</f>
        <v/>
      </c>
      <c r="N13" s="766"/>
      <c r="O13" s="765" t="str">
        <f>IFERROR(INDEX(DataSheetDA!$J:$J,MATCH($B13,DataSheetDA!$B:$B,0)),"")</f>
        <v/>
      </c>
      <c r="P13" s="766"/>
      <c r="Q13" s="765" t="str">
        <f>IFERROR(INDEX(DataSheetDA!$K:$K,MATCH($B13,DataSheetDA!$B:$B,0)),"")</f>
        <v/>
      </c>
      <c r="R13" s="767"/>
      <c r="S13" s="770" t="str">
        <f>IFERROR(INDEX(DataSheetDA!$L:$L,MATCH($B13,DataSheetDA!$B:$B,0)),"")</f>
        <v/>
      </c>
      <c r="T13" s="767"/>
      <c r="U13" s="768" t="str">
        <f>IFERROR(INDEX(DataSheetDA!$M:$M,MATCH($B13,DataSheetDA!$B:$B,0)),"")</f>
        <v/>
      </c>
      <c r="V13" s="767"/>
      <c r="W13" s="765" t="str">
        <f>IFERROR(INDEX(DataSheetDA!$N:$N,MATCH($B13,DataSheetDA!$B:$B,0)),"")</f>
        <v/>
      </c>
      <c r="X13" s="766"/>
      <c r="Y13" s="771"/>
      <c r="Z13" s="772"/>
      <c r="AA13" s="768" t="str">
        <f>IFERROR(INDEX(DataSheetDA!$O:$O,MATCH($B13,DataSheetDA!$B:$B,0)),"")</f>
        <v/>
      </c>
      <c r="AB13" s="364"/>
      <c r="AC13" s="363"/>
    </row>
    <row r="14" spans="1:29" s="362" customFormat="1" ht="21" customHeight="1" thickBot="1" x14ac:dyDescent="0.25">
      <c r="A14" s="404">
        <v>2</v>
      </c>
      <c r="B14" s="361" t="str">
        <f t="shared" ref="B14:B53" si="0">CONCATENATE($E$3,"EZ",A14)</f>
        <v>EZZZZEZ2</v>
      </c>
      <c r="C14" s="763" t="str">
        <f>IFERROR(INDEX(DataSheetDA!$D:$D,MATCH($B14,DataSheetDA!$B:$B,0)),"")</f>
        <v/>
      </c>
      <c r="D14" s="764"/>
      <c r="E14" s="765" t="str">
        <f>IFERROR(INDEX(DataSheetDA!$E:$E,MATCH($B14,DataSheetDA!$B:$B,0)),"")</f>
        <v/>
      </c>
      <c r="F14" s="766"/>
      <c r="G14" s="765" t="str">
        <f>IFERROR(INDEX(DataSheetDA!$F:$F,MATCH($B14,DataSheetDA!$B:$B,0)),"")</f>
        <v/>
      </c>
      <c r="H14" s="767"/>
      <c r="I14" s="765" t="str">
        <f>IFERROR(INDEX(DataSheetDA!$G:$G,MATCH($B14,DataSheetDA!$B:$B,0)),"")</f>
        <v/>
      </c>
      <c r="J14" s="767"/>
      <c r="K14" s="768" t="str">
        <f>IFERROR(INDEX(DataSheetDA!$H:$H,MATCH($B14,DataSheetDA!$B:$B,0)),"")</f>
        <v/>
      </c>
      <c r="L14" s="769"/>
      <c r="M14" s="765" t="str">
        <f>IFERROR(INDEX(DataSheetDA!$I:$I,MATCH($B14,DataSheetDA!$B:$B,0)),"")</f>
        <v/>
      </c>
      <c r="N14" s="766"/>
      <c r="O14" s="765" t="str">
        <f>IFERROR(INDEX(DataSheetDA!$J:$J,MATCH($B14,DataSheetDA!$B:$B,0)),"")</f>
        <v/>
      </c>
      <c r="P14" s="766"/>
      <c r="Q14" s="765" t="str">
        <f>IFERROR(INDEX(DataSheetDA!$K:$K,MATCH($B14,DataSheetDA!$B:$B,0)),"")</f>
        <v/>
      </c>
      <c r="R14" s="767"/>
      <c r="S14" s="770" t="str">
        <f>IFERROR(INDEX(DataSheetDA!$L:$L,MATCH($B14,DataSheetDA!$B:$B,0)),"")</f>
        <v/>
      </c>
      <c r="T14" s="767"/>
      <c r="U14" s="768" t="str">
        <f>IFERROR(INDEX(DataSheetDA!$M:$M,MATCH($B14,DataSheetDA!$B:$B,0)),"")</f>
        <v/>
      </c>
      <c r="V14" s="767"/>
      <c r="W14" s="765" t="str">
        <f>IFERROR(INDEX(DataSheetDA!$N:$N,MATCH($B14,DataSheetDA!$B:$B,0)),"")</f>
        <v/>
      </c>
      <c r="X14" s="766"/>
      <c r="Y14" s="771"/>
      <c r="Z14" s="772"/>
      <c r="AA14" s="768" t="str">
        <f>IFERROR(INDEX(DataSheetDA!$O:$O,MATCH($B14,DataSheetDA!$B:$B,0)),"")</f>
        <v/>
      </c>
      <c r="AB14" s="364"/>
      <c r="AC14" s="363"/>
    </row>
    <row r="15" spans="1:29" s="362" customFormat="1" ht="21" customHeight="1" thickBot="1" x14ac:dyDescent="0.25">
      <c r="A15" s="404">
        <v>3</v>
      </c>
      <c r="B15" s="361" t="str">
        <f t="shared" si="0"/>
        <v>EZZZZEZ3</v>
      </c>
      <c r="C15" s="763" t="str">
        <f>IFERROR(INDEX(DataSheetDA!$D:$D,MATCH($B15,DataSheetDA!$B:$B,0)),"")</f>
        <v/>
      </c>
      <c r="D15" s="764"/>
      <c r="E15" s="765" t="str">
        <f>IFERROR(INDEX(DataSheetDA!$E:$E,MATCH($B15,DataSheetDA!$B:$B,0)),"")</f>
        <v/>
      </c>
      <c r="F15" s="766"/>
      <c r="G15" s="765" t="str">
        <f>IFERROR(INDEX(DataSheetDA!$F:$F,MATCH($B15,DataSheetDA!$B:$B,0)),"")</f>
        <v/>
      </c>
      <c r="H15" s="767"/>
      <c r="I15" s="765" t="str">
        <f>IFERROR(INDEX(DataSheetDA!$G:$G,MATCH($B15,DataSheetDA!$B:$B,0)),"")</f>
        <v/>
      </c>
      <c r="J15" s="767"/>
      <c r="K15" s="768" t="str">
        <f>IFERROR(INDEX(DataSheetDA!$H:$H,MATCH($B15,DataSheetDA!$B:$B,0)),"")</f>
        <v/>
      </c>
      <c r="L15" s="769"/>
      <c r="M15" s="765" t="str">
        <f>IFERROR(INDEX(DataSheetDA!$I:$I,MATCH($B15,DataSheetDA!$B:$B,0)),"")</f>
        <v/>
      </c>
      <c r="N15" s="766"/>
      <c r="O15" s="765" t="str">
        <f>IFERROR(INDEX(DataSheetDA!$J:$J,MATCH($B15,DataSheetDA!$B:$B,0)),"")</f>
        <v/>
      </c>
      <c r="P15" s="766"/>
      <c r="Q15" s="765" t="str">
        <f>IFERROR(INDEX(DataSheetDA!$K:$K,MATCH($B15,DataSheetDA!$B:$B,0)),"")</f>
        <v/>
      </c>
      <c r="R15" s="767"/>
      <c r="S15" s="770" t="str">
        <f>IFERROR(INDEX(DataSheetDA!$L:$L,MATCH($B15,DataSheetDA!$B:$B,0)),"")</f>
        <v/>
      </c>
      <c r="T15" s="767"/>
      <c r="U15" s="768" t="str">
        <f>IFERROR(INDEX(DataSheetDA!$M:$M,MATCH($B15,DataSheetDA!$B:$B,0)),"")</f>
        <v/>
      </c>
      <c r="V15" s="767"/>
      <c r="W15" s="765" t="str">
        <f>IFERROR(INDEX(DataSheetDA!$N:$N,MATCH($B15,DataSheetDA!$B:$B,0)),"")</f>
        <v/>
      </c>
      <c r="X15" s="766"/>
      <c r="Y15" s="771"/>
      <c r="Z15" s="772"/>
      <c r="AA15" s="768" t="str">
        <f>IFERROR(INDEX(DataSheetDA!$O:$O,MATCH($B15,DataSheetDA!$B:$B,0)),"")</f>
        <v/>
      </c>
      <c r="AB15" s="364"/>
      <c r="AC15" s="363"/>
    </row>
    <row r="16" spans="1:29" s="362" customFormat="1" ht="21" customHeight="1" thickBot="1" x14ac:dyDescent="0.25">
      <c r="A16" s="404">
        <v>4</v>
      </c>
      <c r="B16" s="361" t="str">
        <f t="shared" si="0"/>
        <v>EZZZZEZ4</v>
      </c>
      <c r="C16" s="763" t="str">
        <f>IFERROR(INDEX(DataSheetDA!$D:$D,MATCH($B16,DataSheetDA!$B:$B,0)),"")</f>
        <v/>
      </c>
      <c r="D16" s="764"/>
      <c r="E16" s="765" t="str">
        <f>IFERROR(INDEX(DataSheetDA!$E:$E,MATCH($B16,DataSheetDA!$B:$B,0)),"")</f>
        <v/>
      </c>
      <c r="F16" s="766"/>
      <c r="G16" s="765" t="str">
        <f>IFERROR(INDEX(DataSheetDA!$F:$F,MATCH($B16,DataSheetDA!$B:$B,0)),"")</f>
        <v/>
      </c>
      <c r="H16" s="767"/>
      <c r="I16" s="765" t="str">
        <f>IFERROR(INDEX(DataSheetDA!$G:$G,MATCH($B16,DataSheetDA!$B:$B,0)),"")</f>
        <v/>
      </c>
      <c r="J16" s="767"/>
      <c r="K16" s="768" t="str">
        <f>IFERROR(INDEX(DataSheetDA!$H:$H,MATCH($B16,DataSheetDA!$B:$B,0)),"")</f>
        <v/>
      </c>
      <c r="L16" s="769"/>
      <c r="M16" s="765" t="str">
        <f>IFERROR(INDEX(DataSheetDA!$I:$I,MATCH($B16,DataSheetDA!$B:$B,0)),"")</f>
        <v/>
      </c>
      <c r="N16" s="766"/>
      <c r="O16" s="765" t="str">
        <f>IFERROR(INDEX(DataSheetDA!$J:$J,MATCH($B16,DataSheetDA!$B:$B,0)),"")</f>
        <v/>
      </c>
      <c r="P16" s="766"/>
      <c r="Q16" s="765" t="str">
        <f>IFERROR(INDEX(DataSheetDA!$K:$K,MATCH($B16,DataSheetDA!$B:$B,0)),"")</f>
        <v/>
      </c>
      <c r="R16" s="767"/>
      <c r="S16" s="770" t="str">
        <f>IFERROR(INDEX(DataSheetDA!$L:$L,MATCH($B16,DataSheetDA!$B:$B,0)),"")</f>
        <v/>
      </c>
      <c r="T16" s="767"/>
      <c r="U16" s="768" t="str">
        <f>IFERROR(INDEX(DataSheetDA!$M:$M,MATCH($B16,DataSheetDA!$B:$B,0)),"")</f>
        <v/>
      </c>
      <c r="V16" s="767"/>
      <c r="W16" s="765" t="str">
        <f>IFERROR(INDEX(DataSheetDA!$N:$N,MATCH($B16,DataSheetDA!$B:$B,0)),"")</f>
        <v/>
      </c>
      <c r="X16" s="766"/>
      <c r="Y16" s="771"/>
      <c r="Z16" s="772"/>
      <c r="AA16" s="768" t="str">
        <f>IFERROR(INDEX(DataSheetDA!$O:$O,MATCH($B16,DataSheetDA!$B:$B,0)),"")</f>
        <v/>
      </c>
      <c r="AB16" s="364"/>
      <c r="AC16" s="363"/>
    </row>
    <row r="17" spans="1:29" s="362" customFormat="1" ht="21" customHeight="1" thickBot="1" x14ac:dyDescent="0.25">
      <c r="A17" s="404">
        <v>5</v>
      </c>
      <c r="B17" s="361" t="str">
        <f t="shared" si="0"/>
        <v>EZZZZEZ5</v>
      </c>
      <c r="C17" s="763" t="str">
        <f>IFERROR(INDEX(DataSheetDA!$D:$D,MATCH($B17,DataSheetDA!$B:$B,0)),"")</f>
        <v/>
      </c>
      <c r="D17" s="764"/>
      <c r="E17" s="765" t="str">
        <f>IFERROR(INDEX(DataSheetDA!$E:$E,MATCH($B17,DataSheetDA!$B:$B,0)),"")</f>
        <v/>
      </c>
      <c r="F17" s="766"/>
      <c r="G17" s="765" t="str">
        <f>IFERROR(INDEX(DataSheetDA!$F:$F,MATCH($B17,DataSheetDA!$B:$B,0)),"")</f>
        <v/>
      </c>
      <c r="H17" s="767"/>
      <c r="I17" s="765" t="str">
        <f>IFERROR(INDEX(DataSheetDA!$G:$G,MATCH($B17,DataSheetDA!$B:$B,0)),"")</f>
        <v/>
      </c>
      <c r="J17" s="767"/>
      <c r="K17" s="768" t="str">
        <f>IFERROR(INDEX(DataSheetDA!$H:$H,MATCH($B17,DataSheetDA!$B:$B,0)),"")</f>
        <v/>
      </c>
      <c r="L17" s="769"/>
      <c r="M17" s="765" t="str">
        <f>IFERROR(INDEX(DataSheetDA!$I:$I,MATCH($B17,DataSheetDA!$B:$B,0)),"")</f>
        <v/>
      </c>
      <c r="N17" s="766"/>
      <c r="O17" s="765" t="str">
        <f>IFERROR(INDEX(DataSheetDA!$J:$J,MATCH($B17,DataSheetDA!$B:$B,0)),"")</f>
        <v/>
      </c>
      <c r="P17" s="766"/>
      <c r="Q17" s="765" t="str">
        <f>IFERROR(INDEX(DataSheetDA!$K:$K,MATCH($B17,DataSheetDA!$B:$B,0)),"")</f>
        <v/>
      </c>
      <c r="R17" s="767"/>
      <c r="S17" s="770" t="str">
        <f>IFERROR(INDEX(DataSheetDA!$L:$L,MATCH($B17,DataSheetDA!$B:$B,0)),"")</f>
        <v/>
      </c>
      <c r="T17" s="767"/>
      <c r="U17" s="768" t="str">
        <f>IFERROR(INDEX(DataSheetDA!$M:$M,MATCH($B17,DataSheetDA!$B:$B,0)),"")</f>
        <v/>
      </c>
      <c r="V17" s="767"/>
      <c r="W17" s="765" t="str">
        <f>IFERROR(INDEX(DataSheetDA!$N:$N,MATCH($B17,DataSheetDA!$B:$B,0)),"")</f>
        <v/>
      </c>
      <c r="X17" s="766"/>
      <c r="Y17" s="771"/>
      <c r="Z17" s="772"/>
      <c r="AA17" s="768" t="str">
        <f>IFERROR(INDEX(DataSheetDA!$O:$O,MATCH($B17,DataSheetDA!$B:$B,0)),"")</f>
        <v/>
      </c>
      <c r="AB17" s="364"/>
      <c r="AC17" s="363"/>
    </row>
    <row r="18" spans="1:29" s="362" customFormat="1" ht="21" customHeight="1" thickBot="1" x14ac:dyDescent="0.25">
      <c r="A18" s="404">
        <v>6</v>
      </c>
      <c r="B18" s="361" t="str">
        <f t="shared" si="0"/>
        <v>EZZZZEZ6</v>
      </c>
      <c r="C18" s="763" t="str">
        <f>IFERROR(INDEX(DataSheetDA!$D:$D,MATCH($B18,DataSheetDA!$B:$B,0)),"")</f>
        <v/>
      </c>
      <c r="D18" s="764"/>
      <c r="E18" s="765" t="str">
        <f>IFERROR(INDEX(DataSheetDA!$E:$E,MATCH($B18,DataSheetDA!$B:$B,0)),"")</f>
        <v/>
      </c>
      <c r="F18" s="766"/>
      <c r="G18" s="765" t="str">
        <f>IFERROR(INDEX(DataSheetDA!$F:$F,MATCH($B18,DataSheetDA!$B:$B,0)),"")</f>
        <v/>
      </c>
      <c r="H18" s="767"/>
      <c r="I18" s="765" t="str">
        <f>IFERROR(INDEX(DataSheetDA!$G:$G,MATCH($B18,DataSheetDA!$B:$B,0)),"")</f>
        <v/>
      </c>
      <c r="J18" s="767"/>
      <c r="K18" s="768" t="str">
        <f>IFERROR(INDEX(DataSheetDA!$H:$H,MATCH($B18,DataSheetDA!$B:$B,0)),"")</f>
        <v/>
      </c>
      <c r="L18" s="769"/>
      <c r="M18" s="765" t="str">
        <f>IFERROR(INDEX(DataSheetDA!$I:$I,MATCH($B18,DataSheetDA!$B:$B,0)),"")</f>
        <v/>
      </c>
      <c r="N18" s="766"/>
      <c r="O18" s="765" t="str">
        <f>IFERROR(INDEX(DataSheetDA!$J:$J,MATCH($B18,DataSheetDA!$B:$B,0)),"")</f>
        <v/>
      </c>
      <c r="P18" s="766"/>
      <c r="Q18" s="765" t="str">
        <f>IFERROR(INDEX(DataSheetDA!$K:$K,MATCH($B18,DataSheetDA!$B:$B,0)),"")</f>
        <v/>
      </c>
      <c r="R18" s="767"/>
      <c r="S18" s="770" t="str">
        <f>IFERROR(INDEX(DataSheetDA!$L:$L,MATCH($B18,DataSheetDA!$B:$B,0)),"")</f>
        <v/>
      </c>
      <c r="T18" s="767"/>
      <c r="U18" s="768" t="str">
        <f>IFERROR(INDEX(DataSheetDA!$M:$M,MATCH($B18,DataSheetDA!$B:$B,0)),"")</f>
        <v/>
      </c>
      <c r="V18" s="767"/>
      <c r="W18" s="765" t="str">
        <f>IFERROR(INDEX(DataSheetDA!$N:$N,MATCH($B18,DataSheetDA!$B:$B,0)),"")</f>
        <v/>
      </c>
      <c r="X18" s="766"/>
      <c r="Y18" s="771"/>
      <c r="Z18" s="772"/>
      <c r="AA18" s="768" t="str">
        <f>IFERROR(INDEX(DataSheetDA!$O:$O,MATCH($B18,DataSheetDA!$B:$B,0)),"")</f>
        <v/>
      </c>
      <c r="AB18" s="364"/>
      <c r="AC18" s="363"/>
    </row>
    <row r="19" spans="1:29" s="362" customFormat="1" ht="21" customHeight="1" thickBot="1" x14ac:dyDescent="0.25">
      <c r="A19" s="404">
        <v>7</v>
      </c>
      <c r="B19" s="361" t="str">
        <f t="shared" si="0"/>
        <v>EZZZZEZ7</v>
      </c>
      <c r="C19" s="763" t="str">
        <f>IFERROR(INDEX(DataSheetDA!$D:$D,MATCH($B19,DataSheetDA!$B:$B,0)),"")</f>
        <v/>
      </c>
      <c r="D19" s="764"/>
      <c r="E19" s="765" t="str">
        <f>IFERROR(INDEX(DataSheetDA!$E:$E,MATCH($B19,DataSheetDA!$B:$B,0)),"")</f>
        <v/>
      </c>
      <c r="F19" s="766"/>
      <c r="G19" s="765" t="str">
        <f>IFERROR(INDEX(DataSheetDA!$F:$F,MATCH($B19,DataSheetDA!$B:$B,0)),"")</f>
        <v/>
      </c>
      <c r="H19" s="767"/>
      <c r="I19" s="765" t="str">
        <f>IFERROR(INDEX(DataSheetDA!$G:$G,MATCH($B19,DataSheetDA!$B:$B,0)),"")</f>
        <v/>
      </c>
      <c r="J19" s="767"/>
      <c r="K19" s="768" t="str">
        <f>IFERROR(INDEX(DataSheetDA!$H:$H,MATCH($B19,DataSheetDA!$B:$B,0)),"")</f>
        <v/>
      </c>
      <c r="L19" s="769"/>
      <c r="M19" s="765" t="str">
        <f>IFERROR(INDEX(DataSheetDA!$I:$I,MATCH($B19,DataSheetDA!$B:$B,0)),"")</f>
        <v/>
      </c>
      <c r="N19" s="766"/>
      <c r="O19" s="765" t="str">
        <f>IFERROR(INDEX(DataSheetDA!$J:$J,MATCH($B19,DataSheetDA!$B:$B,0)),"")</f>
        <v/>
      </c>
      <c r="P19" s="766"/>
      <c r="Q19" s="765" t="str">
        <f>IFERROR(INDEX(DataSheetDA!$K:$K,MATCH($B19,DataSheetDA!$B:$B,0)),"")</f>
        <v/>
      </c>
      <c r="R19" s="767"/>
      <c r="S19" s="770" t="str">
        <f>IFERROR(INDEX(DataSheetDA!$L:$L,MATCH($B19,DataSheetDA!$B:$B,0)),"")</f>
        <v/>
      </c>
      <c r="T19" s="767"/>
      <c r="U19" s="768" t="str">
        <f>IFERROR(INDEX(DataSheetDA!$M:$M,MATCH($B19,DataSheetDA!$B:$B,0)),"")</f>
        <v/>
      </c>
      <c r="V19" s="767"/>
      <c r="W19" s="765" t="str">
        <f>IFERROR(INDEX(DataSheetDA!$N:$N,MATCH($B19,DataSheetDA!$B:$B,0)),"")</f>
        <v/>
      </c>
      <c r="X19" s="766"/>
      <c r="Y19" s="771"/>
      <c r="Z19" s="772"/>
      <c r="AA19" s="768" t="str">
        <f>IFERROR(INDEX(DataSheetDA!$O:$O,MATCH($B19,DataSheetDA!$B:$B,0)),"")</f>
        <v/>
      </c>
      <c r="AB19" s="364"/>
      <c r="AC19" s="363"/>
    </row>
    <row r="20" spans="1:29" s="362" customFormat="1" ht="21" customHeight="1" thickBot="1" x14ac:dyDescent="0.25">
      <c r="A20" s="404">
        <v>8</v>
      </c>
      <c r="B20" s="361" t="str">
        <f t="shared" si="0"/>
        <v>EZZZZEZ8</v>
      </c>
      <c r="C20" s="763" t="str">
        <f>IFERROR(INDEX(DataSheetDA!$D:$D,MATCH($B20,DataSheetDA!$B:$B,0)),"")</f>
        <v/>
      </c>
      <c r="D20" s="764"/>
      <c r="E20" s="765" t="str">
        <f>IFERROR(INDEX(DataSheetDA!$E:$E,MATCH($B20,DataSheetDA!$B:$B,0)),"")</f>
        <v/>
      </c>
      <c r="F20" s="766"/>
      <c r="G20" s="765" t="str">
        <f>IFERROR(INDEX(DataSheetDA!$F:$F,MATCH($B20,DataSheetDA!$B:$B,0)),"")</f>
        <v/>
      </c>
      <c r="H20" s="767"/>
      <c r="I20" s="765" t="str">
        <f>IFERROR(INDEX(DataSheetDA!$G:$G,MATCH($B20,DataSheetDA!$B:$B,0)),"")</f>
        <v/>
      </c>
      <c r="J20" s="767"/>
      <c r="K20" s="768" t="str">
        <f>IFERROR(INDEX(DataSheetDA!$H:$H,MATCH($B20,DataSheetDA!$B:$B,0)),"")</f>
        <v/>
      </c>
      <c r="L20" s="769"/>
      <c r="M20" s="765" t="str">
        <f>IFERROR(INDEX(DataSheetDA!$I:$I,MATCH($B20,DataSheetDA!$B:$B,0)),"")</f>
        <v/>
      </c>
      <c r="N20" s="766"/>
      <c r="O20" s="765" t="str">
        <f>IFERROR(INDEX(DataSheetDA!$J:$J,MATCH($B20,DataSheetDA!$B:$B,0)),"")</f>
        <v/>
      </c>
      <c r="P20" s="766"/>
      <c r="Q20" s="765" t="str">
        <f>IFERROR(INDEX(DataSheetDA!$K:$K,MATCH($B20,DataSheetDA!$B:$B,0)),"")</f>
        <v/>
      </c>
      <c r="R20" s="767"/>
      <c r="S20" s="770" t="str">
        <f>IFERROR(INDEX(DataSheetDA!$L:$L,MATCH($B20,DataSheetDA!$B:$B,0)),"")</f>
        <v/>
      </c>
      <c r="T20" s="767"/>
      <c r="U20" s="768" t="str">
        <f>IFERROR(INDEX(DataSheetDA!$M:$M,MATCH($B20,DataSheetDA!$B:$B,0)),"")</f>
        <v/>
      </c>
      <c r="V20" s="767"/>
      <c r="W20" s="765" t="str">
        <f>IFERROR(INDEX(DataSheetDA!$N:$N,MATCH($B20,DataSheetDA!$B:$B,0)),"")</f>
        <v/>
      </c>
      <c r="X20" s="766"/>
      <c r="Y20" s="771"/>
      <c r="Z20" s="772"/>
      <c r="AA20" s="768" t="str">
        <f>IFERROR(INDEX(DataSheetDA!$O:$O,MATCH($B20,DataSheetDA!$B:$B,0)),"")</f>
        <v/>
      </c>
      <c r="AB20" s="364"/>
      <c r="AC20" s="363"/>
    </row>
    <row r="21" spans="1:29" s="362" customFormat="1" ht="21" customHeight="1" thickBot="1" x14ac:dyDescent="0.25">
      <c r="A21" s="404">
        <v>9</v>
      </c>
      <c r="B21" s="361" t="str">
        <f t="shared" si="0"/>
        <v>EZZZZEZ9</v>
      </c>
      <c r="C21" s="763" t="str">
        <f>IFERROR(INDEX(DataSheetDA!$D:$D,MATCH($B21,DataSheetDA!$B:$B,0)),"")</f>
        <v/>
      </c>
      <c r="D21" s="764"/>
      <c r="E21" s="765" t="str">
        <f>IFERROR(INDEX(DataSheetDA!$E:$E,MATCH($B21,DataSheetDA!$B:$B,0)),"")</f>
        <v/>
      </c>
      <c r="F21" s="766"/>
      <c r="G21" s="765" t="str">
        <f>IFERROR(INDEX(DataSheetDA!$F:$F,MATCH($B21,DataSheetDA!$B:$B,0)),"")</f>
        <v/>
      </c>
      <c r="H21" s="767"/>
      <c r="I21" s="765" t="str">
        <f>IFERROR(INDEX(DataSheetDA!$G:$G,MATCH($B21,DataSheetDA!$B:$B,0)),"")</f>
        <v/>
      </c>
      <c r="J21" s="767"/>
      <c r="K21" s="768" t="str">
        <f>IFERROR(INDEX(DataSheetDA!$H:$H,MATCH($B21,DataSheetDA!$B:$B,0)),"")</f>
        <v/>
      </c>
      <c r="L21" s="769"/>
      <c r="M21" s="765" t="str">
        <f>IFERROR(INDEX(DataSheetDA!$I:$I,MATCH($B21,DataSheetDA!$B:$B,0)),"")</f>
        <v/>
      </c>
      <c r="N21" s="766"/>
      <c r="O21" s="765" t="str">
        <f>IFERROR(INDEX(DataSheetDA!$J:$J,MATCH($B21,DataSheetDA!$B:$B,0)),"")</f>
        <v/>
      </c>
      <c r="P21" s="766"/>
      <c r="Q21" s="765" t="str">
        <f>IFERROR(INDEX(DataSheetDA!$K:$K,MATCH($B21,DataSheetDA!$B:$B,0)),"")</f>
        <v/>
      </c>
      <c r="R21" s="767"/>
      <c r="S21" s="770" t="str">
        <f>IFERROR(INDEX(DataSheetDA!$L:$L,MATCH($B21,DataSheetDA!$B:$B,0)),"")</f>
        <v/>
      </c>
      <c r="T21" s="767"/>
      <c r="U21" s="768" t="str">
        <f>IFERROR(INDEX(DataSheetDA!$M:$M,MATCH($B21,DataSheetDA!$B:$B,0)),"")</f>
        <v/>
      </c>
      <c r="V21" s="767"/>
      <c r="W21" s="765" t="str">
        <f>IFERROR(INDEX(DataSheetDA!$N:$N,MATCH($B21,DataSheetDA!$B:$B,0)),"")</f>
        <v/>
      </c>
      <c r="X21" s="766"/>
      <c r="Y21" s="771"/>
      <c r="Z21" s="772"/>
      <c r="AA21" s="768" t="str">
        <f>IFERROR(INDEX(DataSheetDA!$O:$O,MATCH($B21,DataSheetDA!$B:$B,0)),"")</f>
        <v/>
      </c>
      <c r="AB21" s="364"/>
      <c r="AC21" s="363"/>
    </row>
    <row r="22" spans="1:29" s="362" customFormat="1" ht="21" customHeight="1" thickBot="1" x14ac:dyDescent="0.25">
      <c r="A22" s="404">
        <v>10</v>
      </c>
      <c r="B22" s="361" t="str">
        <f t="shared" si="0"/>
        <v>EZZZZEZ10</v>
      </c>
      <c r="C22" s="763" t="str">
        <f>IFERROR(INDEX(DataSheetDA!$D:$D,MATCH($B22,DataSheetDA!$B:$B,0)),"")</f>
        <v/>
      </c>
      <c r="D22" s="764"/>
      <c r="E22" s="765" t="str">
        <f>IFERROR(INDEX(DataSheetDA!$E:$E,MATCH($B22,DataSheetDA!$B:$B,0)),"")</f>
        <v/>
      </c>
      <c r="F22" s="766"/>
      <c r="G22" s="765" t="str">
        <f>IFERROR(INDEX(DataSheetDA!$F:$F,MATCH($B22,DataSheetDA!$B:$B,0)),"")</f>
        <v/>
      </c>
      <c r="H22" s="767"/>
      <c r="I22" s="765" t="str">
        <f>IFERROR(INDEX(DataSheetDA!$G:$G,MATCH($B22,DataSheetDA!$B:$B,0)),"")</f>
        <v/>
      </c>
      <c r="J22" s="767"/>
      <c r="K22" s="768" t="str">
        <f>IFERROR(INDEX(DataSheetDA!$H:$H,MATCH($B22,DataSheetDA!$B:$B,0)),"")</f>
        <v/>
      </c>
      <c r="L22" s="769"/>
      <c r="M22" s="765" t="str">
        <f>IFERROR(INDEX(DataSheetDA!$I:$I,MATCH($B22,DataSheetDA!$B:$B,0)),"")</f>
        <v/>
      </c>
      <c r="N22" s="766"/>
      <c r="O22" s="765" t="str">
        <f>IFERROR(INDEX(DataSheetDA!$J:$J,MATCH($B22,DataSheetDA!$B:$B,0)),"")</f>
        <v/>
      </c>
      <c r="P22" s="766"/>
      <c r="Q22" s="765" t="str">
        <f>IFERROR(INDEX(DataSheetDA!$K:$K,MATCH($B22,DataSheetDA!$B:$B,0)),"")</f>
        <v/>
      </c>
      <c r="R22" s="767"/>
      <c r="S22" s="770" t="str">
        <f>IFERROR(INDEX(DataSheetDA!$L:$L,MATCH($B22,DataSheetDA!$B:$B,0)),"")</f>
        <v/>
      </c>
      <c r="T22" s="767"/>
      <c r="U22" s="768" t="str">
        <f>IFERROR(INDEX(DataSheetDA!$M:$M,MATCH($B22,DataSheetDA!$B:$B,0)),"")</f>
        <v/>
      </c>
      <c r="V22" s="767"/>
      <c r="W22" s="765" t="str">
        <f>IFERROR(INDEX(DataSheetDA!$N:$N,MATCH($B22,DataSheetDA!$B:$B,0)),"")</f>
        <v/>
      </c>
      <c r="X22" s="766"/>
      <c r="Y22" s="771"/>
      <c r="Z22" s="772"/>
      <c r="AA22" s="768" t="str">
        <f>IFERROR(INDEX(DataSheetDA!$O:$O,MATCH($B22,DataSheetDA!$B:$B,0)),"")</f>
        <v/>
      </c>
      <c r="AB22" s="364"/>
      <c r="AC22" s="363"/>
    </row>
    <row r="23" spans="1:29" s="362" customFormat="1" ht="21" customHeight="1" thickBot="1" x14ac:dyDescent="0.25">
      <c r="A23" s="404">
        <v>11</v>
      </c>
      <c r="B23" s="361" t="str">
        <f t="shared" si="0"/>
        <v>EZZZZEZ11</v>
      </c>
      <c r="C23" s="763" t="str">
        <f>IFERROR(INDEX(DataSheetDA!$D:$D,MATCH($B23,DataSheetDA!$B:$B,0)),"")</f>
        <v/>
      </c>
      <c r="D23" s="764"/>
      <c r="E23" s="765" t="str">
        <f>IFERROR(INDEX(DataSheetDA!$E:$E,MATCH($B23,DataSheetDA!$B:$B,0)),"")</f>
        <v/>
      </c>
      <c r="F23" s="766"/>
      <c r="G23" s="765" t="str">
        <f>IFERROR(INDEX(DataSheetDA!$F:$F,MATCH($B23,DataSheetDA!$B:$B,0)),"")</f>
        <v/>
      </c>
      <c r="H23" s="767"/>
      <c r="I23" s="765" t="str">
        <f>IFERROR(INDEX(DataSheetDA!$G:$G,MATCH($B23,DataSheetDA!$B:$B,0)),"")</f>
        <v/>
      </c>
      <c r="J23" s="767"/>
      <c r="K23" s="768" t="str">
        <f>IFERROR(INDEX(DataSheetDA!$H:$H,MATCH($B23,DataSheetDA!$B:$B,0)),"")</f>
        <v/>
      </c>
      <c r="L23" s="769"/>
      <c r="M23" s="765" t="str">
        <f>IFERROR(INDEX(DataSheetDA!$I:$I,MATCH($B23,DataSheetDA!$B:$B,0)),"")</f>
        <v/>
      </c>
      <c r="N23" s="766"/>
      <c r="O23" s="765" t="str">
        <f>IFERROR(INDEX(DataSheetDA!$J:$J,MATCH($B23,DataSheetDA!$B:$B,0)),"")</f>
        <v/>
      </c>
      <c r="P23" s="766"/>
      <c r="Q23" s="765" t="str">
        <f>IFERROR(INDEX(DataSheetDA!$K:$K,MATCH($B23,DataSheetDA!$B:$B,0)),"")</f>
        <v/>
      </c>
      <c r="R23" s="767"/>
      <c r="S23" s="770" t="str">
        <f>IFERROR(INDEX(DataSheetDA!$L:$L,MATCH($B23,DataSheetDA!$B:$B,0)),"")</f>
        <v/>
      </c>
      <c r="T23" s="767"/>
      <c r="U23" s="768" t="str">
        <f>IFERROR(INDEX(DataSheetDA!$M:$M,MATCH($B23,DataSheetDA!$B:$B,0)),"")</f>
        <v/>
      </c>
      <c r="V23" s="767"/>
      <c r="W23" s="765" t="str">
        <f>IFERROR(INDEX(DataSheetDA!$N:$N,MATCH($B23,DataSheetDA!$B:$B,0)),"")</f>
        <v/>
      </c>
      <c r="X23" s="766"/>
      <c r="Y23" s="771"/>
      <c r="Z23" s="772"/>
      <c r="AA23" s="768" t="str">
        <f>IFERROR(INDEX(DataSheetDA!$O:$O,MATCH($B23,DataSheetDA!$B:$B,0)),"")</f>
        <v/>
      </c>
      <c r="AB23" s="364"/>
      <c r="AC23" s="363"/>
    </row>
    <row r="24" spans="1:29" s="362" customFormat="1" ht="21" customHeight="1" thickBot="1" x14ac:dyDescent="0.25">
      <c r="A24" s="404">
        <v>12</v>
      </c>
      <c r="B24" s="361" t="str">
        <f t="shared" si="0"/>
        <v>EZZZZEZ12</v>
      </c>
      <c r="C24" s="763" t="str">
        <f>IFERROR(INDEX(DataSheetDA!$D:$D,MATCH($B24,DataSheetDA!$B:$B,0)),"")</f>
        <v/>
      </c>
      <c r="D24" s="764"/>
      <c r="E24" s="765" t="str">
        <f>IFERROR(INDEX(DataSheetDA!$E:$E,MATCH($B24,DataSheetDA!$B:$B,0)),"")</f>
        <v/>
      </c>
      <c r="F24" s="766"/>
      <c r="G24" s="765" t="str">
        <f>IFERROR(INDEX(DataSheetDA!$F:$F,MATCH($B24,DataSheetDA!$B:$B,0)),"")</f>
        <v/>
      </c>
      <c r="H24" s="767"/>
      <c r="I24" s="765" t="str">
        <f>IFERROR(INDEX(DataSheetDA!$G:$G,MATCH($B24,DataSheetDA!$B:$B,0)),"")</f>
        <v/>
      </c>
      <c r="J24" s="767"/>
      <c r="K24" s="768" t="str">
        <f>IFERROR(INDEX(DataSheetDA!$H:$H,MATCH($B24,DataSheetDA!$B:$B,0)),"")</f>
        <v/>
      </c>
      <c r="L24" s="769"/>
      <c r="M24" s="765" t="str">
        <f>IFERROR(INDEX(DataSheetDA!$I:$I,MATCH($B24,DataSheetDA!$B:$B,0)),"")</f>
        <v/>
      </c>
      <c r="N24" s="766"/>
      <c r="O24" s="765" t="str">
        <f>IFERROR(INDEX(DataSheetDA!$J:$J,MATCH($B24,DataSheetDA!$B:$B,0)),"")</f>
        <v/>
      </c>
      <c r="P24" s="766"/>
      <c r="Q24" s="765" t="str">
        <f>IFERROR(INDEX(DataSheetDA!$K:$K,MATCH($B24,DataSheetDA!$B:$B,0)),"")</f>
        <v/>
      </c>
      <c r="R24" s="767"/>
      <c r="S24" s="770" t="str">
        <f>IFERROR(INDEX(DataSheetDA!$L:$L,MATCH($B24,DataSheetDA!$B:$B,0)),"")</f>
        <v/>
      </c>
      <c r="T24" s="767"/>
      <c r="U24" s="768" t="str">
        <f>IFERROR(INDEX(DataSheetDA!$M:$M,MATCH($B24,DataSheetDA!$B:$B,0)),"")</f>
        <v/>
      </c>
      <c r="V24" s="767"/>
      <c r="W24" s="765" t="str">
        <f>IFERROR(INDEX(DataSheetDA!$N:$N,MATCH($B24,DataSheetDA!$B:$B,0)),"")</f>
        <v/>
      </c>
      <c r="X24" s="766"/>
      <c r="Y24" s="771"/>
      <c r="Z24" s="772"/>
      <c r="AA24" s="768" t="str">
        <f>IFERROR(INDEX(DataSheetDA!$O:$O,MATCH($B24,DataSheetDA!$B:$B,0)),"")</f>
        <v/>
      </c>
      <c r="AB24" s="364"/>
      <c r="AC24" s="363"/>
    </row>
    <row r="25" spans="1:29" s="362" customFormat="1" ht="21" customHeight="1" thickBot="1" x14ac:dyDescent="0.25">
      <c r="A25" s="404">
        <v>13</v>
      </c>
      <c r="B25" s="361" t="str">
        <f t="shared" si="0"/>
        <v>EZZZZEZ13</v>
      </c>
      <c r="C25" s="763" t="str">
        <f>IFERROR(INDEX(DataSheetDA!$D:$D,MATCH($B25,DataSheetDA!$B:$B,0)),"")</f>
        <v/>
      </c>
      <c r="D25" s="764"/>
      <c r="E25" s="765" t="str">
        <f>IFERROR(INDEX(DataSheetDA!$E:$E,MATCH($B25,DataSheetDA!$B:$B,0)),"")</f>
        <v/>
      </c>
      <c r="F25" s="766"/>
      <c r="G25" s="765" t="str">
        <f>IFERROR(INDEX(DataSheetDA!$F:$F,MATCH($B25,DataSheetDA!$B:$B,0)),"")</f>
        <v/>
      </c>
      <c r="H25" s="767"/>
      <c r="I25" s="765" t="str">
        <f>IFERROR(INDEX(DataSheetDA!$G:$G,MATCH($B25,DataSheetDA!$B:$B,0)),"")</f>
        <v/>
      </c>
      <c r="J25" s="767"/>
      <c r="K25" s="768" t="str">
        <f>IFERROR(INDEX(DataSheetDA!$H:$H,MATCH($B25,DataSheetDA!$B:$B,0)),"")</f>
        <v/>
      </c>
      <c r="L25" s="769"/>
      <c r="M25" s="765" t="str">
        <f>IFERROR(INDEX(DataSheetDA!$I:$I,MATCH($B25,DataSheetDA!$B:$B,0)),"")</f>
        <v/>
      </c>
      <c r="N25" s="766"/>
      <c r="O25" s="765" t="str">
        <f>IFERROR(INDEX(DataSheetDA!$J:$J,MATCH($B25,DataSheetDA!$B:$B,0)),"")</f>
        <v/>
      </c>
      <c r="P25" s="766"/>
      <c r="Q25" s="765" t="str">
        <f>IFERROR(INDEX(DataSheetDA!$K:$K,MATCH($B25,DataSheetDA!$B:$B,0)),"")</f>
        <v/>
      </c>
      <c r="R25" s="767"/>
      <c r="S25" s="770" t="str">
        <f>IFERROR(INDEX(DataSheetDA!$L:$L,MATCH($B25,DataSheetDA!$B:$B,0)),"")</f>
        <v/>
      </c>
      <c r="T25" s="767"/>
      <c r="U25" s="768" t="str">
        <f>IFERROR(INDEX(DataSheetDA!$M:$M,MATCH($B25,DataSheetDA!$B:$B,0)),"")</f>
        <v/>
      </c>
      <c r="V25" s="767"/>
      <c r="W25" s="765" t="str">
        <f>IFERROR(INDEX(DataSheetDA!$N:$N,MATCH($B25,DataSheetDA!$B:$B,0)),"")</f>
        <v/>
      </c>
      <c r="X25" s="766"/>
      <c r="Y25" s="771"/>
      <c r="Z25" s="772"/>
      <c r="AA25" s="768" t="str">
        <f>IFERROR(INDEX(DataSheetDA!$O:$O,MATCH($B25,DataSheetDA!$B:$B,0)),"")</f>
        <v/>
      </c>
      <c r="AB25" s="364"/>
      <c r="AC25" s="363"/>
    </row>
    <row r="26" spans="1:29" s="362" customFormat="1" ht="21" customHeight="1" thickBot="1" x14ac:dyDescent="0.25">
      <c r="A26" s="404">
        <v>14</v>
      </c>
      <c r="B26" s="361" t="str">
        <f t="shared" si="0"/>
        <v>EZZZZEZ14</v>
      </c>
      <c r="C26" s="763" t="str">
        <f>IFERROR(INDEX(DataSheetDA!$D:$D,MATCH($B26,DataSheetDA!$B:$B,0)),"")</f>
        <v/>
      </c>
      <c r="D26" s="764"/>
      <c r="E26" s="765" t="str">
        <f>IFERROR(INDEX(DataSheetDA!$E:$E,MATCH($B26,DataSheetDA!$B:$B,0)),"")</f>
        <v/>
      </c>
      <c r="F26" s="766"/>
      <c r="G26" s="765" t="str">
        <f>IFERROR(INDEX(DataSheetDA!$F:$F,MATCH($B26,DataSheetDA!$B:$B,0)),"")</f>
        <v/>
      </c>
      <c r="H26" s="767"/>
      <c r="I26" s="765" t="str">
        <f>IFERROR(INDEX(DataSheetDA!$G:$G,MATCH($B26,DataSheetDA!$B:$B,0)),"")</f>
        <v/>
      </c>
      <c r="J26" s="767"/>
      <c r="K26" s="768" t="str">
        <f>IFERROR(INDEX(DataSheetDA!$H:$H,MATCH($B26,DataSheetDA!$B:$B,0)),"")</f>
        <v/>
      </c>
      <c r="L26" s="769"/>
      <c r="M26" s="765" t="str">
        <f>IFERROR(INDEX(DataSheetDA!$I:$I,MATCH($B26,DataSheetDA!$B:$B,0)),"")</f>
        <v/>
      </c>
      <c r="N26" s="766"/>
      <c r="O26" s="765" t="str">
        <f>IFERROR(INDEX(DataSheetDA!$J:$J,MATCH($B26,DataSheetDA!$B:$B,0)),"")</f>
        <v/>
      </c>
      <c r="P26" s="766"/>
      <c r="Q26" s="765" t="str">
        <f>IFERROR(INDEX(DataSheetDA!$K:$K,MATCH($B26,DataSheetDA!$B:$B,0)),"")</f>
        <v/>
      </c>
      <c r="R26" s="767"/>
      <c r="S26" s="770" t="str">
        <f>IFERROR(INDEX(DataSheetDA!$L:$L,MATCH($B26,DataSheetDA!$B:$B,0)),"")</f>
        <v/>
      </c>
      <c r="T26" s="767"/>
      <c r="U26" s="768" t="str">
        <f>IFERROR(INDEX(DataSheetDA!$M:$M,MATCH($B26,DataSheetDA!$B:$B,0)),"")</f>
        <v/>
      </c>
      <c r="V26" s="767"/>
      <c r="W26" s="765" t="str">
        <f>IFERROR(INDEX(DataSheetDA!$N:$N,MATCH($B26,DataSheetDA!$B:$B,0)),"")</f>
        <v/>
      </c>
      <c r="X26" s="766"/>
      <c r="Y26" s="771"/>
      <c r="Z26" s="772"/>
      <c r="AA26" s="768" t="str">
        <f>IFERROR(INDEX(DataSheetDA!$O:$O,MATCH($B26,DataSheetDA!$B:$B,0)),"")</f>
        <v/>
      </c>
      <c r="AB26" s="364"/>
      <c r="AC26" s="363"/>
    </row>
    <row r="27" spans="1:29" s="362" customFormat="1" ht="21" customHeight="1" thickBot="1" x14ac:dyDescent="0.25">
      <c r="A27" s="404">
        <v>15</v>
      </c>
      <c r="B27" s="361" t="str">
        <f t="shared" si="0"/>
        <v>EZZZZEZ15</v>
      </c>
      <c r="C27" s="763" t="str">
        <f>IFERROR(INDEX(DataSheetDA!$D:$D,MATCH($B27,DataSheetDA!$B:$B,0)),"")</f>
        <v/>
      </c>
      <c r="D27" s="764"/>
      <c r="E27" s="765" t="str">
        <f>IFERROR(INDEX(DataSheetDA!$E:$E,MATCH($B27,DataSheetDA!$B:$B,0)),"")</f>
        <v/>
      </c>
      <c r="F27" s="766"/>
      <c r="G27" s="765" t="str">
        <f>IFERROR(INDEX(DataSheetDA!$F:$F,MATCH($B27,DataSheetDA!$B:$B,0)),"")</f>
        <v/>
      </c>
      <c r="H27" s="767"/>
      <c r="I27" s="765" t="str">
        <f>IFERROR(INDEX(DataSheetDA!$G:$G,MATCH($B27,DataSheetDA!$B:$B,0)),"")</f>
        <v/>
      </c>
      <c r="J27" s="767"/>
      <c r="K27" s="768" t="str">
        <f>IFERROR(INDEX(DataSheetDA!$H:$H,MATCH($B27,DataSheetDA!$B:$B,0)),"")</f>
        <v/>
      </c>
      <c r="L27" s="769"/>
      <c r="M27" s="765" t="str">
        <f>IFERROR(INDEX(DataSheetDA!$I:$I,MATCH($B27,DataSheetDA!$B:$B,0)),"")</f>
        <v/>
      </c>
      <c r="N27" s="766"/>
      <c r="O27" s="765" t="str">
        <f>IFERROR(INDEX(DataSheetDA!$J:$J,MATCH($B27,DataSheetDA!$B:$B,0)),"")</f>
        <v/>
      </c>
      <c r="P27" s="766"/>
      <c r="Q27" s="765" t="str">
        <f>IFERROR(INDEX(DataSheetDA!$K:$K,MATCH($B27,DataSheetDA!$B:$B,0)),"")</f>
        <v/>
      </c>
      <c r="R27" s="767"/>
      <c r="S27" s="770" t="str">
        <f>IFERROR(INDEX(DataSheetDA!$L:$L,MATCH($B27,DataSheetDA!$B:$B,0)),"")</f>
        <v/>
      </c>
      <c r="T27" s="767"/>
      <c r="U27" s="768" t="str">
        <f>IFERROR(INDEX(DataSheetDA!$M:$M,MATCH($B27,DataSheetDA!$B:$B,0)),"")</f>
        <v/>
      </c>
      <c r="V27" s="767"/>
      <c r="W27" s="765" t="str">
        <f>IFERROR(INDEX(DataSheetDA!$N:$N,MATCH($B27,DataSheetDA!$B:$B,0)),"")</f>
        <v/>
      </c>
      <c r="X27" s="766"/>
      <c r="Y27" s="771"/>
      <c r="Z27" s="772"/>
      <c r="AA27" s="768" t="str">
        <f>IFERROR(INDEX(DataSheetDA!$O:$O,MATCH($B27,DataSheetDA!$B:$B,0)),"")</f>
        <v/>
      </c>
      <c r="AB27" s="364"/>
      <c r="AC27" s="363"/>
    </row>
    <row r="28" spans="1:29" s="362" customFormat="1" ht="21" customHeight="1" thickBot="1" x14ac:dyDescent="0.25">
      <c r="A28" s="404">
        <v>16</v>
      </c>
      <c r="B28" s="361" t="str">
        <f t="shared" si="0"/>
        <v>EZZZZEZ16</v>
      </c>
      <c r="C28" s="763" t="str">
        <f>IFERROR(INDEX(DataSheetDA!$D:$D,MATCH($B28,DataSheetDA!$B:$B,0)),"")</f>
        <v/>
      </c>
      <c r="D28" s="764"/>
      <c r="E28" s="765" t="str">
        <f>IFERROR(INDEX(DataSheetDA!$E:$E,MATCH($B28,DataSheetDA!$B:$B,0)),"")</f>
        <v/>
      </c>
      <c r="F28" s="766"/>
      <c r="G28" s="765" t="str">
        <f>IFERROR(INDEX(DataSheetDA!$F:$F,MATCH($B28,DataSheetDA!$B:$B,0)),"")</f>
        <v/>
      </c>
      <c r="H28" s="767"/>
      <c r="I28" s="765" t="str">
        <f>IFERROR(INDEX(DataSheetDA!$G:$G,MATCH($B28,DataSheetDA!$B:$B,0)),"")</f>
        <v/>
      </c>
      <c r="J28" s="767"/>
      <c r="K28" s="768" t="str">
        <f>IFERROR(INDEX(DataSheetDA!$H:$H,MATCH($B28,DataSheetDA!$B:$B,0)),"")</f>
        <v/>
      </c>
      <c r="L28" s="769"/>
      <c r="M28" s="765" t="str">
        <f>IFERROR(INDEX(DataSheetDA!$I:$I,MATCH($B28,DataSheetDA!$B:$B,0)),"")</f>
        <v/>
      </c>
      <c r="N28" s="766"/>
      <c r="O28" s="765" t="str">
        <f>IFERROR(INDEX(DataSheetDA!$J:$J,MATCH($B28,DataSheetDA!$B:$B,0)),"")</f>
        <v/>
      </c>
      <c r="P28" s="766"/>
      <c r="Q28" s="765" t="str">
        <f>IFERROR(INDEX(DataSheetDA!$K:$K,MATCH($B28,DataSheetDA!$B:$B,0)),"")</f>
        <v/>
      </c>
      <c r="R28" s="767"/>
      <c r="S28" s="770" t="str">
        <f>IFERROR(INDEX(DataSheetDA!$L:$L,MATCH($B28,DataSheetDA!$B:$B,0)),"")</f>
        <v/>
      </c>
      <c r="T28" s="767"/>
      <c r="U28" s="768" t="str">
        <f>IFERROR(INDEX(DataSheetDA!$M:$M,MATCH($B28,DataSheetDA!$B:$B,0)),"")</f>
        <v/>
      </c>
      <c r="V28" s="767"/>
      <c r="W28" s="765" t="str">
        <f>IFERROR(INDEX(DataSheetDA!$N:$N,MATCH($B28,DataSheetDA!$B:$B,0)),"")</f>
        <v/>
      </c>
      <c r="X28" s="766"/>
      <c r="Y28" s="771"/>
      <c r="Z28" s="772"/>
      <c r="AA28" s="768" t="str">
        <f>IFERROR(INDEX(DataSheetDA!$O:$O,MATCH($B28,DataSheetDA!$B:$B,0)),"")</f>
        <v/>
      </c>
      <c r="AB28" s="364"/>
      <c r="AC28" s="363"/>
    </row>
    <row r="29" spans="1:29" s="362" customFormat="1" ht="21" customHeight="1" thickBot="1" x14ac:dyDescent="0.25">
      <c r="A29" s="404">
        <v>17</v>
      </c>
      <c r="B29" s="361" t="str">
        <f t="shared" si="0"/>
        <v>EZZZZEZ17</v>
      </c>
      <c r="C29" s="763" t="str">
        <f>IFERROR(INDEX(DataSheetDA!$D:$D,MATCH($B29,DataSheetDA!$B:$B,0)),"")</f>
        <v/>
      </c>
      <c r="D29" s="764"/>
      <c r="E29" s="765" t="str">
        <f>IFERROR(INDEX(DataSheetDA!$E:$E,MATCH($B29,DataSheetDA!$B:$B,0)),"")</f>
        <v/>
      </c>
      <c r="F29" s="766"/>
      <c r="G29" s="765" t="str">
        <f>IFERROR(INDEX(DataSheetDA!$F:$F,MATCH($B29,DataSheetDA!$B:$B,0)),"")</f>
        <v/>
      </c>
      <c r="H29" s="767"/>
      <c r="I29" s="765" t="str">
        <f>IFERROR(INDEX(DataSheetDA!$G:$G,MATCH($B29,DataSheetDA!$B:$B,0)),"")</f>
        <v/>
      </c>
      <c r="J29" s="767"/>
      <c r="K29" s="768" t="str">
        <f>IFERROR(INDEX(DataSheetDA!$H:$H,MATCH($B29,DataSheetDA!$B:$B,0)),"")</f>
        <v/>
      </c>
      <c r="L29" s="769"/>
      <c r="M29" s="765" t="str">
        <f>IFERROR(INDEX(DataSheetDA!$I:$I,MATCH($B29,DataSheetDA!$B:$B,0)),"")</f>
        <v/>
      </c>
      <c r="N29" s="766"/>
      <c r="O29" s="765" t="str">
        <f>IFERROR(INDEX(DataSheetDA!$J:$J,MATCH($B29,DataSheetDA!$B:$B,0)),"")</f>
        <v/>
      </c>
      <c r="P29" s="766"/>
      <c r="Q29" s="765" t="str">
        <f>IFERROR(INDEX(DataSheetDA!$K:$K,MATCH($B29,DataSheetDA!$B:$B,0)),"")</f>
        <v/>
      </c>
      <c r="R29" s="767"/>
      <c r="S29" s="770" t="str">
        <f>IFERROR(INDEX(DataSheetDA!$L:$L,MATCH($B29,DataSheetDA!$B:$B,0)),"")</f>
        <v/>
      </c>
      <c r="T29" s="767"/>
      <c r="U29" s="768" t="str">
        <f>IFERROR(INDEX(DataSheetDA!$M:$M,MATCH($B29,DataSheetDA!$B:$B,0)),"")</f>
        <v/>
      </c>
      <c r="V29" s="767"/>
      <c r="W29" s="765" t="str">
        <f>IFERROR(INDEX(DataSheetDA!$N:$N,MATCH($B29,DataSheetDA!$B:$B,0)),"")</f>
        <v/>
      </c>
      <c r="X29" s="766"/>
      <c r="Y29" s="771"/>
      <c r="Z29" s="772"/>
      <c r="AA29" s="768" t="str">
        <f>IFERROR(INDEX(DataSheetDA!$O:$O,MATCH($B29,DataSheetDA!$B:$B,0)),"")</f>
        <v/>
      </c>
      <c r="AB29" s="364"/>
      <c r="AC29" s="363"/>
    </row>
    <row r="30" spans="1:29" s="362" customFormat="1" ht="21" customHeight="1" thickBot="1" x14ac:dyDescent="0.25">
      <c r="A30" s="404">
        <v>18</v>
      </c>
      <c r="B30" s="361" t="str">
        <f t="shared" si="0"/>
        <v>EZZZZEZ18</v>
      </c>
      <c r="C30" s="763" t="str">
        <f>IFERROR(INDEX(DataSheetDA!$D:$D,MATCH($B30,DataSheetDA!$B:$B,0)),"")</f>
        <v/>
      </c>
      <c r="D30" s="764"/>
      <c r="E30" s="765" t="str">
        <f>IFERROR(INDEX(DataSheetDA!$E:$E,MATCH($B30,DataSheetDA!$B:$B,0)),"")</f>
        <v/>
      </c>
      <c r="F30" s="766"/>
      <c r="G30" s="765" t="str">
        <f>IFERROR(INDEX(DataSheetDA!$F:$F,MATCH($B30,DataSheetDA!$B:$B,0)),"")</f>
        <v/>
      </c>
      <c r="H30" s="767"/>
      <c r="I30" s="765" t="str">
        <f>IFERROR(INDEX(DataSheetDA!$G:$G,MATCH($B30,DataSheetDA!$B:$B,0)),"")</f>
        <v/>
      </c>
      <c r="J30" s="767"/>
      <c r="K30" s="768" t="str">
        <f>IFERROR(INDEX(DataSheetDA!$H:$H,MATCH($B30,DataSheetDA!$B:$B,0)),"")</f>
        <v/>
      </c>
      <c r="L30" s="769"/>
      <c r="M30" s="765" t="str">
        <f>IFERROR(INDEX(DataSheetDA!$I:$I,MATCH($B30,DataSheetDA!$B:$B,0)),"")</f>
        <v/>
      </c>
      <c r="N30" s="766"/>
      <c r="O30" s="765" t="str">
        <f>IFERROR(INDEX(DataSheetDA!$J:$J,MATCH($B30,DataSheetDA!$B:$B,0)),"")</f>
        <v/>
      </c>
      <c r="P30" s="766"/>
      <c r="Q30" s="765" t="str">
        <f>IFERROR(INDEX(DataSheetDA!$K:$K,MATCH($B30,DataSheetDA!$B:$B,0)),"")</f>
        <v/>
      </c>
      <c r="R30" s="767"/>
      <c r="S30" s="770" t="str">
        <f>IFERROR(INDEX(DataSheetDA!$L:$L,MATCH($B30,DataSheetDA!$B:$B,0)),"")</f>
        <v/>
      </c>
      <c r="T30" s="767"/>
      <c r="U30" s="768" t="str">
        <f>IFERROR(INDEX(DataSheetDA!$M:$M,MATCH($B30,DataSheetDA!$B:$B,0)),"")</f>
        <v/>
      </c>
      <c r="V30" s="767"/>
      <c r="W30" s="765" t="str">
        <f>IFERROR(INDEX(DataSheetDA!$N:$N,MATCH($B30,DataSheetDA!$B:$B,0)),"")</f>
        <v/>
      </c>
      <c r="X30" s="766"/>
      <c r="Y30" s="771"/>
      <c r="Z30" s="772"/>
      <c r="AA30" s="768" t="str">
        <f>IFERROR(INDEX(DataSheetDA!$O:$O,MATCH($B30,DataSheetDA!$B:$B,0)),"")</f>
        <v/>
      </c>
      <c r="AB30" s="364"/>
      <c r="AC30" s="363"/>
    </row>
    <row r="31" spans="1:29" s="362" customFormat="1" ht="21" customHeight="1" thickBot="1" x14ac:dyDescent="0.25">
      <c r="A31" s="404">
        <v>19</v>
      </c>
      <c r="B31" s="361" t="str">
        <f t="shared" si="0"/>
        <v>EZZZZEZ19</v>
      </c>
      <c r="C31" s="763" t="str">
        <f>IFERROR(INDEX(DataSheetDA!$D:$D,MATCH($B31,DataSheetDA!$B:$B,0)),"")</f>
        <v/>
      </c>
      <c r="D31" s="764"/>
      <c r="E31" s="765" t="str">
        <f>IFERROR(INDEX(DataSheetDA!$E:$E,MATCH($B31,DataSheetDA!$B:$B,0)),"")</f>
        <v/>
      </c>
      <c r="F31" s="766"/>
      <c r="G31" s="765" t="str">
        <f>IFERROR(INDEX(DataSheetDA!$F:$F,MATCH($B31,DataSheetDA!$B:$B,0)),"")</f>
        <v/>
      </c>
      <c r="H31" s="767"/>
      <c r="I31" s="765" t="str">
        <f>IFERROR(INDEX(DataSheetDA!$G:$G,MATCH($B31,DataSheetDA!$B:$B,0)),"")</f>
        <v/>
      </c>
      <c r="J31" s="767"/>
      <c r="K31" s="768" t="str">
        <f>IFERROR(INDEX(DataSheetDA!$H:$H,MATCH($B31,DataSheetDA!$B:$B,0)),"")</f>
        <v/>
      </c>
      <c r="L31" s="769"/>
      <c r="M31" s="765" t="str">
        <f>IFERROR(INDEX(DataSheetDA!$I:$I,MATCH($B31,DataSheetDA!$B:$B,0)),"")</f>
        <v/>
      </c>
      <c r="N31" s="766"/>
      <c r="O31" s="765" t="str">
        <f>IFERROR(INDEX(DataSheetDA!$J:$J,MATCH($B31,DataSheetDA!$B:$B,0)),"")</f>
        <v/>
      </c>
      <c r="P31" s="766"/>
      <c r="Q31" s="765" t="str">
        <f>IFERROR(INDEX(DataSheetDA!$K:$K,MATCH($B31,DataSheetDA!$B:$B,0)),"")</f>
        <v/>
      </c>
      <c r="R31" s="767"/>
      <c r="S31" s="770" t="str">
        <f>IFERROR(INDEX(DataSheetDA!$L:$L,MATCH($B31,DataSheetDA!$B:$B,0)),"")</f>
        <v/>
      </c>
      <c r="T31" s="767"/>
      <c r="U31" s="768" t="str">
        <f>IFERROR(INDEX(DataSheetDA!$M:$M,MATCH($B31,DataSheetDA!$B:$B,0)),"")</f>
        <v/>
      </c>
      <c r="V31" s="767"/>
      <c r="W31" s="765" t="str">
        <f>IFERROR(INDEX(DataSheetDA!$N:$N,MATCH($B31,DataSheetDA!$B:$B,0)),"")</f>
        <v/>
      </c>
      <c r="X31" s="766"/>
      <c r="Y31" s="771"/>
      <c r="Z31" s="772"/>
      <c r="AA31" s="768" t="str">
        <f>IFERROR(INDEX(DataSheetDA!$O:$O,MATCH($B31,DataSheetDA!$B:$B,0)),"")</f>
        <v/>
      </c>
      <c r="AB31" s="364"/>
      <c r="AC31" s="363"/>
    </row>
    <row r="32" spans="1:29" s="362" customFormat="1" ht="21" customHeight="1" thickBot="1" x14ac:dyDescent="0.25">
      <c r="A32" s="404">
        <v>20</v>
      </c>
      <c r="B32" s="361" t="str">
        <f t="shared" si="0"/>
        <v>EZZZZEZ20</v>
      </c>
      <c r="C32" s="763" t="str">
        <f>IFERROR(INDEX(DataSheetDA!$D:$D,MATCH($B32,DataSheetDA!$B:$B,0)),"")</f>
        <v/>
      </c>
      <c r="D32" s="764"/>
      <c r="E32" s="765" t="str">
        <f>IFERROR(INDEX(DataSheetDA!$E:$E,MATCH($B32,DataSheetDA!$B:$B,0)),"")</f>
        <v/>
      </c>
      <c r="F32" s="766"/>
      <c r="G32" s="765" t="str">
        <f>IFERROR(INDEX(DataSheetDA!$F:$F,MATCH($B32,DataSheetDA!$B:$B,0)),"")</f>
        <v/>
      </c>
      <c r="H32" s="767"/>
      <c r="I32" s="765" t="str">
        <f>IFERROR(INDEX(DataSheetDA!$G:$G,MATCH($B32,DataSheetDA!$B:$B,0)),"")</f>
        <v/>
      </c>
      <c r="J32" s="767"/>
      <c r="K32" s="768" t="str">
        <f>IFERROR(INDEX(DataSheetDA!$H:$H,MATCH($B32,DataSheetDA!$B:$B,0)),"")</f>
        <v/>
      </c>
      <c r="L32" s="769"/>
      <c r="M32" s="765" t="str">
        <f>IFERROR(INDEX(DataSheetDA!$I:$I,MATCH($B32,DataSheetDA!$B:$B,0)),"")</f>
        <v/>
      </c>
      <c r="N32" s="766"/>
      <c r="O32" s="765" t="str">
        <f>IFERROR(INDEX(DataSheetDA!$J:$J,MATCH($B32,DataSheetDA!$B:$B,0)),"")</f>
        <v/>
      </c>
      <c r="P32" s="766"/>
      <c r="Q32" s="765" t="str">
        <f>IFERROR(INDEX(DataSheetDA!$K:$K,MATCH($B32,DataSheetDA!$B:$B,0)),"")</f>
        <v/>
      </c>
      <c r="R32" s="767"/>
      <c r="S32" s="770" t="str">
        <f>IFERROR(INDEX(DataSheetDA!$L:$L,MATCH($B32,DataSheetDA!$B:$B,0)),"")</f>
        <v/>
      </c>
      <c r="T32" s="767"/>
      <c r="U32" s="768" t="str">
        <f>IFERROR(INDEX(DataSheetDA!$M:$M,MATCH($B32,DataSheetDA!$B:$B,0)),"")</f>
        <v/>
      </c>
      <c r="V32" s="767"/>
      <c r="W32" s="765" t="str">
        <f>IFERROR(INDEX(DataSheetDA!$N:$N,MATCH($B32,DataSheetDA!$B:$B,0)),"")</f>
        <v/>
      </c>
      <c r="X32" s="766"/>
      <c r="Y32" s="771"/>
      <c r="Z32" s="772"/>
      <c r="AA32" s="768" t="str">
        <f>IFERROR(INDEX(DataSheetDA!$O:$O,MATCH($B32,DataSheetDA!$B:$B,0)),"")</f>
        <v/>
      </c>
      <c r="AB32" s="364"/>
      <c r="AC32" s="363"/>
    </row>
    <row r="33" spans="1:29" s="362" customFormat="1" ht="21" customHeight="1" thickBot="1" x14ac:dyDescent="0.25">
      <c r="A33" s="404">
        <v>21</v>
      </c>
      <c r="B33" s="361" t="str">
        <f t="shared" si="0"/>
        <v>EZZZZEZ21</v>
      </c>
      <c r="C33" s="763" t="str">
        <f>IFERROR(INDEX(DataSheetDA!$D:$D,MATCH($B33,DataSheetDA!$B:$B,0)),"")</f>
        <v/>
      </c>
      <c r="D33" s="764"/>
      <c r="E33" s="765" t="str">
        <f>IFERROR(INDEX(DataSheetDA!$E:$E,MATCH($B33,DataSheetDA!$B:$B,0)),"")</f>
        <v/>
      </c>
      <c r="F33" s="766"/>
      <c r="G33" s="765" t="str">
        <f>IFERROR(INDEX(DataSheetDA!$F:$F,MATCH($B33,DataSheetDA!$B:$B,0)),"")</f>
        <v/>
      </c>
      <c r="H33" s="767"/>
      <c r="I33" s="765" t="str">
        <f>IFERROR(INDEX(DataSheetDA!$G:$G,MATCH($B33,DataSheetDA!$B:$B,0)),"")</f>
        <v/>
      </c>
      <c r="J33" s="767"/>
      <c r="K33" s="768" t="str">
        <f>IFERROR(INDEX(DataSheetDA!$H:$H,MATCH($B33,DataSheetDA!$B:$B,0)),"")</f>
        <v/>
      </c>
      <c r="L33" s="769"/>
      <c r="M33" s="765" t="str">
        <f>IFERROR(INDEX(DataSheetDA!$I:$I,MATCH($B33,DataSheetDA!$B:$B,0)),"")</f>
        <v/>
      </c>
      <c r="N33" s="766"/>
      <c r="O33" s="765" t="str">
        <f>IFERROR(INDEX(DataSheetDA!$J:$J,MATCH($B33,DataSheetDA!$B:$B,0)),"")</f>
        <v/>
      </c>
      <c r="P33" s="766"/>
      <c r="Q33" s="765" t="str">
        <f>IFERROR(INDEX(DataSheetDA!$K:$K,MATCH($B33,DataSheetDA!$B:$B,0)),"")</f>
        <v/>
      </c>
      <c r="R33" s="767"/>
      <c r="S33" s="770" t="str">
        <f>IFERROR(INDEX(DataSheetDA!$L:$L,MATCH($B33,DataSheetDA!$B:$B,0)),"")</f>
        <v/>
      </c>
      <c r="T33" s="767"/>
      <c r="U33" s="768" t="str">
        <f>IFERROR(INDEX(DataSheetDA!$M:$M,MATCH($B33,DataSheetDA!$B:$B,0)),"")</f>
        <v/>
      </c>
      <c r="V33" s="767"/>
      <c r="W33" s="765" t="str">
        <f>IFERROR(INDEX(DataSheetDA!$N:$N,MATCH($B33,DataSheetDA!$B:$B,0)),"")</f>
        <v/>
      </c>
      <c r="X33" s="766"/>
      <c r="Y33" s="771"/>
      <c r="Z33" s="772"/>
      <c r="AA33" s="768" t="str">
        <f>IFERROR(INDEX(DataSheetDA!$O:$O,MATCH($B33,DataSheetDA!$B:$B,0)),"")</f>
        <v/>
      </c>
      <c r="AB33" s="364"/>
      <c r="AC33" s="363"/>
    </row>
    <row r="34" spans="1:29" s="362" customFormat="1" ht="21" customHeight="1" thickBot="1" x14ac:dyDescent="0.25">
      <c r="A34" s="404">
        <v>22</v>
      </c>
      <c r="B34" s="361" t="str">
        <f t="shared" si="0"/>
        <v>EZZZZEZ22</v>
      </c>
      <c r="C34" s="763" t="str">
        <f>IFERROR(INDEX(DataSheetDA!$D:$D,MATCH($B34,DataSheetDA!$B:$B,0)),"")</f>
        <v/>
      </c>
      <c r="D34" s="764"/>
      <c r="E34" s="765" t="str">
        <f>IFERROR(INDEX(DataSheetDA!$E:$E,MATCH($B34,DataSheetDA!$B:$B,0)),"")</f>
        <v/>
      </c>
      <c r="F34" s="766"/>
      <c r="G34" s="765" t="str">
        <f>IFERROR(INDEX(DataSheetDA!$F:$F,MATCH($B34,DataSheetDA!$B:$B,0)),"")</f>
        <v/>
      </c>
      <c r="H34" s="767"/>
      <c r="I34" s="765" t="str">
        <f>IFERROR(INDEX(DataSheetDA!$G:$G,MATCH($B34,DataSheetDA!$B:$B,0)),"")</f>
        <v/>
      </c>
      <c r="J34" s="767"/>
      <c r="K34" s="768" t="str">
        <f>IFERROR(INDEX(DataSheetDA!$H:$H,MATCH($B34,DataSheetDA!$B:$B,0)),"")</f>
        <v/>
      </c>
      <c r="L34" s="769"/>
      <c r="M34" s="765" t="str">
        <f>IFERROR(INDEX(DataSheetDA!$I:$I,MATCH($B34,DataSheetDA!$B:$B,0)),"")</f>
        <v/>
      </c>
      <c r="N34" s="766"/>
      <c r="O34" s="765" t="str">
        <f>IFERROR(INDEX(DataSheetDA!$J:$J,MATCH($B34,DataSheetDA!$B:$B,0)),"")</f>
        <v/>
      </c>
      <c r="P34" s="766"/>
      <c r="Q34" s="765" t="str">
        <f>IFERROR(INDEX(DataSheetDA!$K:$K,MATCH($B34,DataSheetDA!$B:$B,0)),"")</f>
        <v/>
      </c>
      <c r="R34" s="767"/>
      <c r="S34" s="770" t="str">
        <f>IFERROR(INDEX(DataSheetDA!$L:$L,MATCH($B34,DataSheetDA!$B:$B,0)),"")</f>
        <v/>
      </c>
      <c r="T34" s="767"/>
      <c r="U34" s="768" t="str">
        <f>IFERROR(INDEX(DataSheetDA!$M:$M,MATCH($B34,DataSheetDA!$B:$B,0)),"")</f>
        <v/>
      </c>
      <c r="V34" s="767"/>
      <c r="W34" s="765" t="str">
        <f>IFERROR(INDEX(DataSheetDA!$N:$N,MATCH($B34,DataSheetDA!$B:$B,0)),"")</f>
        <v/>
      </c>
      <c r="X34" s="766"/>
      <c r="Y34" s="771"/>
      <c r="Z34" s="772"/>
      <c r="AA34" s="768" t="str">
        <f>IFERROR(INDEX(DataSheetDA!$O:$O,MATCH($B34,DataSheetDA!$B:$B,0)),"")</f>
        <v/>
      </c>
      <c r="AB34" s="364"/>
      <c r="AC34" s="363"/>
    </row>
    <row r="35" spans="1:29" s="362" customFormat="1" ht="21" customHeight="1" thickBot="1" x14ac:dyDescent="0.25">
      <c r="A35" s="404">
        <v>23</v>
      </c>
      <c r="B35" s="361" t="str">
        <f t="shared" si="0"/>
        <v>EZZZZEZ23</v>
      </c>
      <c r="C35" s="763" t="str">
        <f>IFERROR(INDEX(DataSheetDA!$D:$D,MATCH($B35,DataSheetDA!$B:$B,0)),"")</f>
        <v/>
      </c>
      <c r="D35" s="764"/>
      <c r="E35" s="765" t="str">
        <f>IFERROR(INDEX(DataSheetDA!$E:$E,MATCH($B35,DataSheetDA!$B:$B,0)),"")</f>
        <v/>
      </c>
      <c r="F35" s="766"/>
      <c r="G35" s="765" t="str">
        <f>IFERROR(INDEX(DataSheetDA!$F:$F,MATCH($B35,DataSheetDA!$B:$B,0)),"")</f>
        <v/>
      </c>
      <c r="H35" s="767"/>
      <c r="I35" s="765" t="str">
        <f>IFERROR(INDEX(DataSheetDA!$G:$G,MATCH($B35,DataSheetDA!$B:$B,0)),"")</f>
        <v/>
      </c>
      <c r="J35" s="767"/>
      <c r="K35" s="768" t="str">
        <f>IFERROR(INDEX(DataSheetDA!$H:$H,MATCH($B35,DataSheetDA!$B:$B,0)),"")</f>
        <v/>
      </c>
      <c r="L35" s="769"/>
      <c r="M35" s="765" t="str">
        <f>IFERROR(INDEX(DataSheetDA!$I:$I,MATCH($B35,DataSheetDA!$B:$B,0)),"")</f>
        <v/>
      </c>
      <c r="N35" s="766"/>
      <c r="O35" s="765" t="str">
        <f>IFERROR(INDEX(DataSheetDA!$J:$J,MATCH($B35,DataSheetDA!$B:$B,0)),"")</f>
        <v/>
      </c>
      <c r="P35" s="766"/>
      <c r="Q35" s="765" t="str">
        <f>IFERROR(INDEX(DataSheetDA!$K:$K,MATCH($B35,DataSheetDA!$B:$B,0)),"")</f>
        <v/>
      </c>
      <c r="R35" s="767"/>
      <c r="S35" s="770" t="str">
        <f>IFERROR(INDEX(DataSheetDA!$L:$L,MATCH($B35,DataSheetDA!$B:$B,0)),"")</f>
        <v/>
      </c>
      <c r="T35" s="767"/>
      <c r="U35" s="768" t="str">
        <f>IFERROR(INDEX(DataSheetDA!$M:$M,MATCH($B35,DataSheetDA!$B:$B,0)),"")</f>
        <v/>
      </c>
      <c r="V35" s="767"/>
      <c r="W35" s="765" t="str">
        <f>IFERROR(INDEX(DataSheetDA!$N:$N,MATCH($B35,DataSheetDA!$B:$B,0)),"")</f>
        <v/>
      </c>
      <c r="X35" s="766"/>
      <c r="Y35" s="771"/>
      <c r="Z35" s="772"/>
      <c r="AA35" s="768" t="str">
        <f>IFERROR(INDEX(DataSheetDA!$O:$O,MATCH($B35,DataSheetDA!$B:$B,0)),"")</f>
        <v/>
      </c>
      <c r="AB35" s="364"/>
      <c r="AC35" s="363"/>
    </row>
    <row r="36" spans="1:29" s="362" customFormat="1" ht="21" customHeight="1" thickBot="1" x14ac:dyDescent="0.25">
      <c r="A36" s="404">
        <v>24</v>
      </c>
      <c r="B36" s="361" t="str">
        <f t="shared" si="0"/>
        <v>EZZZZEZ24</v>
      </c>
      <c r="C36" s="763" t="str">
        <f>IFERROR(INDEX(DataSheetDA!$D:$D,MATCH($B36,DataSheetDA!$B:$B,0)),"")</f>
        <v/>
      </c>
      <c r="D36" s="764"/>
      <c r="E36" s="765" t="str">
        <f>IFERROR(INDEX(DataSheetDA!$E:$E,MATCH($B36,DataSheetDA!$B:$B,0)),"")</f>
        <v/>
      </c>
      <c r="F36" s="766"/>
      <c r="G36" s="765" t="str">
        <f>IFERROR(INDEX(DataSheetDA!$F:$F,MATCH($B36,DataSheetDA!$B:$B,0)),"")</f>
        <v/>
      </c>
      <c r="H36" s="767"/>
      <c r="I36" s="765" t="str">
        <f>IFERROR(INDEX(DataSheetDA!$G:$G,MATCH($B36,DataSheetDA!$B:$B,0)),"")</f>
        <v/>
      </c>
      <c r="J36" s="767"/>
      <c r="K36" s="768" t="str">
        <f>IFERROR(INDEX(DataSheetDA!$H:$H,MATCH($B36,DataSheetDA!$B:$B,0)),"")</f>
        <v/>
      </c>
      <c r="L36" s="769"/>
      <c r="M36" s="765" t="str">
        <f>IFERROR(INDEX(DataSheetDA!$I:$I,MATCH($B36,DataSheetDA!$B:$B,0)),"")</f>
        <v/>
      </c>
      <c r="N36" s="766"/>
      <c r="O36" s="765" t="str">
        <f>IFERROR(INDEX(DataSheetDA!$J:$J,MATCH($B36,DataSheetDA!$B:$B,0)),"")</f>
        <v/>
      </c>
      <c r="P36" s="766"/>
      <c r="Q36" s="765" t="str">
        <f>IFERROR(INDEX(DataSheetDA!$K:$K,MATCH($B36,DataSheetDA!$B:$B,0)),"")</f>
        <v/>
      </c>
      <c r="R36" s="767"/>
      <c r="S36" s="770" t="str">
        <f>IFERROR(INDEX(DataSheetDA!$L:$L,MATCH($B36,DataSheetDA!$B:$B,0)),"")</f>
        <v/>
      </c>
      <c r="T36" s="767"/>
      <c r="U36" s="768" t="str">
        <f>IFERROR(INDEX(DataSheetDA!$M:$M,MATCH($B36,DataSheetDA!$B:$B,0)),"")</f>
        <v/>
      </c>
      <c r="V36" s="767"/>
      <c r="W36" s="765" t="str">
        <f>IFERROR(INDEX(DataSheetDA!$N:$N,MATCH($B36,DataSheetDA!$B:$B,0)),"")</f>
        <v/>
      </c>
      <c r="X36" s="766"/>
      <c r="Y36" s="771"/>
      <c r="Z36" s="772"/>
      <c r="AA36" s="768" t="str">
        <f>IFERROR(INDEX(DataSheetDA!$O:$O,MATCH($B36,DataSheetDA!$B:$B,0)),"")</f>
        <v/>
      </c>
      <c r="AB36" s="364"/>
      <c r="AC36" s="363"/>
    </row>
    <row r="37" spans="1:29" s="362" customFormat="1" ht="21" customHeight="1" thickBot="1" x14ac:dyDescent="0.25">
      <c r="A37" s="404">
        <v>25</v>
      </c>
      <c r="B37" s="361" t="str">
        <f t="shared" si="0"/>
        <v>EZZZZEZ25</v>
      </c>
      <c r="C37" s="763" t="str">
        <f>IFERROR(INDEX(DataSheetDA!$D:$D,MATCH($B37,DataSheetDA!$B:$B,0)),"")</f>
        <v/>
      </c>
      <c r="D37" s="764"/>
      <c r="E37" s="765" t="str">
        <f>IFERROR(INDEX(DataSheetDA!$E:$E,MATCH($B37,DataSheetDA!$B:$B,0)),"")</f>
        <v/>
      </c>
      <c r="F37" s="766"/>
      <c r="G37" s="765" t="str">
        <f>IFERROR(INDEX(DataSheetDA!$F:$F,MATCH($B37,DataSheetDA!$B:$B,0)),"")</f>
        <v/>
      </c>
      <c r="H37" s="767"/>
      <c r="I37" s="765" t="str">
        <f>IFERROR(INDEX(DataSheetDA!$G:$G,MATCH($B37,DataSheetDA!$B:$B,0)),"")</f>
        <v/>
      </c>
      <c r="J37" s="767"/>
      <c r="K37" s="768" t="str">
        <f>IFERROR(INDEX(DataSheetDA!$H:$H,MATCH($B37,DataSheetDA!$B:$B,0)),"")</f>
        <v/>
      </c>
      <c r="L37" s="769"/>
      <c r="M37" s="765" t="str">
        <f>IFERROR(INDEX(DataSheetDA!$I:$I,MATCH($B37,DataSheetDA!$B:$B,0)),"")</f>
        <v/>
      </c>
      <c r="N37" s="766"/>
      <c r="O37" s="765" t="str">
        <f>IFERROR(INDEX(DataSheetDA!$J:$J,MATCH($B37,DataSheetDA!$B:$B,0)),"")</f>
        <v/>
      </c>
      <c r="P37" s="766"/>
      <c r="Q37" s="765" t="str">
        <f>IFERROR(INDEX(DataSheetDA!$K:$K,MATCH($B37,DataSheetDA!$B:$B,0)),"")</f>
        <v/>
      </c>
      <c r="R37" s="767"/>
      <c r="S37" s="770" t="str">
        <f>IFERROR(INDEX(DataSheetDA!$L:$L,MATCH($B37,DataSheetDA!$B:$B,0)),"")</f>
        <v/>
      </c>
      <c r="T37" s="767"/>
      <c r="U37" s="768" t="str">
        <f>IFERROR(INDEX(DataSheetDA!$M:$M,MATCH($B37,DataSheetDA!$B:$B,0)),"")</f>
        <v/>
      </c>
      <c r="V37" s="767"/>
      <c r="W37" s="765" t="str">
        <f>IFERROR(INDEX(DataSheetDA!$N:$N,MATCH($B37,DataSheetDA!$B:$B,0)),"")</f>
        <v/>
      </c>
      <c r="X37" s="766"/>
      <c r="Y37" s="771"/>
      <c r="Z37" s="772"/>
      <c r="AA37" s="768" t="str">
        <f>IFERROR(INDEX(DataSheetDA!$O:$O,MATCH($B37,DataSheetDA!$B:$B,0)),"")</f>
        <v/>
      </c>
      <c r="AB37" s="364"/>
      <c r="AC37" s="363"/>
    </row>
    <row r="38" spans="1:29" s="362" customFormat="1" ht="21" customHeight="1" thickBot="1" x14ac:dyDescent="0.25">
      <c r="A38" s="404">
        <v>26</v>
      </c>
      <c r="B38" s="361" t="str">
        <f t="shared" si="0"/>
        <v>EZZZZEZ26</v>
      </c>
      <c r="C38" s="763" t="str">
        <f>IFERROR(INDEX(DataSheetDA!$D:$D,MATCH($B38,DataSheetDA!$B:$B,0)),"")</f>
        <v/>
      </c>
      <c r="D38" s="764"/>
      <c r="E38" s="765" t="str">
        <f>IFERROR(INDEX(DataSheetDA!$E:$E,MATCH($B38,DataSheetDA!$B:$B,0)),"")</f>
        <v/>
      </c>
      <c r="F38" s="766"/>
      <c r="G38" s="765" t="str">
        <f>IFERROR(INDEX(DataSheetDA!$F:$F,MATCH($B38,DataSheetDA!$B:$B,0)),"")</f>
        <v/>
      </c>
      <c r="H38" s="767"/>
      <c r="I38" s="765" t="str">
        <f>IFERROR(INDEX(DataSheetDA!$G:$G,MATCH($B38,DataSheetDA!$B:$B,0)),"")</f>
        <v/>
      </c>
      <c r="J38" s="767"/>
      <c r="K38" s="768" t="str">
        <f>IFERROR(INDEX(DataSheetDA!$H:$H,MATCH($B38,DataSheetDA!$B:$B,0)),"")</f>
        <v/>
      </c>
      <c r="L38" s="769"/>
      <c r="M38" s="765" t="str">
        <f>IFERROR(INDEX(DataSheetDA!$I:$I,MATCH($B38,DataSheetDA!$B:$B,0)),"")</f>
        <v/>
      </c>
      <c r="N38" s="766"/>
      <c r="O38" s="765" t="str">
        <f>IFERROR(INDEX(DataSheetDA!$J:$J,MATCH($B38,DataSheetDA!$B:$B,0)),"")</f>
        <v/>
      </c>
      <c r="P38" s="766"/>
      <c r="Q38" s="765" t="str">
        <f>IFERROR(INDEX(DataSheetDA!$K:$K,MATCH($B38,DataSheetDA!$B:$B,0)),"")</f>
        <v/>
      </c>
      <c r="R38" s="767"/>
      <c r="S38" s="770" t="str">
        <f>IFERROR(INDEX(DataSheetDA!$L:$L,MATCH($B38,DataSheetDA!$B:$B,0)),"")</f>
        <v/>
      </c>
      <c r="T38" s="767"/>
      <c r="U38" s="768" t="str">
        <f>IFERROR(INDEX(DataSheetDA!$M:$M,MATCH($B38,DataSheetDA!$B:$B,0)),"")</f>
        <v/>
      </c>
      <c r="V38" s="767"/>
      <c r="W38" s="765" t="str">
        <f>IFERROR(INDEX(DataSheetDA!$N:$N,MATCH($B38,DataSheetDA!$B:$B,0)),"")</f>
        <v/>
      </c>
      <c r="X38" s="766"/>
      <c r="Y38" s="771"/>
      <c r="Z38" s="772"/>
      <c r="AA38" s="768" t="str">
        <f>IFERROR(INDEX(DataSheetDA!$O:$O,MATCH($B38,DataSheetDA!$B:$B,0)),"")</f>
        <v/>
      </c>
      <c r="AB38" s="364"/>
      <c r="AC38" s="363"/>
    </row>
    <row r="39" spans="1:29" s="362" customFormat="1" ht="21" customHeight="1" thickBot="1" x14ac:dyDescent="0.25">
      <c r="A39" s="404">
        <v>27</v>
      </c>
      <c r="B39" s="361" t="str">
        <f t="shared" si="0"/>
        <v>EZZZZEZ27</v>
      </c>
      <c r="C39" s="763" t="str">
        <f>IFERROR(INDEX(DataSheetDA!$D:$D,MATCH($B39,DataSheetDA!$B:$B,0)),"")</f>
        <v/>
      </c>
      <c r="D39" s="764"/>
      <c r="E39" s="765" t="str">
        <f>IFERROR(INDEX(DataSheetDA!$E:$E,MATCH($B39,DataSheetDA!$B:$B,0)),"")</f>
        <v/>
      </c>
      <c r="F39" s="766"/>
      <c r="G39" s="765" t="str">
        <f>IFERROR(INDEX(DataSheetDA!$F:$F,MATCH($B39,DataSheetDA!$B:$B,0)),"")</f>
        <v/>
      </c>
      <c r="H39" s="767"/>
      <c r="I39" s="765" t="str">
        <f>IFERROR(INDEX(DataSheetDA!$G:$G,MATCH($B39,DataSheetDA!$B:$B,0)),"")</f>
        <v/>
      </c>
      <c r="J39" s="767"/>
      <c r="K39" s="768" t="str">
        <f>IFERROR(INDEX(DataSheetDA!$H:$H,MATCH($B39,DataSheetDA!$B:$B,0)),"")</f>
        <v/>
      </c>
      <c r="L39" s="769"/>
      <c r="M39" s="765" t="str">
        <f>IFERROR(INDEX(DataSheetDA!$I:$I,MATCH($B39,DataSheetDA!$B:$B,0)),"")</f>
        <v/>
      </c>
      <c r="N39" s="766"/>
      <c r="O39" s="765" t="str">
        <f>IFERROR(INDEX(DataSheetDA!$J:$J,MATCH($B39,DataSheetDA!$B:$B,0)),"")</f>
        <v/>
      </c>
      <c r="P39" s="766"/>
      <c r="Q39" s="765" t="str">
        <f>IFERROR(INDEX(DataSheetDA!$K:$K,MATCH($B39,DataSheetDA!$B:$B,0)),"")</f>
        <v/>
      </c>
      <c r="R39" s="767"/>
      <c r="S39" s="770" t="str">
        <f>IFERROR(INDEX(DataSheetDA!$L:$L,MATCH($B39,DataSheetDA!$B:$B,0)),"")</f>
        <v/>
      </c>
      <c r="T39" s="767"/>
      <c r="U39" s="768" t="str">
        <f>IFERROR(INDEX(DataSheetDA!$M:$M,MATCH($B39,DataSheetDA!$B:$B,0)),"")</f>
        <v/>
      </c>
      <c r="V39" s="767"/>
      <c r="W39" s="765" t="str">
        <f>IFERROR(INDEX(DataSheetDA!$N:$N,MATCH($B39,DataSheetDA!$B:$B,0)),"")</f>
        <v/>
      </c>
      <c r="X39" s="766"/>
      <c r="Y39" s="771"/>
      <c r="Z39" s="772"/>
      <c r="AA39" s="768" t="str">
        <f>IFERROR(INDEX(DataSheetDA!$O:$O,MATCH($B39,DataSheetDA!$B:$B,0)),"")</f>
        <v/>
      </c>
      <c r="AB39" s="364"/>
      <c r="AC39" s="363"/>
    </row>
    <row r="40" spans="1:29" s="362" customFormat="1" ht="21" customHeight="1" thickBot="1" x14ac:dyDescent="0.25">
      <c r="A40" s="404">
        <v>28</v>
      </c>
      <c r="B40" s="361" t="str">
        <f t="shared" si="0"/>
        <v>EZZZZEZ28</v>
      </c>
      <c r="C40" s="763" t="str">
        <f>IFERROR(INDEX(DataSheetDA!$D:$D,MATCH($B40,DataSheetDA!$B:$B,0)),"")</f>
        <v/>
      </c>
      <c r="D40" s="764"/>
      <c r="E40" s="765" t="str">
        <f>IFERROR(INDEX(DataSheetDA!$E:$E,MATCH($B40,DataSheetDA!$B:$B,0)),"")</f>
        <v/>
      </c>
      <c r="F40" s="766"/>
      <c r="G40" s="765" t="str">
        <f>IFERROR(INDEX(DataSheetDA!$F:$F,MATCH($B40,DataSheetDA!$B:$B,0)),"")</f>
        <v/>
      </c>
      <c r="H40" s="767"/>
      <c r="I40" s="765" t="str">
        <f>IFERROR(INDEX(DataSheetDA!$G:$G,MATCH($B40,DataSheetDA!$B:$B,0)),"")</f>
        <v/>
      </c>
      <c r="J40" s="767"/>
      <c r="K40" s="768" t="str">
        <f>IFERROR(INDEX(DataSheetDA!$H:$H,MATCH($B40,DataSheetDA!$B:$B,0)),"")</f>
        <v/>
      </c>
      <c r="L40" s="769"/>
      <c r="M40" s="765" t="str">
        <f>IFERROR(INDEX(DataSheetDA!$I:$I,MATCH($B40,DataSheetDA!$B:$B,0)),"")</f>
        <v/>
      </c>
      <c r="N40" s="766"/>
      <c r="O40" s="765" t="str">
        <f>IFERROR(INDEX(DataSheetDA!$J:$J,MATCH($B40,DataSheetDA!$B:$B,0)),"")</f>
        <v/>
      </c>
      <c r="P40" s="766"/>
      <c r="Q40" s="765" t="str">
        <f>IFERROR(INDEX(DataSheetDA!$K:$K,MATCH($B40,DataSheetDA!$B:$B,0)),"")</f>
        <v/>
      </c>
      <c r="R40" s="767"/>
      <c r="S40" s="770" t="str">
        <f>IFERROR(INDEX(DataSheetDA!$L:$L,MATCH($B40,DataSheetDA!$B:$B,0)),"")</f>
        <v/>
      </c>
      <c r="T40" s="767"/>
      <c r="U40" s="768" t="str">
        <f>IFERROR(INDEX(DataSheetDA!$M:$M,MATCH($B40,DataSheetDA!$B:$B,0)),"")</f>
        <v/>
      </c>
      <c r="V40" s="767"/>
      <c r="W40" s="765" t="str">
        <f>IFERROR(INDEX(DataSheetDA!$N:$N,MATCH($B40,DataSheetDA!$B:$B,0)),"")</f>
        <v/>
      </c>
      <c r="X40" s="766"/>
      <c r="Y40" s="771"/>
      <c r="Z40" s="772"/>
      <c r="AA40" s="768" t="str">
        <f>IFERROR(INDEX(DataSheetDA!$O:$O,MATCH($B40,DataSheetDA!$B:$B,0)),"")</f>
        <v/>
      </c>
      <c r="AB40" s="364"/>
      <c r="AC40" s="363"/>
    </row>
    <row r="41" spans="1:29" s="362" customFormat="1" ht="21" customHeight="1" thickBot="1" x14ac:dyDescent="0.25">
      <c r="A41" s="404">
        <v>29</v>
      </c>
      <c r="B41" s="361" t="str">
        <f t="shared" si="0"/>
        <v>EZZZZEZ29</v>
      </c>
      <c r="C41" s="763" t="str">
        <f>IFERROR(INDEX(DataSheetDA!$D:$D,MATCH($B41,DataSheetDA!$B:$B,0)),"")</f>
        <v/>
      </c>
      <c r="D41" s="764"/>
      <c r="E41" s="765" t="str">
        <f>IFERROR(INDEX(DataSheetDA!$E:$E,MATCH($B41,DataSheetDA!$B:$B,0)),"")</f>
        <v/>
      </c>
      <c r="F41" s="766"/>
      <c r="G41" s="765" t="str">
        <f>IFERROR(INDEX(DataSheetDA!$F:$F,MATCH($B41,DataSheetDA!$B:$B,0)),"")</f>
        <v/>
      </c>
      <c r="H41" s="767"/>
      <c r="I41" s="765" t="str">
        <f>IFERROR(INDEX(DataSheetDA!$G:$G,MATCH($B41,DataSheetDA!$B:$B,0)),"")</f>
        <v/>
      </c>
      <c r="J41" s="767"/>
      <c r="K41" s="768" t="str">
        <f>IFERROR(INDEX(DataSheetDA!$H:$H,MATCH($B41,DataSheetDA!$B:$B,0)),"")</f>
        <v/>
      </c>
      <c r="L41" s="769"/>
      <c r="M41" s="765" t="str">
        <f>IFERROR(INDEX(DataSheetDA!$I:$I,MATCH($B41,DataSheetDA!$B:$B,0)),"")</f>
        <v/>
      </c>
      <c r="N41" s="766"/>
      <c r="O41" s="765" t="str">
        <f>IFERROR(INDEX(DataSheetDA!$J:$J,MATCH($B41,DataSheetDA!$B:$B,0)),"")</f>
        <v/>
      </c>
      <c r="P41" s="766"/>
      <c r="Q41" s="765" t="str">
        <f>IFERROR(INDEX(DataSheetDA!$K:$K,MATCH($B41,DataSheetDA!$B:$B,0)),"")</f>
        <v/>
      </c>
      <c r="R41" s="767"/>
      <c r="S41" s="770" t="str">
        <f>IFERROR(INDEX(DataSheetDA!$L:$L,MATCH($B41,DataSheetDA!$B:$B,0)),"")</f>
        <v/>
      </c>
      <c r="T41" s="767"/>
      <c r="U41" s="768" t="str">
        <f>IFERROR(INDEX(DataSheetDA!$M:$M,MATCH($B41,DataSheetDA!$B:$B,0)),"")</f>
        <v/>
      </c>
      <c r="V41" s="767"/>
      <c r="W41" s="765" t="str">
        <f>IFERROR(INDEX(DataSheetDA!$N:$N,MATCH($B41,DataSheetDA!$B:$B,0)),"")</f>
        <v/>
      </c>
      <c r="X41" s="766"/>
      <c r="Y41" s="771"/>
      <c r="Z41" s="772"/>
      <c r="AA41" s="768" t="str">
        <f>IFERROR(INDEX(DataSheetDA!$O:$O,MATCH($B41,DataSheetDA!$B:$B,0)),"")</f>
        <v/>
      </c>
      <c r="AB41" s="364"/>
      <c r="AC41" s="363"/>
    </row>
    <row r="42" spans="1:29" s="362" customFormat="1" ht="21" customHeight="1" thickBot="1" x14ac:dyDescent="0.25">
      <c r="A42" s="404">
        <v>30</v>
      </c>
      <c r="B42" s="361" t="str">
        <f t="shared" si="0"/>
        <v>EZZZZEZ30</v>
      </c>
      <c r="C42" s="763" t="str">
        <f>IFERROR(INDEX(DataSheetDA!$D:$D,MATCH($B42,DataSheetDA!$B:$B,0)),"")</f>
        <v/>
      </c>
      <c r="D42" s="764"/>
      <c r="E42" s="765" t="str">
        <f>IFERROR(INDEX(DataSheetDA!$E:$E,MATCH($B42,DataSheetDA!$B:$B,0)),"")</f>
        <v/>
      </c>
      <c r="F42" s="766"/>
      <c r="G42" s="765" t="str">
        <f>IFERROR(INDEX(DataSheetDA!$F:$F,MATCH($B42,DataSheetDA!$B:$B,0)),"")</f>
        <v/>
      </c>
      <c r="H42" s="767"/>
      <c r="I42" s="765" t="str">
        <f>IFERROR(INDEX(DataSheetDA!$G:$G,MATCH($B42,DataSheetDA!$B:$B,0)),"")</f>
        <v/>
      </c>
      <c r="J42" s="767"/>
      <c r="K42" s="768" t="str">
        <f>IFERROR(INDEX(DataSheetDA!$H:$H,MATCH($B42,DataSheetDA!$B:$B,0)),"")</f>
        <v/>
      </c>
      <c r="L42" s="769"/>
      <c r="M42" s="765" t="str">
        <f>IFERROR(INDEX(DataSheetDA!$I:$I,MATCH($B42,DataSheetDA!$B:$B,0)),"")</f>
        <v/>
      </c>
      <c r="N42" s="766"/>
      <c r="O42" s="765" t="str">
        <f>IFERROR(INDEX(DataSheetDA!$J:$J,MATCH($B42,DataSheetDA!$B:$B,0)),"")</f>
        <v/>
      </c>
      <c r="P42" s="766"/>
      <c r="Q42" s="765" t="str">
        <f>IFERROR(INDEX(DataSheetDA!$K:$K,MATCH($B42,DataSheetDA!$B:$B,0)),"")</f>
        <v/>
      </c>
      <c r="R42" s="767"/>
      <c r="S42" s="770" t="str">
        <f>IFERROR(INDEX(DataSheetDA!$L:$L,MATCH($B42,DataSheetDA!$B:$B,0)),"")</f>
        <v/>
      </c>
      <c r="T42" s="767"/>
      <c r="U42" s="768" t="str">
        <f>IFERROR(INDEX(DataSheetDA!$M:$M,MATCH($B42,DataSheetDA!$B:$B,0)),"")</f>
        <v/>
      </c>
      <c r="V42" s="767"/>
      <c r="W42" s="765" t="str">
        <f>IFERROR(INDEX(DataSheetDA!$N:$N,MATCH($B42,DataSheetDA!$B:$B,0)),"")</f>
        <v/>
      </c>
      <c r="X42" s="766"/>
      <c r="Y42" s="771"/>
      <c r="Z42" s="772"/>
      <c r="AA42" s="768" t="str">
        <f>IFERROR(INDEX(DataSheetDA!$O:$O,MATCH($B42,DataSheetDA!$B:$B,0)),"")</f>
        <v/>
      </c>
      <c r="AB42" s="364"/>
      <c r="AC42" s="363"/>
    </row>
    <row r="43" spans="1:29" s="362" customFormat="1" ht="21" customHeight="1" thickBot="1" x14ac:dyDescent="0.25">
      <c r="A43" s="404">
        <v>31</v>
      </c>
      <c r="B43" s="361" t="str">
        <f t="shared" si="0"/>
        <v>EZZZZEZ31</v>
      </c>
      <c r="C43" s="763" t="str">
        <f>IFERROR(INDEX(DataSheetDA!$D:$D,MATCH($B43,DataSheetDA!$B:$B,0)),"")</f>
        <v/>
      </c>
      <c r="D43" s="764"/>
      <c r="E43" s="765" t="str">
        <f>IFERROR(INDEX(DataSheetDA!$E:$E,MATCH($B43,DataSheetDA!$B:$B,0)),"")</f>
        <v/>
      </c>
      <c r="F43" s="766"/>
      <c r="G43" s="765" t="str">
        <f>IFERROR(INDEX(DataSheetDA!$F:$F,MATCH($B43,DataSheetDA!$B:$B,0)),"")</f>
        <v/>
      </c>
      <c r="H43" s="767"/>
      <c r="I43" s="765" t="str">
        <f>IFERROR(INDEX(DataSheetDA!$G:$G,MATCH($B43,DataSheetDA!$B:$B,0)),"")</f>
        <v/>
      </c>
      <c r="J43" s="767"/>
      <c r="K43" s="768" t="str">
        <f>IFERROR(INDEX(DataSheetDA!$H:$H,MATCH($B43,DataSheetDA!$B:$B,0)),"")</f>
        <v/>
      </c>
      <c r="L43" s="769"/>
      <c r="M43" s="765" t="str">
        <f>IFERROR(INDEX(DataSheetDA!$I:$I,MATCH($B43,DataSheetDA!$B:$B,0)),"")</f>
        <v/>
      </c>
      <c r="N43" s="766"/>
      <c r="O43" s="765" t="str">
        <f>IFERROR(INDEX(DataSheetDA!$J:$J,MATCH($B43,DataSheetDA!$B:$B,0)),"")</f>
        <v/>
      </c>
      <c r="P43" s="766"/>
      <c r="Q43" s="765" t="str">
        <f>IFERROR(INDEX(DataSheetDA!$K:$K,MATCH($B43,DataSheetDA!$B:$B,0)),"")</f>
        <v/>
      </c>
      <c r="R43" s="767"/>
      <c r="S43" s="770" t="str">
        <f>IFERROR(INDEX(DataSheetDA!$L:$L,MATCH($B43,DataSheetDA!$B:$B,0)),"")</f>
        <v/>
      </c>
      <c r="T43" s="767"/>
      <c r="U43" s="768" t="str">
        <f>IFERROR(INDEX(DataSheetDA!$M:$M,MATCH($B43,DataSheetDA!$B:$B,0)),"")</f>
        <v/>
      </c>
      <c r="V43" s="767"/>
      <c r="W43" s="765" t="str">
        <f>IFERROR(INDEX(DataSheetDA!$N:$N,MATCH($B43,DataSheetDA!$B:$B,0)),"")</f>
        <v/>
      </c>
      <c r="X43" s="766"/>
      <c r="Y43" s="771"/>
      <c r="Z43" s="772"/>
      <c r="AA43" s="768" t="str">
        <f>IFERROR(INDEX(DataSheetDA!$O:$O,MATCH($B43,DataSheetDA!$B:$B,0)),"")</f>
        <v/>
      </c>
      <c r="AB43" s="364"/>
      <c r="AC43" s="363"/>
    </row>
    <row r="44" spans="1:29" s="362" customFormat="1" ht="21" customHeight="1" thickBot="1" x14ac:dyDescent="0.25">
      <c r="A44" s="404">
        <v>32</v>
      </c>
      <c r="B44" s="361" t="str">
        <f t="shared" si="0"/>
        <v>EZZZZEZ32</v>
      </c>
      <c r="C44" s="763" t="str">
        <f>IFERROR(INDEX(DataSheetDA!$D:$D,MATCH($B44,DataSheetDA!$B:$B,0)),"")</f>
        <v/>
      </c>
      <c r="D44" s="764"/>
      <c r="E44" s="765" t="str">
        <f>IFERROR(INDEX(DataSheetDA!$E:$E,MATCH($B44,DataSheetDA!$B:$B,0)),"")</f>
        <v/>
      </c>
      <c r="F44" s="766"/>
      <c r="G44" s="765" t="str">
        <f>IFERROR(INDEX(DataSheetDA!$F:$F,MATCH($B44,DataSheetDA!$B:$B,0)),"")</f>
        <v/>
      </c>
      <c r="H44" s="767"/>
      <c r="I44" s="765" t="str">
        <f>IFERROR(INDEX(DataSheetDA!$G:$G,MATCH($B44,DataSheetDA!$B:$B,0)),"")</f>
        <v/>
      </c>
      <c r="J44" s="767"/>
      <c r="K44" s="768" t="str">
        <f>IFERROR(INDEX(DataSheetDA!$H:$H,MATCH($B44,DataSheetDA!$B:$B,0)),"")</f>
        <v/>
      </c>
      <c r="L44" s="769"/>
      <c r="M44" s="765" t="str">
        <f>IFERROR(INDEX(DataSheetDA!$I:$I,MATCH($B44,DataSheetDA!$B:$B,0)),"")</f>
        <v/>
      </c>
      <c r="N44" s="766"/>
      <c r="O44" s="765" t="str">
        <f>IFERROR(INDEX(DataSheetDA!$J:$J,MATCH($B44,DataSheetDA!$B:$B,0)),"")</f>
        <v/>
      </c>
      <c r="P44" s="766"/>
      <c r="Q44" s="765" t="str">
        <f>IFERROR(INDEX(DataSheetDA!$K:$K,MATCH($B44,DataSheetDA!$B:$B,0)),"")</f>
        <v/>
      </c>
      <c r="R44" s="767"/>
      <c r="S44" s="770" t="str">
        <f>IFERROR(INDEX(DataSheetDA!$L:$L,MATCH($B44,DataSheetDA!$B:$B,0)),"")</f>
        <v/>
      </c>
      <c r="T44" s="767"/>
      <c r="U44" s="768" t="str">
        <f>IFERROR(INDEX(DataSheetDA!$M:$M,MATCH($B44,DataSheetDA!$B:$B,0)),"")</f>
        <v/>
      </c>
      <c r="V44" s="767"/>
      <c r="W44" s="765" t="str">
        <f>IFERROR(INDEX(DataSheetDA!$N:$N,MATCH($B44,DataSheetDA!$B:$B,0)),"")</f>
        <v/>
      </c>
      <c r="X44" s="766"/>
      <c r="Y44" s="771"/>
      <c r="Z44" s="772"/>
      <c r="AA44" s="768" t="str">
        <f>IFERROR(INDEX(DataSheetDA!$O:$O,MATCH($B44,DataSheetDA!$B:$B,0)),"")</f>
        <v/>
      </c>
      <c r="AB44" s="364"/>
      <c r="AC44" s="363"/>
    </row>
    <row r="45" spans="1:29" s="362" customFormat="1" ht="21" customHeight="1" thickBot="1" x14ac:dyDescent="0.25">
      <c r="A45" s="404">
        <v>33</v>
      </c>
      <c r="B45" s="361" t="str">
        <f t="shared" si="0"/>
        <v>EZZZZEZ33</v>
      </c>
      <c r="C45" s="763" t="str">
        <f>IFERROR(INDEX(DataSheetDA!$D:$D,MATCH($B45,DataSheetDA!$B:$B,0)),"")</f>
        <v/>
      </c>
      <c r="D45" s="764"/>
      <c r="E45" s="765" t="str">
        <f>IFERROR(INDEX(DataSheetDA!$E:$E,MATCH($B45,DataSheetDA!$B:$B,0)),"")</f>
        <v/>
      </c>
      <c r="F45" s="766"/>
      <c r="G45" s="765" t="str">
        <f>IFERROR(INDEX(DataSheetDA!$F:$F,MATCH($B45,DataSheetDA!$B:$B,0)),"")</f>
        <v/>
      </c>
      <c r="H45" s="767"/>
      <c r="I45" s="765" t="str">
        <f>IFERROR(INDEX(DataSheetDA!$G:$G,MATCH($B45,DataSheetDA!$B:$B,0)),"")</f>
        <v/>
      </c>
      <c r="J45" s="767"/>
      <c r="K45" s="768" t="str">
        <f>IFERROR(INDEX(DataSheetDA!$H:$H,MATCH($B45,DataSheetDA!$B:$B,0)),"")</f>
        <v/>
      </c>
      <c r="L45" s="769"/>
      <c r="M45" s="765" t="str">
        <f>IFERROR(INDEX(DataSheetDA!$I:$I,MATCH($B45,DataSheetDA!$B:$B,0)),"")</f>
        <v/>
      </c>
      <c r="N45" s="766"/>
      <c r="O45" s="765" t="str">
        <f>IFERROR(INDEX(DataSheetDA!$J:$J,MATCH($B45,DataSheetDA!$B:$B,0)),"")</f>
        <v/>
      </c>
      <c r="P45" s="766"/>
      <c r="Q45" s="765" t="str">
        <f>IFERROR(INDEX(DataSheetDA!$K:$K,MATCH($B45,DataSheetDA!$B:$B,0)),"")</f>
        <v/>
      </c>
      <c r="R45" s="767"/>
      <c r="S45" s="770" t="str">
        <f>IFERROR(INDEX(DataSheetDA!$L:$L,MATCH($B45,DataSheetDA!$B:$B,0)),"")</f>
        <v/>
      </c>
      <c r="T45" s="767"/>
      <c r="U45" s="768" t="str">
        <f>IFERROR(INDEX(DataSheetDA!$M:$M,MATCH($B45,DataSheetDA!$B:$B,0)),"")</f>
        <v/>
      </c>
      <c r="V45" s="767"/>
      <c r="W45" s="765" t="str">
        <f>IFERROR(INDEX(DataSheetDA!$N:$N,MATCH($B45,DataSheetDA!$B:$B,0)),"")</f>
        <v/>
      </c>
      <c r="X45" s="766"/>
      <c r="Y45" s="771"/>
      <c r="Z45" s="772"/>
      <c r="AA45" s="768" t="str">
        <f>IFERROR(INDEX(DataSheetDA!$O:$O,MATCH($B45,DataSheetDA!$B:$B,0)),"")</f>
        <v/>
      </c>
      <c r="AB45" s="364"/>
      <c r="AC45" s="363"/>
    </row>
    <row r="46" spans="1:29" s="362" customFormat="1" ht="21" customHeight="1" thickBot="1" x14ac:dyDescent="0.25">
      <c r="A46" s="404">
        <v>34</v>
      </c>
      <c r="B46" s="361" t="str">
        <f t="shared" si="0"/>
        <v>EZZZZEZ34</v>
      </c>
      <c r="C46" s="763" t="str">
        <f>IFERROR(INDEX(DataSheetDA!$D:$D,MATCH($B46,DataSheetDA!$B:$B,0)),"")</f>
        <v/>
      </c>
      <c r="D46" s="764"/>
      <c r="E46" s="765" t="str">
        <f>IFERROR(INDEX(DataSheetDA!$E:$E,MATCH($B46,DataSheetDA!$B:$B,0)),"")</f>
        <v/>
      </c>
      <c r="F46" s="766"/>
      <c r="G46" s="765" t="str">
        <f>IFERROR(INDEX(DataSheetDA!$F:$F,MATCH($B46,DataSheetDA!$B:$B,0)),"")</f>
        <v/>
      </c>
      <c r="H46" s="767"/>
      <c r="I46" s="765" t="str">
        <f>IFERROR(INDEX(DataSheetDA!$G:$G,MATCH($B46,DataSheetDA!$B:$B,0)),"")</f>
        <v/>
      </c>
      <c r="J46" s="767"/>
      <c r="K46" s="768" t="str">
        <f>IFERROR(INDEX(DataSheetDA!$H:$H,MATCH($B46,DataSheetDA!$B:$B,0)),"")</f>
        <v/>
      </c>
      <c r="L46" s="769"/>
      <c r="M46" s="765" t="str">
        <f>IFERROR(INDEX(DataSheetDA!$I:$I,MATCH($B46,DataSheetDA!$B:$B,0)),"")</f>
        <v/>
      </c>
      <c r="N46" s="766"/>
      <c r="O46" s="765" t="str">
        <f>IFERROR(INDEX(DataSheetDA!$J:$J,MATCH($B46,DataSheetDA!$B:$B,0)),"")</f>
        <v/>
      </c>
      <c r="P46" s="766"/>
      <c r="Q46" s="765" t="str">
        <f>IFERROR(INDEX(DataSheetDA!$K:$K,MATCH($B46,DataSheetDA!$B:$B,0)),"")</f>
        <v/>
      </c>
      <c r="R46" s="767"/>
      <c r="S46" s="770" t="str">
        <f>IFERROR(INDEX(DataSheetDA!$L:$L,MATCH($B46,DataSheetDA!$B:$B,0)),"")</f>
        <v/>
      </c>
      <c r="T46" s="767"/>
      <c r="U46" s="768" t="str">
        <f>IFERROR(INDEX(DataSheetDA!$M:$M,MATCH($B46,DataSheetDA!$B:$B,0)),"")</f>
        <v/>
      </c>
      <c r="V46" s="767"/>
      <c r="W46" s="765" t="str">
        <f>IFERROR(INDEX(DataSheetDA!$N:$N,MATCH($B46,DataSheetDA!$B:$B,0)),"")</f>
        <v/>
      </c>
      <c r="X46" s="766"/>
      <c r="Y46" s="771"/>
      <c r="Z46" s="772"/>
      <c r="AA46" s="768" t="str">
        <f>IFERROR(INDEX(DataSheetDA!$O:$O,MATCH($B46,DataSheetDA!$B:$B,0)),"")</f>
        <v/>
      </c>
      <c r="AB46" s="364"/>
      <c r="AC46" s="363"/>
    </row>
    <row r="47" spans="1:29" s="362" customFormat="1" ht="21" customHeight="1" thickBot="1" x14ac:dyDescent="0.25">
      <c r="A47" s="404">
        <v>35</v>
      </c>
      <c r="B47" s="361" t="str">
        <f t="shared" si="0"/>
        <v>EZZZZEZ35</v>
      </c>
      <c r="C47" s="763" t="str">
        <f>IFERROR(INDEX(DataSheetDA!$D:$D,MATCH($B47,DataSheetDA!$B:$B,0)),"")</f>
        <v/>
      </c>
      <c r="D47" s="764"/>
      <c r="E47" s="765" t="str">
        <f>IFERROR(INDEX(DataSheetDA!$E:$E,MATCH($B47,DataSheetDA!$B:$B,0)),"")</f>
        <v/>
      </c>
      <c r="F47" s="766"/>
      <c r="G47" s="765" t="str">
        <f>IFERROR(INDEX(DataSheetDA!$F:$F,MATCH($B47,DataSheetDA!$B:$B,0)),"")</f>
        <v/>
      </c>
      <c r="H47" s="767"/>
      <c r="I47" s="765" t="str">
        <f>IFERROR(INDEX(DataSheetDA!$G:$G,MATCH($B47,DataSheetDA!$B:$B,0)),"")</f>
        <v/>
      </c>
      <c r="J47" s="767"/>
      <c r="K47" s="768" t="str">
        <f>IFERROR(INDEX(DataSheetDA!$H:$H,MATCH($B47,DataSheetDA!$B:$B,0)),"")</f>
        <v/>
      </c>
      <c r="L47" s="769"/>
      <c r="M47" s="765" t="str">
        <f>IFERROR(INDEX(DataSheetDA!$I:$I,MATCH($B47,DataSheetDA!$B:$B,0)),"")</f>
        <v/>
      </c>
      <c r="N47" s="766"/>
      <c r="O47" s="765" t="str">
        <f>IFERROR(INDEX(DataSheetDA!$J:$J,MATCH($B47,DataSheetDA!$B:$B,0)),"")</f>
        <v/>
      </c>
      <c r="P47" s="766"/>
      <c r="Q47" s="765" t="str">
        <f>IFERROR(INDEX(DataSheetDA!$K:$K,MATCH($B47,DataSheetDA!$B:$B,0)),"")</f>
        <v/>
      </c>
      <c r="R47" s="767"/>
      <c r="S47" s="770" t="str">
        <f>IFERROR(INDEX(DataSheetDA!$L:$L,MATCH($B47,DataSheetDA!$B:$B,0)),"")</f>
        <v/>
      </c>
      <c r="T47" s="767"/>
      <c r="U47" s="768" t="str">
        <f>IFERROR(INDEX(DataSheetDA!$M:$M,MATCH($B47,DataSheetDA!$B:$B,0)),"")</f>
        <v/>
      </c>
      <c r="V47" s="767"/>
      <c r="W47" s="765" t="str">
        <f>IFERROR(INDEX(DataSheetDA!$N:$N,MATCH($B47,DataSheetDA!$B:$B,0)),"")</f>
        <v/>
      </c>
      <c r="X47" s="766"/>
      <c r="Y47" s="771"/>
      <c r="Z47" s="772"/>
      <c r="AA47" s="768" t="str">
        <f>IFERROR(INDEX(DataSheetDA!$O:$O,MATCH($B47,DataSheetDA!$B:$B,0)),"")</f>
        <v/>
      </c>
      <c r="AB47" s="364"/>
      <c r="AC47" s="363"/>
    </row>
    <row r="48" spans="1:29" s="362" customFormat="1" ht="21" customHeight="1" thickBot="1" x14ac:dyDescent="0.25">
      <c r="A48" s="404">
        <v>36</v>
      </c>
      <c r="B48" s="361" t="str">
        <f t="shared" si="0"/>
        <v>EZZZZEZ36</v>
      </c>
      <c r="C48" s="763" t="str">
        <f>IFERROR(INDEX(DataSheetDA!$D:$D,MATCH($B48,DataSheetDA!$B:$B,0)),"")</f>
        <v/>
      </c>
      <c r="D48" s="764"/>
      <c r="E48" s="765" t="str">
        <f>IFERROR(INDEX(DataSheetDA!$E:$E,MATCH($B48,DataSheetDA!$B:$B,0)),"")</f>
        <v/>
      </c>
      <c r="F48" s="766"/>
      <c r="G48" s="765" t="str">
        <f>IFERROR(INDEX(DataSheetDA!$F:$F,MATCH($B48,DataSheetDA!$B:$B,0)),"")</f>
        <v/>
      </c>
      <c r="H48" s="767"/>
      <c r="I48" s="765" t="str">
        <f>IFERROR(INDEX(DataSheetDA!$G:$G,MATCH($B48,DataSheetDA!$B:$B,0)),"")</f>
        <v/>
      </c>
      <c r="J48" s="767"/>
      <c r="K48" s="768" t="str">
        <f>IFERROR(INDEX(DataSheetDA!$H:$H,MATCH($B48,DataSheetDA!$B:$B,0)),"")</f>
        <v/>
      </c>
      <c r="L48" s="769"/>
      <c r="M48" s="765" t="str">
        <f>IFERROR(INDEX(DataSheetDA!$I:$I,MATCH($B48,DataSheetDA!$B:$B,0)),"")</f>
        <v/>
      </c>
      <c r="N48" s="766"/>
      <c r="O48" s="765" t="str">
        <f>IFERROR(INDEX(DataSheetDA!$J:$J,MATCH($B48,DataSheetDA!$B:$B,0)),"")</f>
        <v/>
      </c>
      <c r="P48" s="766"/>
      <c r="Q48" s="765" t="str">
        <f>IFERROR(INDEX(DataSheetDA!$K:$K,MATCH($B48,DataSheetDA!$B:$B,0)),"")</f>
        <v/>
      </c>
      <c r="R48" s="767"/>
      <c r="S48" s="770" t="str">
        <f>IFERROR(INDEX(DataSheetDA!$L:$L,MATCH($B48,DataSheetDA!$B:$B,0)),"")</f>
        <v/>
      </c>
      <c r="T48" s="767"/>
      <c r="U48" s="768" t="str">
        <f>IFERROR(INDEX(DataSheetDA!$M:$M,MATCH($B48,DataSheetDA!$B:$B,0)),"")</f>
        <v/>
      </c>
      <c r="V48" s="767"/>
      <c r="W48" s="765" t="str">
        <f>IFERROR(INDEX(DataSheetDA!$N:$N,MATCH($B48,DataSheetDA!$B:$B,0)),"")</f>
        <v/>
      </c>
      <c r="X48" s="766"/>
      <c r="Y48" s="771"/>
      <c r="Z48" s="772"/>
      <c r="AA48" s="768" t="str">
        <f>IFERROR(INDEX(DataSheetDA!$O:$O,MATCH($B48,DataSheetDA!$B:$B,0)),"")</f>
        <v/>
      </c>
      <c r="AB48" s="364"/>
      <c r="AC48" s="363"/>
    </row>
    <row r="49" spans="1:29" s="362" customFormat="1" ht="21" customHeight="1" thickBot="1" x14ac:dyDescent="0.25">
      <c r="A49" s="404">
        <v>37</v>
      </c>
      <c r="B49" s="361" t="str">
        <f t="shared" si="0"/>
        <v>EZZZZEZ37</v>
      </c>
      <c r="C49" s="763" t="str">
        <f>IFERROR(INDEX(DataSheetDA!$D:$D,MATCH($B49,DataSheetDA!$B:$B,0)),"")</f>
        <v/>
      </c>
      <c r="D49" s="764"/>
      <c r="E49" s="765" t="str">
        <f>IFERROR(INDEX(DataSheetDA!$E:$E,MATCH($B49,DataSheetDA!$B:$B,0)),"")</f>
        <v/>
      </c>
      <c r="F49" s="766"/>
      <c r="G49" s="765" t="str">
        <f>IFERROR(INDEX(DataSheetDA!$F:$F,MATCH($B49,DataSheetDA!$B:$B,0)),"")</f>
        <v/>
      </c>
      <c r="H49" s="767"/>
      <c r="I49" s="765" t="str">
        <f>IFERROR(INDEX(DataSheetDA!$G:$G,MATCH($B49,DataSheetDA!$B:$B,0)),"")</f>
        <v/>
      </c>
      <c r="J49" s="767"/>
      <c r="K49" s="768" t="str">
        <f>IFERROR(INDEX(DataSheetDA!$H:$H,MATCH($B49,DataSheetDA!$B:$B,0)),"")</f>
        <v/>
      </c>
      <c r="L49" s="769"/>
      <c r="M49" s="765" t="str">
        <f>IFERROR(INDEX(DataSheetDA!$I:$I,MATCH($B49,DataSheetDA!$B:$B,0)),"")</f>
        <v/>
      </c>
      <c r="N49" s="766"/>
      <c r="O49" s="765" t="str">
        <f>IFERROR(INDEX(DataSheetDA!$J:$J,MATCH($B49,DataSheetDA!$B:$B,0)),"")</f>
        <v/>
      </c>
      <c r="P49" s="766"/>
      <c r="Q49" s="765" t="str">
        <f>IFERROR(INDEX(DataSheetDA!$K:$K,MATCH($B49,DataSheetDA!$B:$B,0)),"")</f>
        <v/>
      </c>
      <c r="R49" s="767"/>
      <c r="S49" s="770" t="str">
        <f>IFERROR(INDEX(DataSheetDA!$L:$L,MATCH($B49,DataSheetDA!$B:$B,0)),"")</f>
        <v/>
      </c>
      <c r="T49" s="767"/>
      <c r="U49" s="768" t="str">
        <f>IFERROR(INDEX(DataSheetDA!$M:$M,MATCH($B49,DataSheetDA!$B:$B,0)),"")</f>
        <v/>
      </c>
      <c r="V49" s="767"/>
      <c r="W49" s="765" t="str">
        <f>IFERROR(INDEX(DataSheetDA!$N:$N,MATCH($B49,DataSheetDA!$B:$B,0)),"")</f>
        <v/>
      </c>
      <c r="X49" s="766"/>
      <c r="Y49" s="771"/>
      <c r="Z49" s="772"/>
      <c r="AA49" s="768" t="str">
        <f>IFERROR(INDEX(DataSheetDA!$O:$O,MATCH($B49,DataSheetDA!$B:$B,0)),"")</f>
        <v/>
      </c>
      <c r="AB49" s="364"/>
      <c r="AC49" s="363"/>
    </row>
    <row r="50" spans="1:29" s="362" customFormat="1" ht="21" customHeight="1" thickBot="1" x14ac:dyDescent="0.25">
      <c r="A50" s="404">
        <v>38</v>
      </c>
      <c r="B50" s="361" t="str">
        <f t="shared" si="0"/>
        <v>EZZZZEZ38</v>
      </c>
      <c r="C50" s="763" t="str">
        <f>IFERROR(INDEX(DataSheetDA!$D:$D,MATCH($B50,DataSheetDA!$B:$B,0)),"")</f>
        <v/>
      </c>
      <c r="D50" s="764"/>
      <c r="E50" s="765" t="str">
        <f>IFERROR(INDEX(DataSheetDA!$E:$E,MATCH($B50,DataSheetDA!$B:$B,0)),"")</f>
        <v/>
      </c>
      <c r="F50" s="766"/>
      <c r="G50" s="765" t="str">
        <f>IFERROR(INDEX(DataSheetDA!$F:$F,MATCH($B50,DataSheetDA!$B:$B,0)),"")</f>
        <v/>
      </c>
      <c r="H50" s="767"/>
      <c r="I50" s="765" t="str">
        <f>IFERROR(INDEX(DataSheetDA!$G:$G,MATCH($B50,DataSheetDA!$B:$B,0)),"")</f>
        <v/>
      </c>
      <c r="J50" s="767"/>
      <c r="K50" s="768" t="str">
        <f>IFERROR(INDEX(DataSheetDA!$H:$H,MATCH($B50,DataSheetDA!$B:$B,0)),"")</f>
        <v/>
      </c>
      <c r="L50" s="769"/>
      <c r="M50" s="765" t="str">
        <f>IFERROR(INDEX(DataSheetDA!$I:$I,MATCH($B50,DataSheetDA!$B:$B,0)),"")</f>
        <v/>
      </c>
      <c r="N50" s="766"/>
      <c r="O50" s="765" t="str">
        <f>IFERROR(INDEX(DataSheetDA!$J:$J,MATCH($B50,DataSheetDA!$B:$B,0)),"")</f>
        <v/>
      </c>
      <c r="P50" s="766"/>
      <c r="Q50" s="765" t="str">
        <f>IFERROR(INDEX(DataSheetDA!$K:$K,MATCH($B50,DataSheetDA!$B:$B,0)),"")</f>
        <v/>
      </c>
      <c r="R50" s="767"/>
      <c r="S50" s="770" t="str">
        <f>IFERROR(INDEX(DataSheetDA!$L:$L,MATCH($B50,DataSheetDA!$B:$B,0)),"")</f>
        <v/>
      </c>
      <c r="T50" s="767"/>
      <c r="U50" s="768" t="str">
        <f>IFERROR(INDEX(DataSheetDA!$M:$M,MATCH($B50,DataSheetDA!$B:$B,0)),"")</f>
        <v/>
      </c>
      <c r="V50" s="767"/>
      <c r="W50" s="765" t="str">
        <f>IFERROR(INDEX(DataSheetDA!$N:$N,MATCH($B50,DataSheetDA!$B:$B,0)),"")</f>
        <v/>
      </c>
      <c r="X50" s="766"/>
      <c r="Y50" s="771"/>
      <c r="Z50" s="772"/>
      <c r="AA50" s="768" t="str">
        <f>IFERROR(INDEX(DataSheetDA!$O:$O,MATCH($B50,DataSheetDA!$B:$B,0)),"")</f>
        <v/>
      </c>
      <c r="AB50" s="364"/>
      <c r="AC50" s="363"/>
    </row>
    <row r="51" spans="1:29" s="362" customFormat="1" ht="21" customHeight="1" thickBot="1" x14ac:dyDescent="0.25">
      <c r="A51" s="404">
        <v>39</v>
      </c>
      <c r="B51" s="361" t="str">
        <f t="shared" si="0"/>
        <v>EZZZZEZ39</v>
      </c>
      <c r="C51" s="763" t="str">
        <f>IFERROR(INDEX(DataSheetDA!$D:$D,MATCH($B51,DataSheetDA!$B:$B,0)),"")</f>
        <v/>
      </c>
      <c r="D51" s="764"/>
      <c r="E51" s="765" t="str">
        <f>IFERROR(INDEX(DataSheetDA!$E:$E,MATCH($B51,DataSheetDA!$B:$B,0)),"")</f>
        <v/>
      </c>
      <c r="F51" s="766"/>
      <c r="G51" s="765" t="str">
        <f>IFERROR(INDEX(DataSheetDA!$F:$F,MATCH($B51,DataSheetDA!$B:$B,0)),"")</f>
        <v/>
      </c>
      <c r="H51" s="767"/>
      <c r="I51" s="765" t="str">
        <f>IFERROR(INDEX(DataSheetDA!$G:$G,MATCH($B51,DataSheetDA!$B:$B,0)),"")</f>
        <v/>
      </c>
      <c r="J51" s="767"/>
      <c r="K51" s="768" t="str">
        <f>IFERROR(INDEX(DataSheetDA!$H:$H,MATCH($B51,DataSheetDA!$B:$B,0)),"")</f>
        <v/>
      </c>
      <c r="L51" s="769"/>
      <c r="M51" s="765" t="str">
        <f>IFERROR(INDEX(DataSheetDA!$I:$I,MATCH($B51,DataSheetDA!$B:$B,0)),"")</f>
        <v/>
      </c>
      <c r="N51" s="766"/>
      <c r="O51" s="765" t="str">
        <f>IFERROR(INDEX(DataSheetDA!$J:$J,MATCH($B51,DataSheetDA!$B:$B,0)),"")</f>
        <v/>
      </c>
      <c r="P51" s="766"/>
      <c r="Q51" s="765" t="str">
        <f>IFERROR(INDEX(DataSheetDA!$K:$K,MATCH($B51,DataSheetDA!$B:$B,0)),"")</f>
        <v/>
      </c>
      <c r="R51" s="767"/>
      <c r="S51" s="770" t="str">
        <f>IFERROR(INDEX(DataSheetDA!$L:$L,MATCH($B51,DataSheetDA!$B:$B,0)),"")</f>
        <v/>
      </c>
      <c r="T51" s="767"/>
      <c r="U51" s="768" t="str">
        <f>IFERROR(INDEX(DataSheetDA!$M:$M,MATCH($B51,DataSheetDA!$B:$B,0)),"")</f>
        <v/>
      </c>
      <c r="V51" s="767"/>
      <c r="W51" s="765" t="str">
        <f>IFERROR(INDEX(DataSheetDA!$N:$N,MATCH($B51,DataSheetDA!$B:$B,0)),"")</f>
        <v/>
      </c>
      <c r="X51" s="766"/>
      <c r="Y51" s="771"/>
      <c r="Z51" s="772"/>
      <c r="AA51" s="768" t="str">
        <f>IFERROR(INDEX(DataSheetDA!$O:$O,MATCH($B51,DataSheetDA!$B:$B,0)),"")</f>
        <v/>
      </c>
      <c r="AB51" s="364"/>
      <c r="AC51" s="363"/>
    </row>
    <row r="52" spans="1:29" s="362" customFormat="1" ht="21" customHeight="1" thickBot="1" x14ac:dyDescent="0.25">
      <c r="A52" s="404">
        <v>40</v>
      </c>
      <c r="B52" s="361" t="str">
        <f t="shared" si="0"/>
        <v>EZZZZEZ40</v>
      </c>
      <c r="C52" s="763" t="str">
        <f>IFERROR(INDEX(DataSheetDA!$D:$D,MATCH($B52,DataSheetDA!$B:$B,0)),"")</f>
        <v/>
      </c>
      <c r="D52" s="764"/>
      <c r="E52" s="765" t="str">
        <f>IFERROR(INDEX(DataSheetDA!$E:$E,MATCH($B52,DataSheetDA!$B:$B,0)),"")</f>
        <v/>
      </c>
      <c r="F52" s="766"/>
      <c r="G52" s="765" t="str">
        <f>IFERROR(INDEX(DataSheetDA!$F:$F,MATCH($B52,DataSheetDA!$B:$B,0)),"")</f>
        <v/>
      </c>
      <c r="H52" s="767"/>
      <c r="I52" s="765" t="str">
        <f>IFERROR(INDEX(DataSheetDA!$G:$G,MATCH($B52,DataSheetDA!$B:$B,0)),"")</f>
        <v/>
      </c>
      <c r="J52" s="767"/>
      <c r="K52" s="768" t="str">
        <f>IFERROR(INDEX(DataSheetDA!$H:$H,MATCH($B52,DataSheetDA!$B:$B,0)),"")</f>
        <v/>
      </c>
      <c r="L52" s="769"/>
      <c r="M52" s="765" t="str">
        <f>IFERROR(INDEX(DataSheetDA!$I:$I,MATCH($B52,DataSheetDA!$B:$B,0)),"")</f>
        <v/>
      </c>
      <c r="N52" s="766"/>
      <c r="O52" s="765" t="str">
        <f>IFERROR(INDEX(DataSheetDA!$J:$J,MATCH($B52,DataSheetDA!$B:$B,0)),"")</f>
        <v/>
      </c>
      <c r="P52" s="766"/>
      <c r="Q52" s="765" t="str">
        <f>IFERROR(INDEX(DataSheetDA!$K:$K,MATCH($B52,DataSheetDA!$B:$B,0)),"")</f>
        <v/>
      </c>
      <c r="R52" s="767"/>
      <c r="S52" s="770" t="str">
        <f>IFERROR(INDEX(DataSheetDA!$L:$L,MATCH($B52,DataSheetDA!$B:$B,0)),"")</f>
        <v/>
      </c>
      <c r="T52" s="767"/>
      <c r="U52" s="768" t="str">
        <f>IFERROR(INDEX(DataSheetDA!$M:$M,MATCH($B52,DataSheetDA!$B:$B,0)),"")</f>
        <v/>
      </c>
      <c r="V52" s="767"/>
      <c r="W52" s="765" t="str">
        <f>IFERROR(INDEX(DataSheetDA!$N:$N,MATCH($B52,DataSheetDA!$B:$B,0)),"")</f>
        <v/>
      </c>
      <c r="X52" s="766"/>
      <c r="Y52" s="771"/>
      <c r="Z52" s="772"/>
      <c r="AA52" s="768" t="str">
        <f>IFERROR(INDEX(DataSheetDA!$O:$O,MATCH($B52,DataSheetDA!$B:$B,0)),"")</f>
        <v/>
      </c>
      <c r="AB52" s="364"/>
      <c r="AC52" s="363"/>
    </row>
    <row r="53" spans="1:29" s="362" customFormat="1" ht="21" customHeight="1" thickBot="1" x14ac:dyDescent="0.25">
      <c r="A53" s="404">
        <v>41</v>
      </c>
      <c r="B53" s="361" t="str">
        <f t="shared" si="0"/>
        <v>EZZZZEZ41</v>
      </c>
      <c r="C53" s="763" t="str">
        <f>IFERROR(INDEX(DataSheetDA!$D:$D,MATCH($B53,DataSheetDA!$B:$B,0)),"")</f>
        <v/>
      </c>
      <c r="D53" s="764"/>
      <c r="E53" s="765" t="str">
        <f>IFERROR(INDEX(DataSheetDA!$E:$E,MATCH($B53,DataSheetDA!$B:$B,0)),"")</f>
        <v/>
      </c>
      <c r="F53" s="766"/>
      <c r="G53" s="765" t="str">
        <f>IFERROR(INDEX(DataSheetDA!$F:$F,MATCH($B53,DataSheetDA!$B:$B,0)),"")</f>
        <v/>
      </c>
      <c r="H53" s="767"/>
      <c r="I53" s="765" t="str">
        <f>IFERROR(INDEX(DataSheetDA!$G:$G,MATCH($B53,DataSheetDA!$B:$B,0)),"")</f>
        <v/>
      </c>
      <c r="J53" s="767"/>
      <c r="K53" s="768" t="str">
        <f>IFERROR(INDEX(DataSheetDA!$H:$H,MATCH($B53,DataSheetDA!$B:$B,0)),"")</f>
        <v/>
      </c>
      <c r="L53" s="769"/>
      <c r="M53" s="765" t="str">
        <f>IFERROR(INDEX(DataSheetDA!$I:$I,MATCH($B53,DataSheetDA!$B:$B,0)),"")</f>
        <v/>
      </c>
      <c r="N53" s="766"/>
      <c r="O53" s="765" t="str">
        <f>IFERROR(INDEX(DataSheetDA!$J:$J,MATCH($B53,DataSheetDA!$B:$B,0)),"")</f>
        <v/>
      </c>
      <c r="P53" s="766"/>
      <c r="Q53" s="765" t="str">
        <f>IFERROR(INDEX(DataSheetDA!$K:$K,MATCH($B53,DataSheetDA!$B:$B,0)),"")</f>
        <v/>
      </c>
      <c r="R53" s="767"/>
      <c r="S53" s="770" t="str">
        <f>IFERROR(INDEX(DataSheetDA!$L:$L,MATCH($B53,DataSheetDA!$B:$B,0)),"")</f>
        <v/>
      </c>
      <c r="T53" s="767"/>
      <c r="U53" s="768" t="str">
        <f>IFERROR(INDEX(DataSheetDA!$M:$M,MATCH($B53,DataSheetDA!$B:$B,0)),"")</f>
        <v/>
      </c>
      <c r="V53" s="767"/>
      <c r="W53" s="765" t="str">
        <f>IFERROR(INDEX(DataSheetDA!$N:$N,MATCH($B53,DataSheetDA!$B:$B,0)),"")</f>
        <v/>
      </c>
      <c r="X53" s="766"/>
      <c r="Y53" s="771"/>
      <c r="Z53" s="772"/>
      <c r="AA53" s="768" t="str">
        <f>IFERROR(INDEX(DataSheetDA!$O:$O,MATCH($B53,DataSheetDA!$B:$B,0)),"")</f>
        <v/>
      </c>
      <c r="AB53" s="364"/>
      <c r="AC53" s="363"/>
    </row>
    <row r="54" spans="1:29" ht="18.75" thickBot="1" x14ac:dyDescent="0.25">
      <c r="A54" s="433"/>
      <c r="B54" s="431"/>
      <c r="C54" s="431"/>
      <c r="D54" s="431"/>
      <c r="E54" s="431"/>
      <c r="F54" s="431"/>
      <c r="G54" s="431"/>
      <c r="H54" s="431"/>
      <c r="I54" s="431"/>
      <c r="J54" s="431"/>
      <c r="K54" s="431"/>
      <c r="L54" s="431"/>
      <c r="M54" s="431"/>
      <c r="N54" s="431"/>
      <c r="O54" s="431"/>
      <c r="P54" s="431"/>
      <c r="Q54" s="431"/>
      <c r="R54" s="431"/>
      <c r="S54" s="431"/>
      <c r="T54" s="431"/>
      <c r="U54" s="431"/>
      <c r="V54" s="431"/>
      <c r="W54" s="431"/>
      <c r="X54" s="431"/>
      <c r="Y54" s="447"/>
      <c r="Z54" s="447"/>
      <c r="AA54" s="431"/>
      <c r="AB54" s="431"/>
      <c r="AC54" s="432"/>
    </row>
  </sheetData>
  <mergeCells count="11">
    <mergeCell ref="M9:U9"/>
    <mergeCell ref="W9:Y9"/>
    <mergeCell ref="A1:AC1"/>
    <mergeCell ref="B12:C12"/>
    <mergeCell ref="Y7:AB7"/>
    <mergeCell ref="G9:I9"/>
    <mergeCell ref="G12:I12"/>
    <mergeCell ref="E4:K4"/>
    <mergeCell ref="M4:U4"/>
    <mergeCell ref="W4:AA4"/>
    <mergeCell ref="W7:W8"/>
  </mergeCells>
  <dataValidations count="1">
    <dataValidation type="custom" allowBlank="1" showInputMessage="1" showErrorMessage="1" errorTitle="Formula cell" error="Data entry is not allowed in this cell" sqref="U6 W6 AA6 E6 G6 I6 K6 M6 O6 Q6 S6" xr:uid="{674EA48D-ED6F-445C-B82C-F7009F6000F3}">
      <formula1>"az1=""n/a"""</formula1>
    </dataValidation>
  </dataValidations>
  <printOptions horizontalCentered="1"/>
  <pageMargins left="0.39370078740157483" right="0.39370078740157483" top="0.59055118110236227" bottom="0.59055118110236227" header="0.31496062992125984" footer="0.31496062992125984"/>
  <pageSetup paperSize="9" scale="32" fitToHeight="5" orientation="landscape" r:id="rId1"/>
  <headerFooter alignWithMargins="0">
    <oddHeader>&amp;A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R77"/>
  <sheetViews>
    <sheetView showGridLines="0" zoomScaleNormal="100" workbookViewId="0">
      <selection activeCell="C8" sqref="C8"/>
    </sheetView>
  </sheetViews>
  <sheetFormatPr defaultRowHeight="12.75" x14ac:dyDescent="0.2"/>
  <cols>
    <col min="1" max="2" width="1.7109375" customWidth="1"/>
    <col min="3" max="4" width="14.28515625" customWidth="1"/>
    <col min="5" max="5" width="47.42578125" customWidth="1"/>
    <col min="6" max="7" width="14.28515625" customWidth="1"/>
    <col min="8" max="8" width="3.7109375" customWidth="1"/>
    <col min="9" max="10" width="11.42578125" customWidth="1"/>
    <col min="11" max="11" width="5.28515625" customWidth="1"/>
    <col min="12" max="13" width="11.5703125" customWidth="1"/>
    <col min="14" max="15" width="1.7109375" customWidth="1"/>
    <col min="16" max="49" width="9.140625" customWidth="1"/>
  </cols>
  <sheetData>
    <row r="1" spans="1:15" ht="15" x14ac:dyDescent="0.2">
      <c r="A1" s="66"/>
      <c r="B1" s="67"/>
      <c r="C1" s="67"/>
      <c r="D1" s="67"/>
      <c r="E1" s="67"/>
      <c r="F1" s="67"/>
      <c r="G1" s="67"/>
      <c r="H1" s="67"/>
      <c r="I1" s="67"/>
      <c r="J1" s="67"/>
      <c r="K1" s="67"/>
      <c r="L1" s="67"/>
      <c r="M1" s="67"/>
      <c r="N1" s="67"/>
      <c r="O1" s="68"/>
    </row>
    <row r="2" spans="1:15" ht="15.75" x14ac:dyDescent="0.25">
      <c r="A2" s="892" t="s">
        <v>610</v>
      </c>
      <c r="B2" s="893"/>
      <c r="C2" s="893"/>
      <c r="D2" s="893"/>
      <c r="E2" s="893"/>
      <c r="F2" s="893"/>
      <c r="G2" s="893"/>
      <c r="H2" s="893"/>
      <c r="I2" s="893"/>
      <c r="J2" s="893"/>
      <c r="K2" s="893"/>
      <c r="L2" s="893"/>
      <c r="M2" s="893"/>
      <c r="N2" s="893"/>
      <c r="O2" s="894"/>
    </row>
    <row r="3" spans="1:15" ht="15.75" x14ac:dyDescent="0.25">
      <c r="A3" s="892" t="s">
        <v>1060</v>
      </c>
      <c r="B3" s="895"/>
      <c r="C3" s="895"/>
      <c r="D3" s="895"/>
      <c r="E3" s="895"/>
      <c r="F3" s="895"/>
      <c r="G3" s="895"/>
      <c r="H3" s="895"/>
      <c r="I3" s="895"/>
      <c r="J3" s="895"/>
      <c r="K3" s="895"/>
      <c r="L3" s="895"/>
      <c r="M3" s="895"/>
      <c r="N3" s="895"/>
      <c r="O3" s="896"/>
    </row>
    <row r="4" spans="1:15" ht="15.75" x14ac:dyDescent="0.25">
      <c r="A4" s="246"/>
      <c r="B4" s="130"/>
      <c r="C4" s="130"/>
      <c r="D4" s="130"/>
      <c r="E4" s="130"/>
      <c r="F4" s="130"/>
      <c r="G4" s="130"/>
      <c r="H4" s="130"/>
      <c r="I4" s="130"/>
      <c r="J4" s="130"/>
      <c r="K4" s="130"/>
      <c r="L4" s="130"/>
      <c r="M4" s="130"/>
      <c r="N4" s="130"/>
      <c r="O4" s="131"/>
    </row>
    <row r="5" spans="1:15" ht="15" x14ac:dyDescent="0.2">
      <c r="A5" s="899" t="s">
        <v>775</v>
      </c>
      <c r="B5" s="900"/>
      <c r="C5" s="900"/>
      <c r="D5" s="900"/>
      <c r="E5" s="900"/>
      <c r="F5" s="900"/>
      <c r="G5" s="900"/>
      <c r="H5" s="900"/>
      <c r="I5" s="900"/>
      <c r="J5" s="900"/>
      <c r="K5" s="900"/>
      <c r="L5" s="900"/>
      <c r="M5" s="900"/>
      <c r="N5" s="900"/>
      <c r="O5" s="901"/>
    </row>
    <row r="6" spans="1:15" ht="15.75" thickBot="1" x14ac:dyDescent="0.25">
      <c r="A6" s="69"/>
      <c r="B6" s="70"/>
      <c r="C6" s="70"/>
      <c r="D6" s="70"/>
      <c r="E6" s="70"/>
      <c r="F6" s="70"/>
      <c r="G6" s="70"/>
      <c r="H6" s="70"/>
      <c r="I6" s="70"/>
      <c r="J6" s="70"/>
      <c r="K6" s="70"/>
      <c r="L6" s="312" t="s">
        <v>792</v>
      </c>
      <c r="M6" s="472">
        <f>+'Part 1'!X19</f>
        <v>1.1000000000000001</v>
      </c>
      <c r="N6" s="70"/>
      <c r="O6" s="71"/>
    </row>
    <row r="7" spans="1:15" x14ac:dyDescent="0.2">
      <c r="A7" s="23"/>
      <c r="B7" s="2"/>
      <c r="C7" s="959"/>
      <c r="D7" s="959"/>
      <c r="E7" s="258"/>
      <c r="F7" s="258"/>
      <c r="G7" s="2"/>
      <c r="H7" s="2"/>
      <c r="I7" s="213"/>
      <c r="J7" s="2"/>
      <c r="K7" s="2"/>
      <c r="L7" s="2"/>
      <c r="M7" s="2"/>
      <c r="N7" s="2"/>
      <c r="O7" s="51"/>
    </row>
    <row r="8" spans="1:15" ht="18" x14ac:dyDescent="0.25">
      <c r="A8" s="41"/>
      <c r="B8" s="27"/>
      <c r="C8" s="73" t="str">
        <f>+CONCATENATE("Local Authority : ",+'Part 1'!L14)</f>
        <v>Local Authority : England</v>
      </c>
      <c r="D8" s="73"/>
      <c r="E8" s="73"/>
      <c r="F8" s="73"/>
      <c r="G8" s="27"/>
      <c r="H8" s="27"/>
      <c r="I8" s="27"/>
      <c r="J8" s="27"/>
      <c r="K8" s="27"/>
      <c r="L8" s="27"/>
      <c r="M8" s="27"/>
      <c r="N8" s="27"/>
      <c r="O8" s="28"/>
    </row>
    <row r="9" spans="1:15" ht="15.75" x14ac:dyDescent="0.25">
      <c r="A9" s="37"/>
      <c r="B9" s="244"/>
      <c r="C9" s="244"/>
      <c r="D9" s="244"/>
      <c r="E9" s="244"/>
      <c r="F9" s="244"/>
      <c r="G9" s="40"/>
      <c r="H9" s="27"/>
      <c r="I9" s="27"/>
      <c r="J9" s="27"/>
      <c r="K9" s="27"/>
      <c r="L9" s="27"/>
      <c r="M9" s="27"/>
      <c r="N9" s="27"/>
      <c r="O9" s="28"/>
    </row>
    <row r="10" spans="1:15" ht="44.25" customHeight="1" x14ac:dyDescent="0.2">
      <c r="A10" s="23"/>
      <c r="B10" s="2"/>
      <c r="C10" s="1001" t="s">
        <v>1051</v>
      </c>
      <c r="D10" s="1001"/>
      <c r="E10" s="1001"/>
      <c r="F10" s="27"/>
      <c r="G10" s="27"/>
      <c r="H10" s="27"/>
      <c r="I10" s="27"/>
      <c r="J10" s="27"/>
      <c r="K10" s="27"/>
      <c r="L10" s="27"/>
      <c r="M10" s="27"/>
      <c r="N10" s="27"/>
      <c r="O10" s="28"/>
    </row>
    <row r="11" spans="1:15" ht="15.75" x14ac:dyDescent="0.25">
      <c r="A11" s="23"/>
      <c r="B11" s="2"/>
      <c r="C11" s="26"/>
      <c r="D11" s="27"/>
      <c r="E11" s="27"/>
      <c r="F11" s="27"/>
      <c r="G11" s="27"/>
      <c r="H11" s="27"/>
      <c r="I11" s="27"/>
      <c r="J11" s="27"/>
      <c r="K11" s="27"/>
      <c r="L11" s="27"/>
      <c r="M11" s="27"/>
      <c r="N11" s="27"/>
      <c r="O11" s="28"/>
    </row>
    <row r="12" spans="1:15" ht="16.5" thickBot="1" x14ac:dyDescent="0.3">
      <c r="A12" s="23"/>
      <c r="B12" s="2"/>
      <c r="C12" s="26" t="s">
        <v>243</v>
      </c>
      <c r="D12" s="27"/>
      <c r="E12" s="27"/>
      <c r="F12" s="27"/>
      <c r="G12" s="27"/>
      <c r="H12" s="27"/>
      <c r="I12" s="970" t="s">
        <v>577</v>
      </c>
      <c r="J12" s="970"/>
      <c r="K12" s="27"/>
      <c r="L12" s="970" t="s">
        <v>577</v>
      </c>
      <c r="M12" s="970"/>
      <c r="N12" s="27"/>
      <c r="O12" s="28"/>
    </row>
    <row r="13" spans="1:15" ht="16.5" thickBot="1" x14ac:dyDescent="0.25">
      <c r="A13" s="23"/>
      <c r="B13" s="2"/>
      <c r="C13" s="355" t="s">
        <v>1014</v>
      </c>
      <c r="D13" s="309"/>
      <c r="E13" s="309"/>
      <c r="F13" s="309"/>
      <c r="G13" s="309"/>
      <c r="H13" s="309"/>
      <c r="I13" s="458"/>
      <c r="J13" s="458"/>
      <c r="K13" s="458"/>
      <c r="L13" s="1002" cm="1">
        <f t="array" ref="L13">INDEX(DataSheet4!$A$8:$AD$317,'Part 1'!$F$1,6)</f>
        <v>300147137</v>
      </c>
      <c r="M13" s="1003"/>
      <c r="N13" s="27"/>
      <c r="O13" s="28"/>
    </row>
    <row r="14" spans="1:15" ht="15.75" x14ac:dyDescent="0.25">
      <c r="A14" s="23"/>
      <c r="B14" s="2"/>
      <c r="C14" s="26"/>
      <c r="D14" s="27"/>
      <c r="E14" s="27"/>
      <c r="F14" s="27"/>
      <c r="G14" s="27"/>
      <c r="H14" s="27"/>
      <c r="I14" s="27"/>
      <c r="J14" s="27"/>
      <c r="K14" s="27"/>
      <c r="L14" s="27"/>
      <c r="M14" s="27"/>
      <c r="N14" s="27"/>
      <c r="O14" s="28"/>
    </row>
    <row r="15" spans="1:15" ht="16.5" thickBot="1" x14ac:dyDescent="0.3">
      <c r="A15" s="23"/>
      <c r="B15" s="2"/>
      <c r="C15" s="13" t="s">
        <v>781</v>
      </c>
      <c r="D15" s="27"/>
      <c r="E15" s="27"/>
      <c r="F15" s="27"/>
      <c r="G15" s="27"/>
      <c r="H15" s="27"/>
      <c r="I15" s="27"/>
      <c r="J15" s="27"/>
      <c r="K15" s="27"/>
      <c r="L15" s="27"/>
      <c r="M15" s="27"/>
      <c r="N15" s="27"/>
      <c r="O15" s="28"/>
    </row>
    <row r="16" spans="1:15" ht="16.5" thickBot="1" x14ac:dyDescent="0.25">
      <c r="A16" s="23"/>
      <c r="B16" s="2"/>
      <c r="C16" s="10" t="s">
        <v>1081</v>
      </c>
      <c r="D16" s="27"/>
      <c r="E16" s="27"/>
      <c r="F16" s="27"/>
      <c r="G16" s="27"/>
      <c r="H16" s="27"/>
      <c r="I16" s="827" cm="1">
        <f t="array" ref="I16">INDEX(DataSheet4!$A$8:$AD$317,'Part 1'!$F$1,7)</f>
        <v>15416092204</v>
      </c>
      <c r="J16" s="828"/>
      <c r="K16" s="27"/>
      <c r="L16" s="27"/>
      <c r="M16" s="27"/>
      <c r="N16" s="27"/>
      <c r="O16" s="28"/>
    </row>
    <row r="17" spans="1:15" ht="15.75" customHeight="1" thickBot="1" x14ac:dyDescent="0.3">
      <c r="A17" s="23"/>
      <c r="B17" s="2"/>
      <c r="C17" s="13"/>
      <c r="D17" s="27"/>
      <c r="E17" s="27"/>
      <c r="F17" s="27"/>
      <c r="G17" s="27"/>
      <c r="H17" s="27"/>
      <c r="I17" s="27"/>
      <c r="J17" s="27"/>
      <c r="K17" s="27"/>
      <c r="L17" s="27"/>
      <c r="M17" s="27"/>
      <c r="N17" s="27"/>
      <c r="O17" s="28"/>
    </row>
    <row r="18" spans="1:15" ht="16.5" thickBot="1" x14ac:dyDescent="0.25">
      <c r="A18" s="23"/>
      <c r="B18" s="2"/>
      <c r="C18" s="10" t="s">
        <v>782</v>
      </c>
      <c r="D18" s="27"/>
      <c r="E18" s="27"/>
      <c r="F18" s="27"/>
      <c r="G18" s="27"/>
      <c r="H18" s="27"/>
      <c r="I18" s="827" cm="1">
        <f t="array" ref="I18">INDEX(DataSheet4!$A$8:$AD$317,'Part 1'!$F$1,8)</f>
        <v>-52006187</v>
      </c>
      <c r="J18" s="828"/>
      <c r="K18" s="27"/>
      <c r="L18" s="27"/>
      <c r="M18" s="27"/>
      <c r="N18" s="27"/>
      <c r="O18" s="28"/>
    </row>
    <row r="19" spans="1:15" ht="16.5" thickBot="1" x14ac:dyDescent="0.3">
      <c r="A19" s="23"/>
      <c r="B19" s="2"/>
      <c r="C19" s="13"/>
      <c r="D19" s="27"/>
      <c r="E19" s="27"/>
      <c r="F19" s="27"/>
      <c r="G19" s="27"/>
      <c r="H19" s="27"/>
      <c r="I19" s="27"/>
      <c r="J19" s="27"/>
      <c r="K19" s="27"/>
      <c r="L19" s="27"/>
      <c r="M19" s="27"/>
      <c r="N19" s="27"/>
      <c r="O19" s="28"/>
    </row>
    <row r="20" spans="1:15" ht="16.5" thickBot="1" x14ac:dyDescent="0.25">
      <c r="A20" s="23"/>
      <c r="B20" s="2"/>
      <c r="C20" s="10" t="s">
        <v>783</v>
      </c>
      <c r="D20" s="27"/>
      <c r="E20" s="27"/>
      <c r="F20" s="27"/>
      <c r="G20" s="27"/>
      <c r="H20" s="27"/>
      <c r="I20" s="827" cm="1">
        <f t="array" ref="I20">INDEX(DataSheet4!$A$8:$AD$317,'Part 1'!$F$1,9)</f>
        <v>-646601092</v>
      </c>
      <c r="J20" s="828"/>
      <c r="K20" s="27"/>
      <c r="L20" s="27"/>
      <c r="M20" s="27"/>
      <c r="N20" s="27"/>
      <c r="O20" s="28"/>
    </row>
    <row r="21" spans="1:15" ht="16.5" thickBot="1" x14ac:dyDescent="0.3">
      <c r="A21" s="23"/>
      <c r="B21" s="2"/>
      <c r="C21" s="13"/>
      <c r="D21" s="27"/>
      <c r="E21" s="27"/>
      <c r="F21" s="27"/>
      <c r="G21" s="27"/>
      <c r="H21" s="27"/>
      <c r="I21" s="27"/>
      <c r="J21" s="27"/>
      <c r="K21" s="27"/>
      <c r="L21" s="27"/>
      <c r="M21" s="27"/>
      <c r="N21" s="27"/>
      <c r="O21" s="28"/>
    </row>
    <row r="22" spans="1:15" ht="16.5" thickBot="1" x14ac:dyDescent="0.25">
      <c r="A22" s="23"/>
      <c r="B22" s="2"/>
      <c r="C22" s="10" t="s">
        <v>1049</v>
      </c>
      <c r="D22" s="27"/>
      <c r="E22" s="27"/>
      <c r="F22" s="27"/>
      <c r="G22" s="27"/>
      <c r="H22" s="27"/>
      <c r="I22" s="827" cm="1">
        <f t="array" ref="I22">INDEX(DataSheet4!$A$8:$AD$317,'Part 1'!$F$1,10)</f>
        <v>482514271</v>
      </c>
      <c r="J22" s="828"/>
      <c r="K22" s="27"/>
      <c r="L22" s="27"/>
      <c r="M22" s="27"/>
      <c r="N22" s="27"/>
      <c r="O22" s="28"/>
    </row>
    <row r="23" spans="1:15" ht="16.5" thickBot="1" x14ac:dyDescent="0.3">
      <c r="A23" s="23"/>
      <c r="B23" s="2"/>
      <c r="C23" s="13"/>
      <c r="D23" s="27"/>
      <c r="E23" s="27"/>
      <c r="F23" s="27"/>
      <c r="G23" s="27"/>
      <c r="H23" s="27"/>
      <c r="I23" s="27"/>
      <c r="J23" s="27"/>
      <c r="K23" s="27"/>
      <c r="L23" s="27"/>
      <c r="M23" s="27"/>
      <c r="N23" s="27"/>
      <c r="O23" s="28"/>
    </row>
    <row r="24" spans="1:15" ht="16.5" thickBot="1" x14ac:dyDescent="0.25">
      <c r="A24" s="23"/>
      <c r="B24" s="2"/>
      <c r="C24" s="10" t="s">
        <v>1050</v>
      </c>
      <c r="D24" s="27"/>
      <c r="E24" s="27"/>
      <c r="F24" s="27"/>
      <c r="G24" s="27"/>
      <c r="H24" s="27"/>
      <c r="I24" s="827" cm="1">
        <f t="array" ref="I24">INDEX(DataSheet4!$A$8:$AD$317,'Part 1'!$F$1,11)</f>
        <v>-1464141003</v>
      </c>
      <c r="J24" s="828"/>
      <c r="K24" s="27"/>
      <c r="L24" s="27"/>
      <c r="M24" s="27"/>
      <c r="N24" s="27"/>
      <c r="O24" s="28"/>
    </row>
    <row r="25" spans="1:15" ht="15.75" thickBot="1" x14ac:dyDescent="0.25">
      <c r="A25" s="23"/>
      <c r="B25" s="2"/>
      <c r="C25" s="10"/>
      <c r="D25" s="27"/>
      <c r="E25" s="27"/>
      <c r="F25" s="27"/>
      <c r="G25" s="27"/>
      <c r="H25" s="27"/>
      <c r="I25" s="27"/>
      <c r="J25" s="27"/>
      <c r="K25" s="27"/>
      <c r="L25" s="27"/>
      <c r="M25" s="27"/>
      <c r="N25" s="27"/>
      <c r="O25" s="28"/>
    </row>
    <row r="26" spans="1:15" ht="16.5" thickBot="1" x14ac:dyDescent="0.3">
      <c r="A26" s="23"/>
      <c r="B26" s="2"/>
      <c r="C26" s="13" t="s">
        <v>784</v>
      </c>
      <c r="D26" s="27"/>
      <c r="E26" s="27"/>
      <c r="F26" s="27"/>
      <c r="G26" s="27"/>
      <c r="H26" s="27"/>
      <c r="I26" s="272"/>
      <c r="J26" s="272"/>
      <c r="K26" s="27"/>
      <c r="L26" s="888" cm="1">
        <f t="array" ref="L26">INDEX(DataSheet4!$A$8:$AD$317,'Part 1'!$F$1,12)</f>
        <v>13735858193</v>
      </c>
      <c r="M26" s="889"/>
      <c r="N26" s="27"/>
      <c r="O26" s="51"/>
    </row>
    <row r="27" spans="1:15" ht="15.75" x14ac:dyDescent="0.25">
      <c r="A27" s="23"/>
      <c r="B27" s="2"/>
      <c r="C27" s="13"/>
      <c r="D27" s="27"/>
      <c r="E27" s="27"/>
      <c r="F27" s="27"/>
      <c r="G27" s="27"/>
      <c r="H27" s="27"/>
      <c r="I27" s="27"/>
      <c r="J27" s="27"/>
      <c r="K27" s="27"/>
      <c r="L27" s="10"/>
      <c r="M27" s="27"/>
      <c r="N27" s="27"/>
      <c r="O27" s="28"/>
    </row>
    <row r="28" spans="1:15" ht="16.5" thickBot="1" x14ac:dyDescent="0.3">
      <c r="A28" s="23"/>
      <c r="B28" s="2"/>
      <c r="C28" s="13" t="s">
        <v>1121</v>
      </c>
      <c r="D28" s="27"/>
      <c r="E28" s="27"/>
      <c r="F28" s="27"/>
      <c r="G28" s="27"/>
      <c r="H28" s="27"/>
      <c r="I28" s="57"/>
      <c r="J28" s="57"/>
      <c r="K28" s="57"/>
      <c r="L28" s="57"/>
      <c r="M28" s="57"/>
      <c r="N28" s="27"/>
      <c r="O28" s="28"/>
    </row>
    <row r="29" spans="1:15" ht="16.5" thickBot="1" x14ac:dyDescent="0.25">
      <c r="A29" s="23"/>
      <c r="B29" s="2"/>
      <c r="C29" s="10" t="s">
        <v>1082</v>
      </c>
      <c r="D29" s="27"/>
      <c r="E29" s="27"/>
      <c r="F29" s="27"/>
      <c r="G29" s="27"/>
      <c r="H29" s="27"/>
      <c r="I29" s="827" cm="1">
        <f t="array" ref="I29">INDEX(DataSheet4!$A$8:$AD$317,'Part 1'!$F$1,13)</f>
        <v>53188210</v>
      </c>
      <c r="J29" s="828"/>
      <c r="K29" s="57"/>
      <c r="L29" s="57"/>
      <c r="M29" s="57"/>
      <c r="N29" s="27"/>
      <c r="O29" s="28"/>
    </row>
    <row r="30" spans="1:15" ht="15.75" thickBot="1" x14ac:dyDescent="0.25">
      <c r="A30" s="23"/>
      <c r="B30" s="2"/>
      <c r="C30" s="10"/>
      <c r="D30" s="27"/>
      <c r="E30" s="27"/>
      <c r="F30" s="27"/>
      <c r="G30" s="27"/>
      <c r="H30" s="27"/>
      <c r="I30" s="57"/>
      <c r="J30" s="57"/>
      <c r="K30" s="57"/>
      <c r="L30" s="57"/>
      <c r="M30" s="57"/>
      <c r="N30" s="27"/>
      <c r="O30" s="28"/>
    </row>
    <row r="31" spans="1:15" ht="16.5" thickBot="1" x14ac:dyDescent="0.25">
      <c r="A31" s="23"/>
      <c r="B31" s="2"/>
      <c r="C31" s="10" t="s">
        <v>785</v>
      </c>
      <c r="D31" s="27"/>
      <c r="E31" s="27"/>
      <c r="F31" s="27"/>
      <c r="G31" s="27"/>
      <c r="H31" s="27"/>
      <c r="I31" s="827" cm="1">
        <f t="array" ref="I31">INDEX(DataSheet4!$A$8:$AD$317,'Part 1'!$F$1,14)</f>
        <v>5270593</v>
      </c>
      <c r="J31" s="828"/>
      <c r="K31" s="57"/>
      <c r="L31" s="57"/>
      <c r="M31" s="57"/>
      <c r="N31" s="27"/>
      <c r="O31" s="28"/>
    </row>
    <row r="32" spans="1:15" ht="16.5" thickBot="1" x14ac:dyDescent="0.25">
      <c r="A32" s="23"/>
      <c r="B32" s="2"/>
      <c r="C32" s="10"/>
      <c r="D32" s="27"/>
      <c r="E32" s="27"/>
      <c r="F32" s="27"/>
      <c r="G32" s="27"/>
      <c r="H32" s="27"/>
      <c r="I32" s="58"/>
      <c r="J32" s="58"/>
      <c r="K32" s="57"/>
      <c r="L32" s="57"/>
      <c r="M32" s="57"/>
      <c r="N32" s="27"/>
      <c r="O32" s="28"/>
    </row>
    <row r="33" spans="1:44" ht="16.5" thickBot="1" x14ac:dyDescent="0.25">
      <c r="A33" s="23"/>
      <c r="B33" s="2"/>
      <c r="C33" s="10" t="s">
        <v>1083</v>
      </c>
      <c r="D33" s="27"/>
      <c r="E33" s="27"/>
      <c r="F33" s="27"/>
      <c r="G33" s="27"/>
      <c r="H33" s="27"/>
      <c r="I33" s="827" cm="1">
        <f t="array" ref="I33">INDEX(DataSheet4!$A$8:$AD$317,'Part 1'!$F$1,15)</f>
        <v>257621884</v>
      </c>
      <c r="J33" s="828"/>
      <c r="K33" s="57"/>
      <c r="L33" s="57"/>
      <c r="M33" s="57"/>
      <c r="N33" s="27"/>
      <c r="O33" s="28"/>
    </row>
    <row r="34" spans="1:44" ht="16.5" thickBot="1" x14ac:dyDescent="0.25">
      <c r="A34" s="23"/>
      <c r="B34" s="2"/>
      <c r="C34" s="10"/>
      <c r="D34" s="27"/>
      <c r="E34" s="27"/>
      <c r="F34" s="27"/>
      <c r="G34" s="27"/>
      <c r="H34" s="27"/>
      <c r="I34" s="501"/>
      <c r="J34" s="282"/>
      <c r="K34" s="282"/>
      <c r="L34" s="282"/>
      <c r="M34" s="282"/>
      <c r="N34" s="282"/>
      <c r="O34" s="502"/>
    </row>
    <row r="35" spans="1:44" ht="16.5" thickBot="1" x14ac:dyDescent="0.3">
      <c r="A35" s="23"/>
      <c r="B35" s="2"/>
      <c r="C35" s="13" t="s">
        <v>786</v>
      </c>
      <c r="D35" s="27"/>
      <c r="E35" s="27"/>
      <c r="F35" s="27"/>
      <c r="G35" s="27"/>
      <c r="H35" s="27"/>
      <c r="I35" s="57"/>
      <c r="J35" s="57"/>
      <c r="K35" s="57"/>
      <c r="L35" s="888" cm="1">
        <f t="array" ref="L35">INDEX(DataSheet4!$A$8:$AD$317,'Part 1'!$F$1,16)</f>
        <v>316080687</v>
      </c>
      <c r="M35" s="889"/>
      <c r="N35" s="27"/>
      <c r="O35" s="51"/>
    </row>
    <row r="36" spans="1:44" ht="15" x14ac:dyDescent="0.2">
      <c r="A36" s="23"/>
      <c r="B36" s="2"/>
      <c r="C36" s="27"/>
      <c r="D36" s="27"/>
      <c r="E36" s="27"/>
      <c r="F36" s="27"/>
      <c r="G36" s="27"/>
      <c r="H36" s="27"/>
      <c r="I36" s="57"/>
      <c r="J36" s="57"/>
      <c r="K36" s="57"/>
      <c r="L36" s="57"/>
      <c r="M36" s="57"/>
      <c r="N36" s="27"/>
      <c r="O36" s="28"/>
    </row>
    <row r="37" spans="1:44" ht="16.5" thickBot="1" x14ac:dyDescent="0.3">
      <c r="A37" s="23"/>
      <c r="B37" s="2"/>
      <c r="C37" s="13" t="s">
        <v>1120</v>
      </c>
      <c r="D37" s="27"/>
      <c r="E37" s="27"/>
      <c r="F37" s="27"/>
      <c r="G37" s="27"/>
      <c r="H37" s="27"/>
      <c r="I37" s="57"/>
      <c r="J37" s="57"/>
      <c r="K37" s="57"/>
      <c r="L37" s="57"/>
      <c r="M37" s="57"/>
      <c r="N37" s="27"/>
      <c r="O37" s="28"/>
    </row>
    <row r="38" spans="1:44" ht="16.5" thickBot="1" x14ac:dyDescent="0.25">
      <c r="A38" s="23"/>
      <c r="B38" s="2"/>
      <c r="C38" s="10" t="s">
        <v>1084</v>
      </c>
      <c r="D38" s="10"/>
      <c r="E38" s="10"/>
      <c r="F38" s="10"/>
      <c r="G38" s="10"/>
      <c r="H38" s="27"/>
      <c r="I38" s="827" cm="1">
        <f t="array" ref="I38">INDEX(DataSheet4!$A$8:$AD$317,'Part 1'!$F$1,17)</f>
        <v>-179661997</v>
      </c>
      <c r="J38" s="828"/>
      <c r="K38" s="57"/>
      <c r="L38" s="57"/>
      <c r="M38" s="57"/>
      <c r="N38" s="27"/>
      <c r="O38" s="28"/>
    </row>
    <row r="39" spans="1:44" ht="15.75" thickBot="1" x14ac:dyDescent="0.25">
      <c r="A39" s="23"/>
      <c r="B39" s="2"/>
      <c r="C39" s="10"/>
      <c r="D39" s="10"/>
      <c r="E39" s="10"/>
      <c r="F39" s="10"/>
      <c r="G39" s="10"/>
      <c r="H39" s="27"/>
      <c r="I39" s="57"/>
      <c r="J39" s="57"/>
      <c r="K39" s="57"/>
      <c r="L39" s="57"/>
      <c r="M39" s="57"/>
      <c r="N39" s="27"/>
      <c r="O39" s="28"/>
    </row>
    <row r="40" spans="1:44" ht="16.5" thickBot="1" x14ac:dyDescent="0.25">
      <c r="A40" s="23"/>
      <c r="B40" s="2"/>
      <c r="C40" s="859" t="s">
        <v>1085</v>
      </c>
      <c r="D40" s="859"/>
      <c r="E40" s="859"/>
      <c r="F40" s="859"/>
      <c r="G40" s="859"/>
      <c r="H40" s="27"/>
      <c r="I40" s="827" cm="1">
        <f t="array" ref="I40">INDEX(DataSheet4!$A$8:$AD$317,'Part 1'!$F$1,18)</f>
        <v>-9673400720</v>
      </c>
      <c r="J40" s="828"/>
      <c r="K40" s="57"/>
      <c r="L40" s="57"/>
      <c r="M40" s="57"/>
      <c r="N40" s="27"/>
      <c r="O40" s="28"/>
    </row>
    <row r="41" spans="1:44" ht="15" x14ac:dyDescent="0.2">
      <c r="A41" s="23"/>
      <c r="B41" s="2"/>
      <c r="C41" s="859"/>
      <c r="D41" s="859"/>
      <c r="E41" s="859"/>
      <c r="F41" s="859"/>
      <c r="G41" s="859"/>
      <c r="H41" s="27"/>
      <c r="I41" s="57"/>
      <c r="J41" s="57"/>
      <c r="K41" s="57"/>
      <c r="L41" s="57"/>
      <c r="M41" s="57"/>
      <c r="N41" s="27"/>
      <c r="O41" s="28"/>
    </row>
    <row r="42" spans="1:44" ht="15.75" thickBot="1" x14ac:dyDescent="0.25">
      <c r="A42" s="23"/>
      <c r="B42" s="2"/>
      <c r="C42" s="10"/>
      <c r="D42" s="10"/>
      <c r="E42" s="10"/>
      <c r="F42" s="10"/>
      <c r="G42" s="10"/>
      <c r="H42" s="27"/>
      <c r="I42" s="57"/>
      <c r="J42" s="57"/>
      <c r="K42" s="57"/>
      <c r="L42" s="57"/>
      <c r="M42" s="57"/>
      <c r="N42" s="27"/>
      <c r="O42" s="28"/>
    </row>
    <row r="43" spans="1:44" ht="16.5" thickBot="1" x14ac:dyDescent="0.25">
      <c r="A43" s="23"/>
      <c r="B43" s="2"/>
      <c r="C43" s="10" t="s">
        <v>787</v>
      </c>
      <c r="D43" s="10"/>
      <c r="E43" s="10"/>
      <c r="F43" s="10"/>
      <c r="G43" s="10"/>
      <c r="H43" s="27"/>
      <c r="I43" s="827" cm="1">
        <f t="array" ref="I43">INDEX(DataSheet4!$A$8:$AD$317,'Part 1'!$F$1,19)</f>
        <v>-4214089493</v>
      </c>
      <c r="J43" s="828"/>
      <c r="K43" s="57"/>
      <c r="L43" s="57"/>
      <c r="M43" s="57"/>
      <c r="N43" s="27"/>
      <c r="O43" s="28"/>
    </row>
    <row r="44" spans="1:44" ht="15" x14ac:dyDescent="0.2">
      <c r="A44" s="23"/>
      <c r="B44" s="2"/>
      <c r="C44" s="10" t="s">
        <v>1086</v>
      </c>
      <c r="D44" s="10"/>
      <c r="E44" s="10"/>
      <c r="F44" s="10"/>
      <c r="G44" s="10"/>
      <c r="H44" s="27"/>
      <c r="I44" s="27"/>
      <c r="J44" s="27"/>
      <c r="K44" s="27"/>
      <c r="L44" s="57"/>
      <c r="M44" s="57"/>
      <c r="N44" s="27"/>
      <c r="O44" s="28"/>
    </row>
    <row r="45" spans="1:44" ht="15.75" thickBot="1" x14ac:dyDescent="0.25">
      <c r="A45" s="23"/>
      <c r="B45" s="2"/>
      <c r="C45" s="10"/>
      <c r="D45" s="10"/>
      <c r="E45" s="10"/>
      <c r="F45" s="10"/>
      <c r="G45" s="10"/>
      <c r="H45" s="27"/>
      <c r="I45" s="57"/>
      <c r="J45" s="57"/>
      <c r="K45" s="57"/>
      <c r="L45" s="57"/>
      <c r="M45" s="57"/>
      <c r="N45" s="27"/>
      <c r="O45" s="28"/>
    </row>
    <row r="46" spans="1:44" ht="16.5" thickBot="1" x14ac:dyDescent="0.25">
      <c r="A46" s="23"/>
      <c r="B46" s="2"/>
      <c r="C46" s="859" t="s">
        <v>1087</v>
      </c>
      <c r="D46" s="859"/>
      <c r="E46" s="859"/>
      <c r="F46" s="859"/>
      <c r="G46" s="859"/>
      <c r="H46" s="27"/>
      <c r="I46" s="827" cm="1">
        <f t="array" ref="I46">INDEX(DataSheet4!$A$8:$AD$317,'Part 1'!$F$1,20)</f>
        <v>-11730201521</v>
      </c>
      <c r="J46" s="828"/>
      <c r="K46" s="57"/>
      <c r="L46" s="57"/>
      <c r="M46" s="57"/>
      <c r="N46" s="27"/>
      <c r="O46" s="28"/>
    </row>
    <row r="47" spans="1:44" ht="15" x14ac:dyDescent="0.2">
      <c r="A47" s="23"/>
      <c r="B47" s="2"/>
      <c r="C47" s="859"/>
      <c r="D47" s="859"/>
      <c r="E47" s="859"/>
      <c r="F47" s="859"/>
      <c r="G47" s="859"/>
      <c r="H47" s="27"/>
      <c r="I47" s="57"/>
      <c r="J47" s="57"/>
      <c r="K47" s="57"/>
      <c r="L47" s="57"/>
      <c r="M47" s="57"/>
      <c r="N47" s="27"/>
      <c r="O47" s="28"/>
    </row>
    <row r="48" spans="1:44" ht="15.75" thickBot="1" x14ac:dyDescent="0.25">
      <c r="A48" s="23"/>
      <c r="B48" s="2"/>
      <c r="C48" s="275"/>
      <c r="D48" s="275"/>
      <c r="E48" s="275"/>
      <c r="F48" s="275"/>
      <c r="G48" s="275"/>
      <c r="H48" s="27"/>
      <c r="I48" s="57"/>
      <c r="J48" s="57"/>
      <c r="K48" s="57"/>
      <c r="L48" s="57"/>
      <c r="M48" s="57"/>
      <c r="N48" s="27"/>
      <c r="O48" s="28"/>
      <c r="AR48" s="529" t="s">
        <v>772</v>
      </c>
    </row>
    <row r="49" spans="1:17" ht="16.5" thickBot="1" x14ac:dyDescent="0.25">
      <c r="A49" s="23"/>
      <c r="B49" s="2"/>
      <c r="C49" s="273" t="s">
        <v>788</v>
      </c>
      <c r="D49" s="275"/>
      <c r="E49" s="275"/>
      <c r="F49" s="275"/>
      <c r="G49" s="275"/>
      <c r="H49" s="27"/>
      <c r="I49" s="827" cm="1">
        <f t="array" ref="I49">INDEX(DataSheet4!$A$8:$AD$317,'Part 1'!$F$1,21)</f>
        <v>-236117281</v>
      </c>
      <c r="J49" s="828"/>
      <c r="K49" s="57"/>
      <c r="L49" s="57"/>
      <c r="M49" s="57"/>
      <c r="N49" s="27"/>
      <c r="O49" s="28"/>
    </row>
    <row r="50" spans="1:17" ht="15" x14ac:dyDescent="0.2">
      <c r="A50" s="23"/>
      <c r="B50" s="2"/>
      <c r="C50" s="273" t="s">
        <v>1088</v>
      </c>
      <c r="D50" s="275"/>
      <c r="E50" s="275"/>
      <c r="F50" s="275"/>
      <c r="G50" s="275"/>
      <c r="H50" s="27"/>
      <c r="I50" s="57"/>
      <c r="J50" s="57"/>
      <c r="K50" s="57"/>
      <c r="L50" s="57"/>
      <c r="M50" s="57"/>
      <c r="N50" s="27"/>
      <c r="O50" s="28"/>
    </row>
    <row r="51" spans="1:17" ht="15.75" thickBot="1" x14ac:dyDescent="0.25">
      <c r="A51" s="23"/>
      <c r="B51" s="2"/>
      <c r="C51" s="273"/>
      <c r="D51" s="275"/>
      <c r="E51" s="275"/>
      <c r="F51" s="275"/>
      <c r="G51" s="275"/>
      <c r="H51" s="27"/>
      <c r="I51" s="57"/>
      <c r="J51" s="57"/>
      <c r="K51" s="57"/>
      <c r="L51" s="57"/>
      <c r="M51" s="57"/>
      <c r="N51" s="27"/>
      <c r="O51" s="28"/>
    </row>
    <row r="52" spans="1:17" ht="16.5" thickBot="1" x14ac:dyDescent="0.25">
      <c r="A52" s="23"/>
      <c r="B52" s="310"/>
      <c r="C52" s="10" t="s">
        <v>789</v>
      </c>
      <c r="D52" s="10"/>
      <c r="E52" s="10"/>
      <c r="F52" s="10"/>
      <c r="G52" s="10"/>
      <c r="H52" s="27"/>
      <c r="I52" s="827" cm="1">
        <f t="array" ref="I52">INDEX(DataSheet4!$A$8:$AD$317,'Part 1'!$F$1,22)</f>
        <v>-22952757</v>
      </c>
      <c r="J52" s="828"/>
      <c r="K52" s="2"/>
      <c r="L52" s="57"/>
      <c r="M52" s="57"/>
      <c r="N52" s="27"/>
      <c r="O52" s="28"/>
    </row>
    <row r="53" spans="1:17" ht="16.5" thickBot="1" x14ac:dyDescent="0.25">
      <c r="A53" s="23"/>
      <c r="B53" s="2"/>
      <c r="C53" s="10"/>
      <c r="D53" s="10"/>
      <c r="E53" s="10"/>
      <c r="F53" s="10"/>
      <c r="G53" s="10"/>
      <c r="H53" s="27"/>
      <c r="I53" s="58"/>
      <c r="J53" s="58"/>
      <c r="K53" s="57"/>
      <c r="L53" s="57"/>
      <c r="M53" s="57"/>
      <c r="N53" s="27"/>
      <c r="O53" s="28"/>
    </row>
    <row r="54" spans="1:17" ht="16.5" thickBot="1" x14ac:dyDescent="0.25">
      <c r="A54" s="23"/>
      <c r="B54" s="2"/>
      <c r="C54" s="10" t="s">
        <v>1089</v>
      </c>
      <c r="D54" s="10"/>
      <c r="E54" s="10"/>
      <c r="F54" s="10"/>
      <c r="G54" s="10"/>
      <c r="H54" s="27"/>
      <c r="I54" s="827" cm="1">
        <f t="array" ref="I54">INDEX(DataSheet4!$A$8:$AD$317,'Part 1'!$F$1,23)</f>
        <v>-620555570</v>
      </c>
      <c r="J54" s="828"/>
      <c r="K54" s="57"/>
      <c r="L54" s="57"/>
      <c r="M54" s="57"/>
      <c r="N54" s="27"/>
      <c r="O54" s="28"/>
    </row>
    <row r="55" spans="1:17" ht="16.5" thickBot="1" x14ac:dyDescent="0.25">
      <c r="A55" s="23"/>
      <c r="B55" s="2"/>
      <c r="C55" s="10"/>
      <c r="D55" s="10"/>
      <c r="E55" s="10"/>
      <c r="F55" s="10"/>
      <c r="G55" s="10"/>
      <c r="H55" s="27"/>
      <c r="I55" s="204"/>
      <c r="J55" s="58"/>
      <c r="K55" s="57"/>
      <c r="L55" s="57"/>
      <c r="M55" s="57"/>
      <c r="N55" s="27"/>
      <c r="O55" s="28"/>
    </row>
    <row r="56" spans="1:17" ht="16.5" thickBot="1" x14ac:dyDescent="0.3">
      <c r="A56" s="23"/>
      <c r="B56" s="2"/>
      <c r="C56" s="13" t="s">
        <v>790</v>
      </c>
      <c r="D56" s="10"/>
      <c r="E56" s="10"/>
      <c r="F56" s="10"/>
      <c r="G56" s="10"/>
      <c r="H56" s="27"/>
      <c r="I56" s="57"/>
      <c r="J56" s="57"/>
      <c r="K56" s="57"/>
      <c r="L56" s="888" cm="1">
        <f t="array" ref="L56">INDEX(DataSheet4!$A$8:$AD$317,'Part 1'!$F$1,24)</f>
        <v>-26676979339</v>
      </c>
      <c r="M56" s="889"/>
      <c r="N56" s="56"/>
      <c r="O56" s="51"/>
    </row>
    <row r="57" spans="1:17" s="528" customFormat="1" ht="16.5" thickBot="1" x14ac:dyDescent="0.3">
      <c r="A57" s="23"/>
      <c r="B57" s="2"/>
      <c r="C57" s="13"/>
      <c r="D57" s="10"/>
      <c r="E57" s="10"/>
      <c r="F57" s="10"/>
      <c r="G57" s="10"/>
      <c r="H57" s="27"/>
      <c r="I57" s="57"/>
      <c r="J57" s="57"/>
      <c r="K57" s="57"/>
      <c r="L57" s="597"/>
      <c r="M57" s="458"/>
      <c r="N57" s="596"/>
      <c r="O57" s="470"/>
    </row>
    <row r="58" spans="1:17" s="528" customFormat="1" ht="16.5" thickBot="1" x14ac:dyDescent="0.3">
      <c r="A58" s="23"/>
      <c r="B58" s="2"/>
      <c r="C58" s="13" t="s">
        <v>1146</v>
      </c>
      <c r="D58" s="10"/>
      <c r="E58" s="10"/>
      <c r="F58" s="10"/>
      <c r="G58" s="10"/>
      <c r="H58" s="27"/>
      <c r="I58" s="57"/>
      <c r="J58" s="57"/>
      <c r="K58" s="57"/>
      <c r="L58" s="888" cm="1">
        <f t="array" ref="L58">INDEX(DataSheet4!$A$8:$AD$317,'Part 1'!$F$1,25)</f>
        <v>1130856068</v>
      </c>
      <c r="M58" s="889"/>
      <c r="N58" s="596"/>
      <c r="O58" s="470"/>
    </row>
    <row r="59" spans="1:17" ht="16.5" thickBot="1" x14ac:dyDescent="0.3">
      <c r="A59" s="23"/>
      <c r="B59" s="2"/>
      <c r="C59" s="26"/>
      <c r="D59" s="27"/>
      <c r="E59" s="27"/>
      <c r="F59" s="27"/>
      <c r="G59" s="27"/>
      <c r="H59" s="27"/>
      <c r="I59" s="57"/>
      <c r="J59" s="57"/>
      <c r="K59" s="57"/>
      <c r="L59" s="57"/>
      <c r="M59" s="57"/>
      <c r="N59" s="56"/>
      <c r="O59" s="28"/>
    </row>
    <row r="60" spans="1:17" ht="15.75" x14ac:dyDescent="0.25">
      <c r="A60" s="23"/>
      <c r="B60" s="111"/>
      <c r="C60" s="112"/>
      <c r="D60" s="113"/>
      <c r="E60" s="113"/>
      <c r="F60" s="113"/>
      <c r="G60" s="113"/>
      <c r="H60" s="113"/>
      <c r="I60" s="114"/>
      <c r="J60" s="114"/>
      <c r="K60" s="114"/>
      <c r="L60" s="114"/>
      <c r="M60" s="114"/>
      <c r="N60" s="115"/>
      <c r="O60" s="28"/>
    </row>
    <row r="61" spans="1:17" ht="15.75" x14ac:dyDescent="0.25">
      <c r="A61" s="23"/>
      <c r="B61" s="116"/>
      <c r="C61" s="20" t="s">
        <v>1090</v>
      </c>
      <c r="D61" s="31"/>
      <c r="E61" s="31"/>
      <c r="F61" s="31"/>
      <c r="G61" s="31"/>
      <c r="H61" s="31"/>
      <c r="I61" s="65"/>
      <c r="J61" s="65"/>
      <c r="K61" s="65"/>
      <c r="L61" s="65"/>
      <c r="M61" s="65"/>
      <c r="N61" s="117"/>
      <c r="O61" s="28"/>
    </row>
    <row r="62" spans="1:17" ht="16.5" thickBot="1" x14ac:dyDescent="0.25">
      <c r="A62" s="23"/>
      <c r="B62" s="116"/>
      <c r="C62" s="465"/>
      <c r="D62" s="31"/>
      <c r="E62" s="31"/>
      <c r="F62" s="31"/>
      <c r="G62" s="31"/>
      <c r="H62" s="31"/>
      <c r="I62" s="65"/>
      <c r="J62" s="65"/>
      <c r="K62" s="65"/>
      <c r="L62" s="1004" t="s">
        <v>577</v>
      </c>
      <c r="M62" s="1004"/>
      <c r="N62" s="117"/>
      <c r="O62" s="28"/>
    </row>
    <row r="63" spans="1:17" ht="16.5" thickBot="1" x14ac:dyDescent="0.25">
      <c r="A63" s="23"/>
      <c r="B63" s="116"/>
      <c r="C63" s="8" t="s">
        <v>1109</v>
      </c>
      <c r="D63" s="31"/>
      <c r="E63" s="31"/>
      <c r="F63" s="31"/>
      <c r="G63" s="31"/>
      <c r="H63" s="31"/>
      <c r="I63" s="65"/>
      <c r="J63" s="65"/>
      <c r="K63" s="65"/>
      <c r="L63" s="965" cm="1">
        <f t="array" ref="L63">INDEX(DataSheet4!$A$8:$AD$317,'Part 1'!$F$1,26)</f>
        <v>-11194037255</v>
      </c>
      <c r="M63" s="966"/>
      <c r="N63" s="118"/>
      <c r="O63" s="51"/>
      <c r="Q63" s="277"/>
    </row>
    <row r="64" spans="1:17" ht="16.5" thickBot="1" x14ac:dyDescent="0.3">
      <c r="A64" s="23"/>
      <c r="B64" s="119"/>
      <c r="C64" s="120"/>
      <c r="D64" s="121"/>
      <c r="E64" s="121"/>
      <c r="F64" s="641"/>
      <c r="G64" s="121"/>
      <c r="H64" s="121"/>
      <c r="I64" s="121"/>
      <c r="J64" s="640"/>
      <c r="K64" s="121"/>
      <c r="L64" s="274"/>
      <c r="M64" s="121"/>
      <c r="N64" s="122"/>
      <c r="O64" s="28"/>
    </row>
    <row r="65" spans="1:15" ht="15.75" x14ac:dyDescent="0.25">
      <c r="A65" s="23"/>
      <c r="B65" s="2"/>
      <c r="C65" s="26"/>
      <c r="D65" s="27"/>
      <c r="E65" s="27"/>
      <c r="F65" s="27"/>
      <c r="G65" s="27"/>
      <c r="H65" s="27"/>
      <c r="I65" s="27"/>
      <c r="J65" s="27"/>
      <c r="K65" s="27"/>
      <c r="L65" s="27"/>
      <c r="M65" s="27"/>
      <c r="N65" s="27"/>
      <c r="O65" s="28"/>
    </row>
    <row r="66" spans="1:15" s="528" customFormat="1" ht="15.75" hidden="1" customHeight="1" thickBot="1" x14ac:dyDescent="0.3">
      <c r="A66" s="23"/>
      <c r="B66" s="2"/>
      <c r="C66" s="578"/>
      <c r="D66" s="578"/>
      <c r="E66" s="578"/>
      <c r="F66" s="578"/>
      <c r="G66" s="578"/>
      <c r="H66" s="578"/>
      <c r="I66" s="578"/>
      <c r="J66" s="578"/>
      <c r="K66" s="578"/>
      <c r="L66" s="578"/>
      <c r="M66" s="578"/>
      <c r="N66" s="577"/>
      <c r="O66" s="123"/>
    </row>
    <row r="67" spans="1:15" ht="16.5" hidden="1" thickBot="1" x14ac:dyDescent="0.3">
      <c r="A67" s="23"/>
      <c r="B67" s="2"/>
      <c r="C67" s="302"/>
      <c r="D67" s="302"/>
      <c r="E67" s="266" t="s">
        <v>778</v>
      </c>
      <c r="F67" s="124"/>
      <c r="G67" s="125"/>
      <c r="H67" s="125"/>
      <c r="I67" s="125"/>
      <c r="J67" s="125"/>
      <c r="K67" s="125"/>
      <c r="L67" s="125"/>
      <c r="M67" s="126"/>
      <c r="N67" s="302"/>
      <c r="O67" s="123"/>
    </row>
    <row r="68" spans="1:15" ht="13.5" thickBot="1" x14ac:dyDescent="0.25">
      <c r="A68" s="24"/>
      <c r="B68" s="25"/>
      <c r="C68" s="25"/>
      <c r="D68" s="25"/>
      <c r="E68" s="25"/>
      <c r="F68" s="25"/>
      <c r="G68" s="25"/>
      <c r="H68" s="25"/>
      <c r="I68" s="25"/>
      <c r="J68" s="25"/>
      <c r="K68" s="25"/>
      <c r="L68" s="25"/>
      <c r="M68" s="25"/>
      <c r="N68" s="25"/>
      <c r="O68" s="52"/>
    </row>
    <row r="70" spans="1:15" x14ac:dyDescent="0.2">
      <c r="C70" s="242"/>
      <c r="D70" s="242"/>
    </row>
    <row r="71" spans="1:15" x14ac:dyDescent="0.2">
      <c r="C71" s="221"/>
      <c r="D71" s="242"/>
    </row>
    <row r="72" spans="1:15" x14ac:dyDescent="0.2">
      <c r="C72" s="221"/>
      <c r="D72" s="242"/>
    </row>
    <row r="73" spans="1:15" x14ac:dyDescent="0.2">
      <c r="C73" s="221"/>
      <c r="D73" s="242"/>
    </row>
    <row r="74" spans="1:15" x14ac:dyDescent="0.2">
      <c r="C74" s="242"/>
      <c r="D74" s="242"/>
    </row>
    <row r="75" spans="1:15" x14ac:dyDescent="0.2">
      <c r="C75" s="242"/>
      <c r="D75" s="242"/>
    </row>
    <row r="76" spans="1:15" x14ac:dyDescent="0.2">
      <c r="C76" s="242"/>
      <c r="D76" s="242"/>
    </row>
    <row r="77" spans="1:15" x14ac:dyDescent="0.2">
      <c r="C77" s="242"/>
      <c r="D77" s="242"/>
    </row>
  </sheetData>
  <mergeCells count="31">
    <mergeCell ref="I43:J43"/>
    <mergeCell ref="I46:J46"/>
    <mergeCell ref="C40:G41"/>
    <mergeCell ref="I38:J38"/>
    <mergeCell ref="I40:J40"/>
    <mergeCell ref="I52:J52"/>
    <mergeCell ref="L63:M63"/>
    <mergeCell ref="C46:G47"/>
    <mergeCell ref="L62:M62"/>
    <mergeCell ref="L56:M56"/>
    <mergeCell ref="I49:J49"/>
    <mergeCell ref="I54:J54"/>
    <mergeCell ref="L58:M58"/>
    <mergeCell ref="A2:O2"/>
    <mergeCell ref="C7:D7"/>
    <mergeCell ref="A3:O3"/>
    <mergeCell ref="A5:O5"/>
    <mergeCell ref="L12:M12"/>
    <mergeCell ref="I12:J12"/>
    <mergeCell ref="I31:J31"/>
    <mergeCell ref="L35:M35"/>
    <mergeCell ref="I16:J16"/>
    <mergeCell ref="C10:E10"/>
    <mergeCell ref="I18:J18"/>
    <mergeCell ref="I24:J24"/>
    <mergeCell ref="I22:J22"/>
    <mergeCell ref="I20:J20"/>
    <mergeCell ref="L13:M13"/>
    <mergeCell ref="L26:M26"/>
    <mergeCell ref="I29:J29"/>
    <mergeCell ref="I33:J33"/>
  </mergeCells>
  <phoneticPr fontId="6" type="noConversion"/>
  <conditionalFormatting sqref="O63 O56:O58 O35 O26">
    <cfRule type="expression" dxfId="1" priority="369">
      <formula>AND(#REF!=0)=FALSE</formula>
    </cfRule>
  </conditionalFormatting>
  <printOptions horizontalCentered="1" verticalCentered="1"/>
  <pageMargins left="0.39370078740157483" right="0.39370078740157483" top="0.59055118110236227" bottom="0.59055118110236227" header="0.51181102362204722" footer="0.51181102362204722"/>
  <pageSetup paperSize="9" scale="5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AB5A2-6CAF-4591-9CAA-3706AA645B8F}">
  <sheetPr codeName="Sheet20"/>
  <dimension ref="A1:U60"/>
  <sheetViews>
    <sheetView workbookViewId="0">
      <selection activeCell="C8" sqref="C8"/>
    </sheetView>
  </sheetViews>
  <sheetFormatPr defaultRowHeight="12.75" x14ac:dyDescent="0.2"/>
  <cols>
    <col min="1" max="2" width="1.7109375" style="528" customWidth="1"/>
    <col min="3" max="4" width="14.28515625" style="528" customWidth="1"/>
    <col min="5" max="5" width="33.7109375" style="528" customWidth="1"/>
    <col min="6" max="7" width="11.42578125" style="528" customWidth="1"/>
    <col min="8" max="8" width="3.7109375" style="528" customWidth="1"/>
    <col min="9" max="10" width="11.42578125" style="528" customWidth="1"/>
    <col min="11" max="11" width="5.28515625" style="528" customWidth="1"/>
    <col min="12" max="13" width="11.5703125" style="528" customWidth="1"/>
    <col min="14" max="14" width="5.28515625" style="528" customWidth="1"/>
    <col min="15" max="16" width="11.5703125" style="528" customWidth="1"/>
    <col min="17" max="17" width="5.28515625" style="528" customWidth="1"/>
    <col min="18" max="19" width="11.5703125" style="528" customWidth="1"/>
    <col min="20" max="21" width="1.7109375" style="528" customWidth="1"/>
    <col min="22" max="16384" width="9.140625" style="528"/>
  </cols>
  <sheetData>
    <row r="1" spans="1:21" ht="15" x14ac:dyDescent="0.2">
      <c r="A1" s="623"/>
      <c r="B1" s="622"/>
      <c r="C1" s="622"/>
      <c r="D1" s="622"/>
      <c r="E1" s="622"/>
      <c r="F1" s="622"/>
      <c r="G1" s="622"/>
      <c r="H1" s="622"/>
      <c r="I1" s="622"/>
      <c r="J1" s="622"/>
      <c r="K1" s="622"/>
      <c r="L1" s="622"/>
      <c r="M1" s="622"/>
      <c r="N1" s="622"/>
      <c r="O1" s="622"/>
      <c r="P1" s="622"/>
      <c r="Q1" s="622"/>
      <c r="R1" s="622"/>
      <c r="S1" s="622"/>
      <c r="T1" s="622"/>
      <c r="U1" s="621"/>
    </row>
    <row r="2" spans="1:21" ht="15.75" x14ac:dyDescent="0.25">
      <c r="A2" s="892" t="s">
        <v>610</v>
      </c>
      <c r="B2" s="1017"/>
      <c r="C2" s="1017"/>
      <c r="D2" s="1017"/>
      <c r="E2" s="1017"/>
      <c r="F2" s="1017"/>
      <c r="G2" s="1017"/>
      <c r="H2" s="1017"/>
      <c r="I2" s="1017"/>
      <c r="J2" s="1017"/>
      <c r="K2" s="1017"/>
      <c r="L2" s="1017"/>
      <c r="M2" s="1017"/>
      <c r="N2" s="1017"/>
      <c r="O2" s="1017"/>
      <c r="P2" s="1017"/>
      <c r="Q2" s="1017"/>
      <c r="R2" s="1017"/>
      <c r="S2" s="1017"/>
      <c r="T2" s="1017"/>
      <c r="U2" s="1018"/>
    </row>
    <row r="3" spans="1:21" ht="15.75" x14ac:dyDescent="0.25">
      <c r="A3" s="892" t="s">
        <v>1060</v>
      </c>
      <c r="B3" s="1019"/>
      <c r="C3" s="1019"/>
      <c r="D3" s="1019"/>
      <c r="E3" s="1019"/>
      <c r="F3" s="1019"/>
      <c r="G3" s="1019"/>
      <c r="H3" s="1019"/>
      <c r="I3" s="1019"/>
      <c r="J3" s="1019"/>
      <c r="K3" s="1019"/>
      <c r="L3" s="1019"/>
      <c r="M3" s="1019"/>
      <c r="N3" s="1019"/>
      <c r="O3" s="1019"/>
      <c r="P3" s="1019"/>
      <c r="Q3" s="1019"/>
      <c r="R3" s="1019"/>
      <c r="S3" s="1019"/>
      <c r="T3" s="1019"/>
      <c r="U3" s="1020"/>
    </row>
    <row r="4" spans="1:21" ht="15.75" x14ac:dyDescent="0.25">
      <c r="A4" s="598"/>
      <c r="B4" s="620"/>
      <c r="C4" s="620"/>
      <c r="D4" s="620"/>
      <c r="E4" s="620"/>
      <c r="F4" s="620"/>
      <c r="G4" s="620"/>
      <c r="H4" s="620"/>
      <c r="I4" s="620"/>
      <c r="J4" s="620"/>
      <c r="K4" s="620"/>
      <c r="L4" s="620"/>
      <c r="M4" s="620"/>
      <c r="N4" s="620"/>
      <c r="O4" s="620"/>
      <c r="P4" s="620"/>
      <c r="Q4" s="620"/>
      <c r="R4" s="620"/>
      <c r="S4" s="620"/>
      <c r="T4" s="620"/>
      <c r="U4" s="619"/>
    </row>
    <row r="5" spans="1:21" ht="15" x14ac:dyDescent="0.2">
      <c r="A5" s="899" t="s">
        <v>775</v>
      </c>
      <c r="B5" s="1021"/>
      <c r="C5" s="1021"/>
      <c r="D5" s="1021"/>
      <c r="E5" s="1021"/>
      <c r="F5" s="1021"/>
      <c r="G5" s="1021"/>
      <c r="H5" s="1021"/>
      <c r="I5" s="1021"/>
      <c r="J5" s="1021"/>
      <c r="K5" s="1021"/>
      <c r="L5" s="1021"/>
      <c r="M5" s="1021"/>
      <c r="N5" s="1021"/>
      <c r="O5" s="1021"/>
      <c r="P5" s="1021"/>
      <c r="Q5" s="1021"/>
      <c r="R5" s="1021"/>
      <c r="S5" s="1021"/>
      <c r="T5" s="1021"/>
      <c r="U5" s="1022"/>
    </row>
    <row r="6" spans="1:21" ht="15.75" thickBot="1" x14ac:dyDescent="0.25">
      <c r="A6" s="618"/>
      <c r="B6" s="617"/>
      <c r="C6" s="617"/>
      <c r="D6" s="617"/>
      <c r="E6" s="617"/>
      <c r="F6" s="617"/>
      <c r="G6" s="617"/>
      <c r="H6" s="617"/>
      <c r="I6" s="617"/>
      <c r="J6" s="617"/>
      <c r="K6" s="617"/>
      <c r="L6" s="312" t="s">
        <v>792</v>
      </c>
      <c r="M6" s="472">
        <f>+'Part 1'!X19</f>
        <v>1.1000000000000001</v>
      </c>
      <c r="N6" s="617"/>
      <c r="O6" s="312"/>
      <c r="P6" s="472"/>
      <c r="Q6" s="617"/>
      <c r="R6" s="312"/>
      <c r="S6" s="472"/>
      <c r="T6" s="617"/>
      <c r="U6" s="616"/>
    </row>
    <row r="7" spans="1:21" x14ac:dyDescent="0.2">
      <c r="A7" s="23"/>
      <c r="B7" s="601"/>
      <c r="C7" s="1023"/>
      <c r="D7" s="1023"/>
      <c r="E7" s="615"/>
      <c r="F7" s="615"/>
      <c r="G7" s="601"/>
      <c r="H7" s="601"/>
      <c r="I7" s="614"/>
      <c r="J7" s="601"/>
      <c r="K7" s="601"/>
      <c r="L7" s="601"/>
      <c r="M7" s="601"/>
      <c r="N7" s="601"/>
      <c r="O7" s="601"/>
      <c r="P7" s="601"/>
      <c r="Q7" s="601"/>
      <c r="R7" s="601"/>
      <c r="S7" s="601"/>
      <c r="T7" s="601"/>
      <c r="U7" s="470"/>
    </row>
    <row r="8" spans="1:21" ht="18" x14ac:dyDescent="0.25">
      <c r="A8" s="613"/>
      <c r="B8" s="599"/>
      <c r="C8" s="612" t="str">
        <f>+CONCATENATE("Local Authority : ",+'Part 1'!L14)</f>
        <v>Local Authority : England</v>
      </c>
      <c r="D8" s="612"/>
      <c r="E8" s="612"/>
      <c r="F8" s="612"/>
      <c r="G8" s="599"/>
      <c r="H8" s="599"/>
      <c r="I8" s="599"/>
      <c r="J8" s="599"/>
      <c r="K8" s="599"/>
      <c r="L8" s="599"/>
      <c r="M8" s="599"/>
      <c r="N8" s="599"/>
      <c r="O8" s="599"/>
      <c r="P8" s="599"/>
      <c r="Q8" s="599"/>
      <c r="R8" s="599"/>
      <c r="S8" s="599"/>
      <c r="T8" s="599"/>
      <c r="U8" s="477"/>
    </row>
    <row r="9" spans="1:21" ht="15.75" x14ac:dyDescent="0.25">
      <c r="A9" s="611"/>
      <c r="B9" s="610"/>
      <c r="C9" s="610"/>
      <c r="D9" s="610"/>
      <c r="E9" s="610"/>
      <c r="F9" s="610"/>
      <c r="G9" s="602"/>
      <c r="H9" s="599"/>
      <c r="I9" s="599"/>
      <c r="J9" s="599"/>
      <c r="K9" s="599"/>
      <c r="L9" s="599"/>
      <c r="M9" s="599"/>
      <c r="N9" s="599"/>
      <c r="O9" s="599"/>
      <c r="P9" s="599"/>
      <c r="Q9" s="599"/>
      <c r="R9" s="599"/>
      <c r="S9" s="599"/>
      <c r="T9" s="599"/>
      <c r="U9" s="477"/>
    </row>
    <row r="10" spans="1:21" ht="54" customHeight="1" x14ac:dyDescent="0.2">
      <c r="A10" s="23"/>
      <c r="B10" s="601"/>
      <c r="C10" s="1011" t="s">
        <v>1110</v>
      </c>
      <c r="D10" s="1011"/>
      <c r="E10" s="1011"/>
      <c r="F10" s="599"/>
      <c r="G10" s="599"/>
      <c r="H10" s="599"/>
      <c r="I10" s="599"/>
      <c r="J10" s="599"/>
      <c r="K10" s="599"/>
      <c r="L10" s="599"/>
      <c r="M10" s="599"/>
      <c r="N10" s="599"/>
      <c r="O10" s="599"/>
      <c r="P10" s="599"/>
      <c r="Q10" s="599"/>
      <c r="R10" s="599"/>
      <c r="S10" s="599"/>
      <c r="T10" s="599"/>
      <c r="U10" s="477"/>
    </row>
    <row r="11" spans="1:21" ht="15.75" x14ac:dyDescent="0.2">
      <c r="A11" s="23"/>
      <c r="B11" s="601"/>
      <c r="C11" s="1011"/>
      <c r="D11" s="1011"/>
      <c r="E11" s="1011"/>
      <c r="F11" s="599"/>
      <c r="G11" s="599"/>
      <c r="H11" s="599"/>
      <c r="I11" s="599"/>
      <c r="J11" s="599"/>
      <c r="K11" s="599"/>
      <c r="L11" s="599"/>
      <c r="M11" s="599"/>
      <c r="N11" s="599"/>
      <c r="O11" s="601"/>
      <c r="P11" s="601"/>
      <c r="Q11" s="599"/>
      <c r="R11" s="601"/>
      <c r="S11" s="601"/>
      <c r="T11" s="599"/>
      <c r="U11" s="477"/>
    </row>
    <row r="12" spans="1:21" ht="15.75" x14ac:dyDescent="0.25">
      <c r="A12" s="23"/>
      <c r="B12" s="601"/>
      <c r="C12" s="602" t="s">
        <v>1111</v>
      </c>
      <c r="D12" s="599"/>
      <c r="E12" s="599"/>
      <c r="F12" s="599"/>
      <c r="G12" s="599"/>
      <c r="H12" s="599"/>
      <c r="I12" s="599"/>
      <c r="J12" s="599"/>
      <c r="K12" s="599"/>
      <c r="L12" s="599"/>
      <c r="M12" s="599"/>
      <c r="N12" s="599"/>
      <c r="O12" s="599"/>
      <c r="P12" s="599"/>
      <c r="Q12" s="599"/>
      <c r="R12" s="599"/>
      <c r="S12" s="599"/>
      <c r="T12" s="599"/>
      <c r="U12" s="477"/>
    </row>
    <row r="13" spans="1:21" ht="16.5" thickBot="1" x14ac:dyDescent="0.25">
      <c r="A13" s="23"/>
      <c r="B13" s="601"/>
      <c r="C13" s="1011"/>
      <c r="D13" s="1011"/>
      <c r="E13" s="1011"/>
      <c r="F13" s="599"/>
      <c r="G13" s="599"/>
      <c r="H13" s="599"/>
      <c r="I13" s="599"/>
      <c r="J13" s="599"/>
      <c r="K13" s="599"/>
      <c r="L13" s="599"/>
      <c r="M13" s="599"/>
      <c r="N13" s="599"/>
      <c r="O13" s="601"/>
      <c r="P13" s="601"/>
      <c r="Q13" s="599"/>
      <c r="R13" s="601"/>
      <c r="S13" s="601"/>
      <c r="T13" s="599"/>
      <c r="U13" s="477"/>
    </row>
    <row r="14" spans="1:21" ht="16.5" thickBot="1" x14ac:dyDescent="0.25">
      <c r="A14" s="23"/>
      <c r="B14" s="601"/>
      <c r="C14" s="599" t="s">
        <v>1112</v>
      </c>
      <c r="D14" s="599"/>
      <c r="E14" s="599"/>
      <c r="F14" s="599"/>
      <c r="G14" s="599"/>
      <c r="H14" s="599"/>
      <c r="I14" s="599"/>
      <c r="J14" s="599"/>
      <c r="K14" s="599"/>
      <c r="L14" s="1005" cm="1">
        <f t="array" ref="L14">INDEX(DataSheet4a!$A$8:$AZ$317,'Part 1'!$F$1,6)</f>
        <v>-12324893325</v>
      </c>
      <c r="M14" s="1006"/>
      <c r="N14" s="599"/>
      <c r="O14" s="599"/>
      <c r="P14" s="599"/>
      <c r="Q14" s="599"/>
      <c r="R14" s="599"/>
      <c r="S14" s="599"/>
      <c r="T14" s="599"/>
      <c r="U14" s="477"/>
    </row>
    <row r="15" spans="1:21" ht="15.75" thickBot="1" x14ac:dyDescent="0.25">
      <c r="A15" s="23"/>
      <c r="B15" s="601"/>
      <c r="C15" s="599"/>
      <c r="D15" s="599"/>
      <c r="E15" s="599"/>
      <c r="F15" s="599"/>
      <c r="G15" s="599"/>
      <c r="H15" s="599"/>
      <c r="I15" s="599"/>
      <c r="J15" s="599"/>
      <c r="K15" s="599"/>
      <c r="L15" s="599"/>
      <c r="M15" s="599"/>
      <c r="N15" s="599"/>
      <c r="O15" s="599"/>
      <c r="P15" s="599"/>
      <c r="Q15" s="599"/>
      <c r="R15" s="599"/>
      <c r="S15" s="599"/>
      <c r="T15" s="599"/>
      <c r="U15" s="477"/>
    </row>
    <row r="16" spans="1:21" ht="16.5" customHeight="1" thickBot="1" x14ac:dyDescent="0.25">
      <c r="A16" s="23"/>
      <c r="B16" s="601"/>
      <c r="C16" s="609" t="s">
        <v>1123</v>
      </c>
      <c r="D16" s="609"/>
      <c r="E16" s="609"/>
      <c r="F16" s="599"/>
      <c r="G16" s="599"/>
      <c r="H16" s="599"/>
      <c r="I16" s="599"/>
      <c r="J16" s="599"/>
      <c r="K16" s="599"/>
      <c r="L16" s="1005" cm="1">
        <f t="array" ref="L16">INDEX(DataSheet4a!$A$8:$AZ$317,'Part 1'!$F$1,7)</f>
        <v>-62786550</v>
      </c>
      <c r="M16" s="1006"/>
      <c r="N16" s="599"/>
      <c r="O16" s="599"/>
      <c r="P16" s="599"/>
      <c r="Q16" s="599"/>
      <c r="R16" s="599"/>
      <c r="S16" s="599"/>
      <c r="T16" s="599"/>
      <c r="U16" s="477"/>
    </row>
    <row r="17" spans="1:21" ht="16.5" thickBot="1" x14ac:dyDescent="0.3">
      <c r="A17" s="23"/>
      <c r="B17" s="601"/>
      <c r="C17" s="602"/>
      <c r="D17" s="599"/>
      <c r="E17" s="599"/>
      <c r="F17" s="599"/>
      <c r="G17" s="599"/>
      <c r="H17" s="599"/>
      <c r="I17" s="599"/>
      <c r="J17" s="599"/>
      <c r="K17" s="599"/>
      <c r="L17" s="599"/>
      <c r="M17" s="599"/>
      <c r="N17" s="599"/>
      <c r="O17" s="599"/>
      <c r="P17" s="599"/>
      <c r="Q17" s="599"/>
      <c r="R17" s="599"/>
      <c r="S17" s="599"/>
      <c r="T17" s="599"/>
      <c r="U17" s="477"/>
    </row>
    <row r="18" spans="1:21" ht="15.75" customHeight="1" thickBot="1" x14ac:dyDescent="0.25">
      <c r="A18" s="23"/>
      <c r="B18" s="601"/>
      <c r="C18" s="609" t="s">
        <v>1167</v>
      </c>
      <c r="D18" s="609"/>
      <c r="E18" s="609"/>
      <c r="F18" s="599"/>
      <c r="G18" s="599"/>
      <c r="H18" s="599"/>
      <c r="I18" s="1024" cm="1">
        <f t="array" ref="I18">INDEX(DataSheet4a!$A$8:$AZ$317,'Part 1'!$F$1,8)</f>
        <v>11140459226</v>
      </c>
      <c r="J18" s="1025"/>
      <c r="K18" s="644"/>
      <c r="L18" s="599"/>
      <c r="M18" s="599"/>
      <c r="N18" s="599"/>
      <c r="O18" s="599"/>
      <c r="P18" s="599"/>
      <c r="Q18" s="599"/>
      <c r="R18" s="599"/>
      <c r="S18" s="599"/>
      <c r="T18" s="599"/>
      <c r="U18" s="477"/>
    </row>
    <row r="19" spans="1:21" ht="16.5" thickBot="1" x14ac:dyDescent="0.3">
      <c r="A19" s="23"/>
      <c r="B19" s="601"/>
      <c r="C19" s="602"/>
      <c r="D19" s="599"/>
      <c r="E19" s="599"/>
      <c r="F19" s="599"/>
      <c r="G19" s="599"/>
      <c r="H19" s="599"/>
      <c r="I19" s="644"/>
      <c r="J19" s="599"/>
      <c r="K19" s="599"/>
      <c r="L19" s="599"/>
      <c r="M19" s="599"/>
      <c r="N19" s="599"/>
      <c r="O19" s="599"/>
      <c r="P19" s="599"/>
      <c r="Q19" s="599"/>
      <c r="R19" s="599"/>
      <c r="S19" s="599"/>
      <c r="T19" s="599"/>
      <c r="U19" s="477"/>
    </row>
    <row r="20" spans="1:21" ht="16.5" thickBot="1" x14ac:dyDescent="0.3">
      <c r="A20" s="23"/>
      <c r="B20" s="601"/>
      <c r="C20" s="602" t="s">
        <v>1149</v>
      </c>
      <c r="D20" s="599"/>
      <c r="E20" s="599"/>
      <c r="F20" s="599"/>
      <c r="G20" s="599"/>
      <c r="H20" s="599"/>
      <c r="I20" s="1005" cm="1">
        <f t="array" ref="I20">INDEX(DataSheet4a!$A$8:$AZ$317,'Part 1'!$F$1,9)</f>
        <v>495106469</v>
      </c>
      <c r="J20" s="1006"/>
      <c r="K20" s="599"/>
      <c r="L20" s="599"/>
      <c r="M20" s="599"/>
      <c r="N20" s="599"/>
      <c r="O20" s="601"/>
      <c r="P20" s="601"/>
      <c r="Q20" s="599"/>
      <c r="R20" s="601"/>
      <c r="S20" s="601"/>
      <c r="T20" s="599"/>
      <c r="U20" s="477"/>
    </row>
    <row r="21" spans="1:21" ht="16.5" thickBot="1" x14ac:dyDescent="0.25">
      <c r="A21" s="23"/>
      <c r="B21" s="601"/>
      <c r="C21" s="1011"/>
      <c r="D21" s="1011"/>
      <c r="E21" s="1011"/>
      <c r="F21" s="599"/>
      <c r="G21" s="599"/>
      <c r="H21" s="599"/>
      <c r="I21" s="599"/>
      <c r="J21" s="599"/>
      <c r="K21" s="599"/>
      <c r="L21" s="599"/>
      <c r="M21" s="599"/>
      <c r="N21" s="599"/>
      <c r="O21" s="599"/>
      <c r="P21" s="599"/>
      <c r="Q21" s="599"/>
      <c r="R21" s="599"/>
      <c r="S21" s="599"/>
      <c r="T21" s="599"/>
      <c r="U21" s="477"/>
    </row>
    <row r="22" spans="1:21" ht="16.5" thickBot="1" x14ac:dyDescent="0.25">
      <c r="A22" s="23"/>
      <c r="B22" s="601"/>
      <c r="C22" s="599" t="s">
        <v>1130</v>
      </c>
      <c r="D22" s="599"/>
      <c r="E22" s="599"/>
      <c r="F22" s="599"/>
      <c r="G22" s="599"/>
      <c r="H22" s="599"/>
      <c r="I22" s="599"/>
      <c r="J22" s="599"/>
      <c r="K22" s="599"/>
      <c r="L22" s="1005" cm="1">
        <f t="array" ref="L22">INDEX(DataSheet4a!$A$8:$AZ$317,'Part 1'!$F$1,10)</f>
        <v>10645352757</v>
      </c>
      <c r="M22" s="1006"/>
      <c r="N22" s="599"/>
      <c r="O22" s="624"/>
      <c r="P22" s="599"/>
      <c r="Q22" s="599"/>
      <c r="R22" s="599"/>
      <c r="S22" s="599"/>
      <c r="T22" s="599"/>
      <c r="U22" s="477"/>
    </row>
    <row r="23" spans="1:21" ht="16.5" thickBot="1" x14ac:dyDescent="0.25">
      <c r="A23" s="23"/>
      <c r="B23" s="601"/>
      <c r="C23" s="1011"/>
      <c r="D23" s="1011"/>
      <c r="E23" s="1011"/>
      <c r="F23" s="599"/>
      <c r="G23" s="599"/>
      <c r="H23" s="599"/>
      <c r="I23" s="599"/>
      <c r="J23" s="599"/>
      <c r="K23" s="599"/>
      <c r="L23" s="599"/>
      <c r="M23" s="599"/>
      <c r="N23" s="599"/>
      <c r="O23" s="599"/>
      <c r="P23" s="599"/>
      <c r="Q23" s="599"/>
      <c r="R23" s="599"/>
      <c r="S23" s="599"/>
      <c r="T23" s="599"/>
      <c r="U23" s="477"/>
    </row>
    <row r="24" spans="1:21" ht="16.5" thickBot="1" x14ac:dyDescent="0.25">
      <c r="A24" s="23"/>
      <c r="B24" s="601"/>
      <c r="C24" s="599" t="s">
        <v>1122</v>
      </c>
      <c r="D24" s="599"/>
      <c r="E24" s="599"/>
      <c r="F24" s="599"/>
      <c r="G24" s="599"/>
      <c r="H24" s="599"/>
      <c r="I24" s="599"/>
      <c r="J24" s="599"/>
      <c r="K24" s="599"/>
      <c r="L24" s="1005" cm="1">
        <f t="array" ref="L24">INDEX(DataSheet4a!$A$8:$AZ$317,'Part 1'!$F$1,11)</f>
        <v>-1616754016</v>
      </c>
      <c r="M24" s="1006"/>
      <c r="N24" s="599"/>
      <c r="O24" s="599"/>
      <c r="P24" s="599"/>
      <c r="Q24" s="599"/>
      <c r="R24" s="599"/>
      <c r="S24" s="599"/>
      <c r="T24" s="599"/>
      <c r="U24" s="477"/>
    </row>
    <row r="25" spans="1:21" ht="16.5" thickBot="1" x14ac:dyDescent="0.3">
      <c r="A25" s="23"/>
      <c r="B25" s="601"/>
      <c r="C25" s="602"/>
      <c r="D25" s="599"/>
      <c r="E25" s="599"/>
      <c r="F25" s="599"/>
      <c r="G25" s="599"/>
      <c r="H25" s="599"/>
      <c r="I25" s="599"/>
      <c r="J25" s="599"/>
      <c r="K25" s="599"/>
      <c r="L25" s="645"/>
      <c r="M25" s="599"/>
      <c r="N25" s="599"/>
      <c r="O25" s="601"/>
      <c r="P25" s="601"/>
      <c r="Q25" s="599"/>
      <c r="R25" s="601"/>
      <c r="S25" s="601"/>
      <c r="T25" s="599"/>
      <c r="U25" s="477"/>
    </row>
    <row r="26" spans="1:21" ht="16.5" thickBot="1" x14ac:dyDescent="0.25">
      <c r="A26" s="23"/>
      <c r="B26" s="601"/>
      <c r="C26" s="608" t="s">
        <v>1113</v>
      </c>
      <c r="D26" s="608"/>
      <c r="E26" s="608"/>
      <c r="F26" s="599"/>
      <c r="G26" s="599"/>
      <c r="H26" s="599"/>
      <c r="I26" s="599"/>
      <c r="J26" s="599"/>
      <c r="K26" s="599"/>
      <c r="L26" s="1005" cm="1">
        <f t="array" ref="L26">INDEX(DataSheet4a!$A$8:$AZ$317,'Part 1'!$F$1,12)</f>
        <v>1130856068</v>
      </c>
      <c r="M26" s="1006"/>
      <c r="N26" s="599"/>
      <c r="O26" s="599"/>
      <c r="P26" s="599"/>
      <c r="Q26" s="599"/>
      <c r="R26" s="599"/>
      <c r="S26" s="599"/>
      <c r="T26" s="599"/>
      <c r="U26" s="477"/>
    </row>
    <row r="27" spans="1:21" ht="15.75" x14ac:dyDescent="0.25">
      <c r="A27" s="23"/>
      <c r="B27" s="601"/>
      <c r="C27" s="602"/>
      <c r="D27" s="599"/>
      <c r="E27" s="599"/>
      <c r="F27" s="599"/>
      <c r="G27" s="599"/>
      <c r="H27" s="599"/>
      <c r="I27" s="599"/>
      <c r="J27" s="599"/>
      <c r="K27" s="599"/>
      <c r="L27" s="599"/>
      <c r="M27" s="599"/>
      <c r="N27" s="599"/>
      <c r="O27" s="599"/>
      <c r="P27" s="599"/>
      <c r="Q27" s="624"/>
      <c r="R27" s="599"/>
      <c r="S27" s="599"/>
      <c r="T27" s="599"/>
      <c r="U27" s="470"/>
    </row>
    <row r="28" spans="1:21" ht="15.75" x14ac:dyDescent="0.2">
      <c r="A28" s="23"/>
      <c r="B28" s="601"/>
      <c r="C28" s="1011" t="s">
        <v>1114</v>
      </c>
      <c r="D28" s="1011"/>
      <c r="E28" s="1011"/>
      <c r="F28" s="599"/>
      <c r="G28" s="599"/>
      <c r="H28" s="599"/>
      <c r="I28" s="599"/>
      <c r="J28" s="599"/>
      <c r="K28" s="599"/>
      <c r="L28" s="272"/>
      <c r="M28" s="272"/>
      <c r="N28" s="599"/>
      <c r="O28" s="599"/>
      <c r="P28" s="599"/>
      <c r="Q28" s="599"/>
      <c r="R28" s="599"/>
      <c r="S28" s="599"/>
      <c r="T28" s="599"/>
      <c r="U28" s="477"/>
    </row>
    <row r="29" spans="1:21" ht="16.5" thickBot="1" x14ac:dyDescent="0.3">
      <c r="A29" s="23"/>
      <c r="B29" s="601"/>
      <c r="C29" s="602"/>
      <c r="D29" s="599"/>
      <c r="E29" s="599"/>
      <c r="F29" s="599"/>
      <c r="G29" s="599"/>
      <c r="H29" s="599"/>
      <c r="I29" s="599"/>
      <c r="J29" s="599"/>
      <c r="K29" s="599"/>
      <c r="L29" s="599"/>
      <c r="M29" s="599"/>
      <c r="N29" s="599"/>
      <c r="O29" s="599"/>
      <c r="P29" s="599"/>
      <c r="Q29" s="599"/>
      <c r="R29" s="599"/>
      <c r="S29" s="599"/>
      <c r="T29" s="599"/>
      <c r="U29" s="477"/>
    </row>
    <row r="30" spans="1:21" ht="16.5" thickBot="1" x14ac:dyDescent="0.25">
      <c r="A30" s="23"/>
      <c r="B30" s="601"/>
      <c r="C30" s="599" t="s">
        <v>1115</v>
      </c>
      <c r="D30" s="599"/>
      <c r="E30" s="599"/>
      <c r="F30" s="599"/>
      <c r="G30" s="599"/>
      <c r="H30" s="599"/>
      <c r="I30" s="599"/>
      <c r="J30" s="599"/>
      <c r="K30" s="599"/>
      <c r="L30" s="599"/>
      <c r="M30" s="599"/>
      <c r="N30" s="599"/>
      <c r="O30" s="599"/>
      <c r="P30" s="599"/>
      <c r="Q30" s="599"/>
      <c r="R30" s="1005" cm="1">
        <f t="array" ref="R30">INDEX(DataSheet4a!$A$8:$AZ$317,'Part 1'!$F$1,13)</f>
        <v>-11194037255</v>
      </c>
      <c r="S30" s="1006"/>
      <c r="T30" s="599"/>
      <c r="U30" s="477"/>
    </row>
    <row r="31" spans="1:21" ht="15.75" x14ac:dyDescent="0.25">
      <c r="A31" s="23"/>
      <c r="B31" s="601"/>
      <c r="C31" s="602"/>
      <c r="D31" s="599"/>
      <c r="E31" s="599"/>
      <c r="F31" s="599"/>
      <c r="G31" s="599"/>
      <c r="H31" s="599"/>
      <c r="I31" s="599"/>
      <c r="J31" s="599"/>
      <c r="K31" s="599"/>
      <c r="L31" s="599"/>
      <c r="M31" s="599"/>
      <c r="N31" s="599"/>
      <c r="O31" s="599"/>
      <c r="P31" s="599"/>
      <c r="Q31" s="599"/>
      <c r="R31" s="599"/>
      <c r="S31" s="599"/>
      <c r="T31" s="599"/>
      <c r="U31" s="477"/>
    </row>
    <row r="32" spans="1:21" ht="15.75" customHeight="1" x14ac:dyDescent="0.2">
      <c r="A32" s="23"/>
      <c r="B32" s="601"/>
      <c r="C32" s="1011"/>
      <c r="D32" s="1011"/>
      <c r="E32" s="1011"/>
      <c r="F32" s="599"/>
      <c r="G32" s="599"/>
      <c r="H32" s="599"/>
      <c r="I32" s="599"/>
      <c r="J32" s="599"/>
      <c r="K32" s="599"/>
      <c r="L32" s="599"/>
      <c r="M32" s="599"/>
      <c r="N32" s="599"/>
      <c r="O32" s="599"/>
      <c r="P32" s="599"/>
      <c r="Q32" s="599"/>
      <c r="R32" s="599"/>
      <c r="S32" s="599"/>
      <c r="T32" s="599"/>
      <c r="U32" s="477"/>
    </row>
    <row r="33" spans="1:21" ht="15.75" x14ac:dyDescent="0.25">
      <c r="A33" s="23"/>
      <c r="B33" s="601"/>
      <c r="C33" s="602"/>
      <c r="D33" s="599"/>
      <c r="E33" s="599"/>
      <c r="F33" s="1013" t="s">
        <v>585</v>
      </c>
      <c r="G33" s="1013"/>
      <c r="H33" s="599"/>
      <c r="I33" s="1013"/>
      <c r="J33" s="1013"/>
      <c r="K33" s="599"/>
      <c r="L33" s="1013"/>
      <c r="M33" s="1013"/>
      <c r="N33" s="599"/>
      <c r="O33" s="1013"/>
      <c r="P33" s="1013"/>
      <c r="Q33" s="599"/>
      <c r="R33" s="1013"/>
      <c r="S33" s="1013"/>
      <c r="T33" s="599"/>
      <c r="U33" s="477"/>
    </row>
    <row r="34" spans="1:21" ht="34.5" customHeight="1" x14ac:dyDescent="0.25">
      <c r="A34" s="23"/>
      <c r="B34" s="601"/>
      <c r="C34" s="602"/>
      <c r="D34" s="599"/>
      <c r="E34" s="599"/>
      <c r="F34" s="1014" t="s">
        <v>32</v>
      </c>
      <c r="G34" s="1014"/>
      <c r="H34" s="599"/>
      <c r="I34" s="1016"/>
      <c r="J34" s="1016"/>
      <c r="K34" s="599"/>
      <c r="L34" s="1016"/>
      <c r="M34" s="1016"/>
      <c r="N34" s="599"/>
      <c r="O34" s="1016"/>
      <c r="P34" s="1016"/>
      <c r="Q34" s="599"/>
      <c r="R34" s="1016"/>
      <c r="S34" s="1016"/>
      <c r="T34" s="599"/>
      <c r="U34" s="477"/>
    </row>
    <row r="35" spans="1:21" ht="15.75" x14ac:dyDescent="0.2">
      <c r="A35" s="23"/>
      <c r="B35" s="601"/>
      <c r="C35" s="1011"/>
      <c r="D35" s="1011"/>
      <c r="E35" s="1011"/>
      <c r="F35" s="599"/>
      <c r="G35" s="599"/>
      <c r="H35" s="599"/>
      <c r="I35" s="599"/>
      <c r="J35" s="599"/>
      <c r="K35" s="599"/>
      <c r="L35" s="599"/>
      <c r="M35" s="599"/>
      <c r="N35" s="599"/>
      <c r="O35" s="599"/>
      <c r="P35" s="599"/>
      <c r="Q35" s="599"/>
      <c r="R35" s="599"/>
      <c r="S35" s="599"/>
      <c r="T35" s="599"/>
      <c r="U35" s="477"/>
    </row>
    <row r="36" spans="1:21" ht="16.5" thickBot="1" x14ac:dyDescent="0.3">
      <c r="A36" s="23"/>
      <c r="B36" s="601"/>
      <c r="C36" s="602"/>
      <c r="D36" s="599"/>
      <c r="E36" s="599"/>
      <c r="F36" s="1015" t="s">
        <v>577</v>
      </c>
      <c r="G36" s="1015"/>
      <c r="H36" s="607"/>
      <c r="I36" s="1015"/>
      <c r="J36" s="1015"/>
      <c r="K36" s="604"/>
      <c r="L36" s="1015"/>
      <c r="M36" s="1015"/>
      <c r="N36" s="604"/>
      <c r="O36" s="1015"/>
      <c r="P36" s="1015"/>
      <c r="Q36" s="607"/>
      <c r="R36" s="1015"/>
      <c r="S36" s="1015"/>
      <c r="T36" s="599"/>
      <c r="U36" s="477"/>
    </row>
    <row r="37" spans="1:21" ht="16.5" thickBot="1" x14ac:dyDescent="0.25">
      <c r="A37" s="23"/>
      <c r="B37" s="601"/>
      <c r="C37" s="1012" t="s">
        <v>1117</v>
      </c>
      <c r="D37" s="1012"/>
      <c r="E37" s="1012"/>
      <c r="F37" s="1009" cm="1">
        <f t="array" ref="F37">INDEX(DataSheet4a!$A$8:$AZ$317,'Part 1'!$F$1,14)</f>
        <v>0</v>
      </c>
      <c r="G37" s="1010"/>
      <c r="H37" s="605"/>
      <c r="I37" s="1009" cm="1">
        <f t="array" ref="I37">INDEX(DataSheet4a!$A$8:$AZ$317,'Part 1'!$F$1,15)</f>
        <v>0</v>
      </c>
      <c r="J37" s="1010"/>
      <c r="K37" s="605"/>
      <c r="L37" s="1007" cm="1">
        <f t="array" ref="L37">INDEX(DataSheet4a!$A$8:$AZ$317,'Part 1'!$F$1,16)</f>
        <v>0</v>
      </c>
      <c r="M37" s="1008"/>
      <c r="N37" s="605"/>
      <c r="O37" s="1007" cm="1">
        <f t="array" ref="O37">INDEX(DataSheet4a!$A$8:$AZ$317,'Part 1'!$F$1,17)</f>
        <v>0</v>
      </c>
      <c r="P37" s="1008"/>
      <c r="Q37" s="604"/>
      <c r="R37" s="1007" cm="1">
        <f t="array" ref="R37">INDEX(DataSheet4a!$A$8:$AZ$317,'Part 1'!$F$1,18)</f>
        <v>0</v>
      </c>
      <c r="S37" s="1008"/>
      <c r="T37" s="606"/>
      <c r="U37" s="502"/>
    </row>
    <row r="38" spans="1:21" ht="16.5" thickBot="1" x14ac:dyDescent="0.3">
      <c r="A38" s="23"/>
      <c r="B38" s="601"/>
      <c r="C38" s="602"/>
      <c r="D38" s="599"/>
      <c r="E38" s="599"/>
      <c r="F38" s="599"/>
      <c r="G38" s="599"/>
      <c r="H38" s="599"/>
      <c r="I38" s="599"/>
      <c r="J38" s="599"/>
      <c r="K38" s="599"/>
      <c r="L38" s="599"/>
      <c r="M38" s="599"/>
      <c r="N38" s="599"/>
      <c r="O38" s="599"/>
      <c r="P38" s="599"/>
      <c r="Q38" s="599"/>
      <c r="R38" s="599"/>
      <c r="S38" s="599"/>
      <c r="T38" s="599"/>
      <c r="U38" s="470"/>
    </row>
    <row r="39" spans="1:21" ht="16.5" thickBot="1" x14ac:dyDescent="0.25">
      <c r="A39" s="23"/>
      <c r="B39" s="601"/>
      <c r="C39" s="1012" t="s">
        <v>1140</v>
      </c>
      <c r="D39" s="1012"/>
      <c r="E39" s="1012"/>
      <c r="F39" s="1005" cm="1">
        <f t="array" ref="F39">INDEX(DataSheet4a!$A$8:$AZ$317,'Part 1'!$F$1,19)</f>
        <v>-22112154</v>
      </c>
      <c r="G39" s="1006"/>
      <c r="H39" s="599"/>
      <c r="I39" s="1005" cm="1">
        <f t="array" ref="I39">INDEX(DataSheet4a!$A$8:$AZ$317,'Part 1'!$F$1,20)</f>
        <v>-38159701</v>
      </c>
      <c r="J39" s="1006"/>
      <c r="K39" s="599"/>
      <c r="L39" s="1005" cm="1">
        <f t="array" ref="L39">INDEX(DataSheet4a!$A$8:$AZ$317,'Part 1'!$F$1,21)</f>
        <v>-2870279</v>
      </c>
      <c r="M39" s="1006"/>
      <c r="N39" s="599"/>
      <c r="O39" s="1005" cm="1">
        <f t="array" ref="O39">INDEX(DataSheet4a!$A$8:$AZ$317,'Part 1'!$F$1,22)</f>
        <v>355564</v>
      </c>
      <c r="P39" s="1006"/>
      <c r="Q39" s="599"/>
      <c r="R39" s="1005" cm="1">
        <f t="array" ref="R39">INDEX(DataSheet4a!$A$8:$AZ$317,'Part 1'!$F$1,23)</f>
        <v>-62786550</v>
      </c>
      <c r="S39" s="1006"/>
      <c r="T39" s="599"/>
      <c r="U39" s="477"/>
    </row>
    <row r="40" spans="1:21" ht="15.75" thickBot="1" x14ac:dyDescent="0.25">
      <c r="A40" s="23"/>
      <c r="B40" s="601"/>
      <c r="C40" s="599"/>
      <c r="D40" s="599"/>
      <c r="E40" s="599"/>
      <c r="F40" s="599"/>
      <c r="G40" s="599"/>
      <c r="H40" s="599"/>
      <c r="I40" s="599"/>
      <c r="J40" s="599"/>
      <c r="K40" s="599"/>
      <c r="L40" s="599"/>
      <c r="M40" s="600"/>
      <c r="N40" s="599"/>
      <c r="O40" s="599"/>
      <c r="P40" s="600"/>
      <c r="Q40" s="599"/>
      <c r="R40" s="599"/>
      <c r="S40" s="600"/>
      <c r="T40" s="599"/>
      <c r="U40" s="477"/>
    </row>
    <row r="41" spans="1:21" ht="16.5" thickBot="1" x14ac:dyDescent="0.25">
      <c r="A41" s="23"/>
      <c r="B41" s="601"/>
      <c r="C41" s="1012" t="s">
        <v>1118</v>
      </c>
      <c r="D41" s="1012"/>
      <c r="E41" s="1012"/>
      <c r="F41" s="1009" cm="1">
        <f t="array" ref="F41">INDEX(DataSheet4a!$A$8:$AZ$317,'Part 1'!$F$1,24)</f>
        <v>0</v>
      </c>
      <c r="G41" s="1010"/>
      <c r="H41" s="605"/>
      <c r="I41" s="1009" cm="1">
        <f t="array" ref="I41">INDEX(DataSheet4a!$A$8:$AZ$317,'Part 1'!$F$1,25)</f>
        <v>0</v>
      </c>
      <c r="J41" s="1010"/>
      <c r="K41" s="605"/>
      <c r="L41" s="1007" cm="1">
        <f t="array" ref="L41">INDEX(DataSheet4a!$A$8:$AZ$317,'Part 1'!$F$1,26)</f>
        <v>0</v>
      </c>
      <c r="M41" s="1008"/>
      <c r="N41" s="605"/>
      <c r="O41" s="1007" cm="1">
        <f t="array" ref="O41">INDEX(DataSheet4a!$A$8:$AZ$317,'Part 1'!$F$1,27)</f>
        <v>0</v>
      </c>
      <c r="P41" s="1008"/>
      <c r="Q41" s="604"/>
      <c r="R41" s="1007" cm="1">
        <f t="array" ref="R41">INDEX(DataSheet4a!$A$8:$AZ$317,'Part 1'!$F$1,28)</f>
        <v>0</v>
      </c>
      <c r="S41" s="1008"/>
      <c r="T41" s="599"/>
      <c r="U41" s="477"/>
    </row>
    <row r="42" spans="1:21" ht="15.75" thickBot="1" x14ac:dyDescent="0.25">
      <c r="A42" s="23"/>
      <c r="B42" s="601"/>
      <c r="C42" s="599"/>
      <c r="D42" s="599"/>
      <c r="E42" s="599"/>
      <c r="F42" s="599"/>
      <c r="G42" s="599"/>
      <c r="H42" s="599"/>
      <c r="I42" s="599"/>
      <c r="J42" s="599"/>
      <c r="K42" s="599"/>
      <c r="L42" s="599"/>
      <c r="M42" s="600"/>
      <c r="N42" s="599"/>
      <c r="O42" s="599"/>
      <c r="P42" s="600"/>
      <c r="Q42" s="599"/>
      <c r="R42" s="599"/>
      <c r="S42" s="600"/>
      <c r="T42" s="599"/>
      <c r="U42" s="477"/>
    </row>
    <row r="43" spans="1:21" ht="16.5" thickBot="1" x14ac:dyDescent="0.25">
      <c r="A43" s="23"/>
      <c r="B43" s="601"/>
      <c r="C43" s="599" t="s">
        <v>1141</v>
      </c>
      <c r="D43" s="599"/>
      <c r="E43" s="599"/>
      <c r="F43" s="1005" cm="1">
        <f t="array" ref="F43">INDEX(DataSheet4a!$A$8:$AZ$317,'Part 1'!$F$1,29)</f>
        <v>-4038427685</v>
      </c>
      <c r="G43" s="1006"/>
      <c r="H43" s="599"/>
      <c r="I43" s="1005" cm="1">
        <f t="array" ref="I43">INDEX(DataSheet4a!$A$8:$AZ$317,'Part 1'!$F$1,30)</f>
        <v>-5002300587</v>
      </c>
      <c r="J43" s="1006"/>
      <c r="K43" s="599"/>
      <c r="L43" s="1005" cm="1">
        <f t="array" ref="L43">INDEX(DataSheet4a!$A$8:$AZ$317,'Part 1'!$F$1,31)</f>
        <v>-1465675880</v>
      </c>
      <c r="M43" s="1006"/>
      <c r="N43" s="599"/>
      <c r="O43" s="1005" cm="1">
        <f t="array" ref="O43">INDEX(DataSheet4a!$A$8:$AZ$317,'Part 1'!$F$1,32)</f>
        <v>-59418591</v>
      </c>
      <c r="P43" s="1006"/>
      <c r="Q43" s="599"/>
      <c r="R43" s="1005" cm="1">
        <f t="array" ref="R43">INDEX(DataSheet4a!$A$8:$AZ$317,'Part 1'!$F$1,33)</f>
        <v>-10565822680</v>
      </c>
      <c r="S43" s="1006"/>
      <c r="T43" s="599"/>
      <c r="U43" s="477"/>
    </row>
    <row r="44" spans="1:21" ht="15.75" thickBot="1" x14ac:dyDescent="0.25">
      <c r="A44" s="23"/>
      <c r="B44" s="601"/>
      <c r="C44" s="1012"/>
      <c r="D44" s="1012"/>
      <c r="E44" s="1012"/>
      <c r="F44" s="599"/>
      <c r="G44" s="599"/>
      <c r="H44" s="599"/>
      <c r="I44" s="599"/>
      <c r="J44" s="599"/>
      <c r="K44" s="599"/>
      <c r="L44" s="599"/>
      <c r="M44" s="600"/>
      <c r="N44" s="599"/>
      <c r="O44" s="599"/>
      <c r="P44" s="600"/>
      <c r="Q44" s="599"/>
      <c r="R44" s="599"/>
      <c r="S44" s="600"/>
      <c r="T44" s="599"/>
      <c r="U44" s="477"/>
    </row>
    <row r="45" spans="1:21" ht="16.5" thickBot="1" x14ac:dyDescent="0.25">
      <c r="A45" s="23"/>
      <c r="B45" s="601"/>
      <c r="C45" s="1012" t="s">
        <v>1131</v>
      </c>
      <c r="D45" s="1012"/>
      <c r="E45" s="1012"/>
      <c r="F45" s="1009" cm="1">
        <f t="array" ref="F45">INDEX(DataSheet4a!$A$8:$AZ$317,'Part 1'!$F$1,34)</f>
        <v>0</v>
      </c>
      <c r="G45" s="1010"/>
      <c r="H45" s="605"/>
      <c r="I45" s="1009" cm="1">
        <f t="array" ref="I45">INDEX(DataSheet4a!$A$8:$AZ$317,'Part 1'!$F$1,35)</f>
        <v>0</v>
      </c>
      <c r="J45" s="1010"/>
      <c r="K45" s="605"/>
      <c r="L45" s="1007" cm="1">
        <f t="array" ref="L45">INDEX(DataSheet4a!$A$8:$AZ$317,'Part 1'!$F$1,36)</f>
        <v>0</v>
      </c>
      <c r="M45" s="1008"/>
      <c r="N45" s="605"/>
      <c r="O45" s="1007" cm="1">
        <f t="array" ref="O45">INDEX(DataSheet4a!$A$8:$AZ$317,'Part 1'!$F$1,37)</f>
        <v>0</v>
      </c>
      <c r="P45" s="1008"/>
      <c r="Q45" s="604"/>
      <c r="R45" s="1007" cm="1">
        <f t="array" ref="R45">INDEX(DataSheet4a!$A$8:$AZ$317,'Part 1'!$F$1,38)</f>
        <v>0</v>
      </c>
      <c r="S45" s="1008"/>
      <c r="T45" s="599"/>
      <c r="U45" s="477"/>
    </row>
    <row r="46" spans="1:21" ht="15.75" thickBot="1" x14ac:dyDescent="0.25">
      <c r="A46" s="23"/>
      <c r="B46" s="601"/>
      <c r="C46" s="603"/>
      <c r="D46" s="603"/>
      <c r="E46" s="603"/>
      <c r="F46" s="599"/>
      <c r="G46" s="599"/>
      <c r="H46" s="599"/>
      <c r="I46" s="599"/>
      <c r="J46" s="599"/>
      <c r="K46" s="599"/>
      <c r="L46" s="599"/>
      <c r="M46" s="600"/>
      <c r="N46" s="599"/>
      <c r="O46" s="599"/>
      <c r="P46" s="600"/>
      <c r="Q46" s="599"/>
      <c r="R46" s="599"/>
      <c r="S46" s="600"/>
      <c r="T46" s="599"/>
      <c r="U46" s="477"/>
    </row>
    <row r="47" spans="1:21" ht="16.5" thickBot="1" x14ac:dyDescent="0.25">
      <c r="A47" s="23"/>
      <c r="B47" s="601"/>
      <c r="C47" s="599" t="s">
        <v>1119</v>
      </c>
      <c r="D47" s="599"/>
      <c r="E47" s="599"/>
      <c r="F47" s="1005" cm="1">
        <f t="array" ref="F47">INDEX(DataSheet4a!$A$8:$AZ$317,'Part 1'!$F$1,39)</f>
        <v>-203756402</v>
      </c>
      <c r="G47" s="1006"/>
      <c r="H47" s="599"/>
      <c r="I47" s="1005" cm="1">
        <f t="array" ref="I47">INDEX(DataSheet4a!$A$8:$AZ$317,'Part 1'!$F$1,40)</f>
        <v>-257010770</v>
      </c>
      <c r="J47" s="1006"/>
      <c r="K47" s="599"/>
      <c r="L47" s="1005" cm="1">
        <f t="array" ref="L47">INDEX(DataSheet4a!$A$8:$AZ$317,'Part 1'!$F$1,41)</f>
        <v>-101979806</v>
      </c>
      <c r="M47" s="1006"/>
      <c r="N47" s="599"/>
      <c r="O47" s="1005" cm="1">
        <f t="array" ref="O47">INDEX(DataSheet4a!$A$8:$AZ$317,'Part 1'!$F$1,42)</f>
        <v>-2681077</v>
      </c>
      <c r="P47" s="1006"/>
      <c r="Q47" s="599"/>
      <c r="R47" s="1005" cm="1">
        <f t="array" ref="R47">INDEX(DataSheet4a!$A$8:$AZ$317,'Part 1'!$F$1,43)</f>
        <v>-565428026</v>
      </c>
      <c r="S47" s="1006"/>
      <c r="T47" s="599"/>
      <c r="U47" s="477"/>
    </row>
    <row r="48" spans="1:21" ht="15.75" thickBot="1" x14ac:dyDescent="0.25">
      <c r="A48" s="23"/>
      <c r="B48" s="601"/>
      <c r="C48" s="1012"/>
      <c r="D48" s="1012"/>
      <c r="E48" s="1012"/>
      <c r="F48" s="599"/>
      <c r="G48" s="599"/>
      <c r="H48" s="599"/>
      <c r="I48" s="599"/>
      <c r="J48" s="599"/>
      <c r="K48" s="599"/>
      <c r="L48" s="599"/>
      <c r="M48" s="600"/>
      <c r="N48" s="599"/>
      <c r="O48" s="599"/>
      <c r="P48" s="600"/>
      <c r="Q48" s="599"/>
      <c r="R48" s="599"/>
      <c r="S48" s="600"/>
      <c r="T48" s="599"/>
      <c r="U48" s="477"/>
    </row>
    <row r="49" spans="1:21" ht="16.5" thickBot="1" x14ac:dyDescent="0.3">
      <c r="A49" s="23"/>
      <c r="B49" s="601"/>
      <c r="C49" s="602" t="s">
        <v>1150</v>
      </c>
      <c r="D49" s="599"/>
      <c r="E49" s="599"/>
      <c r="F49" s="1005" cm="1">
        <f t="array" ref="F49">INDEX(DataSheet4a!$A$8:$AZ$317,'Part 1'!$F$1,44)</f>
        <v>-4264296172</v>
      </c>
      <c r="G49" s="1006"/>
      <c r="H49" s="599"/>
      <c r="I49" s="1005" cm="1">
        <f t="array" ref="I49">INDEX(DataSheet4a!$A$8:$AZ$317,'Part 1'!$F$1,45)</f>
        <v>-5297471054</v>
      </c>
      <c r="J49" s="1006"/>
      <c r="K49" s="599"/>
      <c r="L49" s="1005" cm="1">
        <f t="array" ref="L49">INDEX(DataSheet4a!$A$8:$AZ$317,'Part 1'!$F$1,46)</f>
        <v>-1570525956</v>
      </c>
      <c r="M49" s="1006"/>
      <c r="N49" s="599"/>
      <c r="O49" s="1005" cm="1">
        <f t="array" ref="O49">INDEX(DataSheet4a!$A$8:$AZ$317,'Part 1'!$F$1,47)</f>
        <v>-61744101</v>
      </c>
      <c r="P49" s="1006"/>
      <c r="Q49" s="599"/>
      <c r="R49" s="1005" cm="1">
        <f t="array" ref="R49">INDEX(DataSheet4a!$A$8:$AZ$317,'Part 1'!$F$1,48)</f>
        <v>-11194037255</v>
      </c>
      <c r="S49" s="1006"/>
      <c r="T49" s="599"/>
      <c r="U49" s="477"/>
    </row>
    <row r="50" spans="1:21" ht="15.75" x14ac:dyDescent="0.2">
      <c r="A50" s="23"/>
      <c r="B50" s="601"/>
      <c r="C50" s="1011"/>
      <c r="D50" s="1011"/>
      <c r="E50" s="1011"/>
      <c r="F50" s="599"/>
      <c r="G50" s="599"/>
      <c r="H50" s="599"/>
      <c r="I50" s="599"/>
      <c r="J50" s="599"/>
      <c r="K50" s="599"/>
      <c r="L50" s="599"/>
      <c r="M50" s="600"/>
      <c r="N50" s="599"/>
      <c r="O50" s="599"/>
      <c r="P50" s="600"/>
      <c r="Q50" s="599"/>
      <c r="R50" s="599"/>
      <c r="S50" s="642"/>
      <c r="T50" s="599"/>
      <c r="U50" s="477"/>
    </row>
    <row r="51" spans="1:21" ht="13.5" thickBot="1" x14ac:dyDescent="0.25">
      <c r="A51" s="24"/>
      <c r="B51" s="25"/>
      <c r="C51" s="25"/>
      <c r="D51" s="25"/>
      <c r="E51" s="25"/>
      <c r="F51" s="25"/>
      <c r="G51" s="25"/>
      <c r="H51" s="25"/>
      <c r="I51" s="25"/>
      <c r="J51" s="25"/>
      <c r="K51" s="25"/>
      <c r="L51" s="25"/>
      <c r="M51" s="25"/>
      <c r="N51" s="25"/>
      <c r="O51" s="25"/>
      <c r="P51" s="25"/>
      <c r="Q51" s="25"/>
      <c r="R51" s="25"/>
      <c r="S51" s="25"/>
      <c r="T51" s="25"/>
      <c r="U51" s="52"/>
    </row>
    <row r="53" spans="1:21" x14ac:dyDescent="0.2">
      <c r="C53" s="290" t="s">
        <v>598</v>
      </c>
      <c r="D53" s="290"/>
      <c r="R53" s="129"/>
    </row>
    <row r="54" spans="1:21" x14ac:dyDescent="0.2">
      <c r="C54" s="290"/>
      <c r="D54" s="290"/>
    </row>
    <row r="55" spans="1:21" x14ac:dyDescent="0.2">
      <c r="C55" s="290"/>
      <c r="D55" s="290"/>
    </row>
    <row r="56" spans="1:21" x14ac:dyDescent="0.2">
      <c r="C56" s="290"/>
      <c r="D56" s="290"/>
    </row>
    <row r="57" spans="1:21" x14ac:dyDescent="0.2">
      <c r="C57" s="290"/>
      <c r="D57" s="290"/>
    </row>
    <row r="58" spans="1:21" x14ac:dyDescent="0.2">
      <c r="C58" s="290"/>
      <c r="D58" s="290"/>
    </row>
    <row r="59" spans="1:21" x14ac:dyDescent="0.2">
      <c r="C59" s="290"/>
      <c r="D59" s="290"/>
    </row>
    <row r="60" spans="1:21" x14ac:dyDescent="0.2">
      <c r="C60" s="290"/>
      <c r="D60" s="290"/>
    </row>
  </sheetData>
  <mergeCells count="77">
    <mergeCell ref="A2:U2"/>
    <mergeCell ref="A3:U3"/>
    <mergeCell ref="A5:U5"/>
    <mergeCell ref="C7:D7"/>
    <mergeCell ref="R36:S36"/>
    <mergeCell ref="I18:J18"/>
    <mergeCell ref="I20:J20"/>
    <mergeCell ref="F36:G36"/>
    <mergeCell ref="L33:M33"/>
    <mergeCell ref="L26:M26"/>
    <mergeCell ref="L22:M22"/>
    <mergeCell ref="L24:M24"/>
    <mergeCell ref="L36:M36"/>
    <mergeCell ref="R30:S30"/>
    <mergeCell ref="R33:S33"/>
    <mergeCell ref="R34:S34"/>
    <mergeCell ref="L14:M14"/>
    <mergeCell ref="O33:P33"/>
    <mergeCell ref="F33:G33"/>
    <mergeCell ref="F34:G34"/>
    <mergeCell ref="I36:J36"/>
    <mergeCell ref="L34:M34"/>
    <mergeCell ref="O36:P36"/>
    <mergeCell ref="L16:M16"/>
    <mergeCell ref="I34:J34"/>
    <mergeCell ref="I33:J33"/>
    <mergeCell ref="O34:P34"/>
    <mergeCell ref="C10:E10"/>
    <mergeCell ref="C44:E44"/>
    <mergeCell ref="C41:E41"/>
    <mergeCell ref="C13:E13"/>
    <mergeCell ref="C11:E11"/>
    <mergeCell ref="C21:E21"/>
    <mergeCell ref="C23:E23"/>
    <mergeCell ref="C28:E28"/>
    <mergeCell ref="C50:E50"/>
    <mergeCell ref="C32:E32"/>
    <mergeCell ref="C35:E35"/>
    <mergeCell ref="C37:E37"/>
    <mergeCell ref="C39:E39"/>
    <mergeCell ref="C45:E45"/>
    <mergeCell ref="C48:E48"/>
    <mergeCell ref="L37:M37"/>
    <mergeCell ref="O37:P37"/>
    <mergeCell ref="O41:P41"/>
    <mergeCell ref="I39:J39"/>
    <mergeCell ref="F49:G49"/>
    <mergeCell ref="I47:J47"/>
    <mergeCell ref="I49:J49"/>
    <mergeCell ref="L49:M49"/>
    <mergeCell ref="O49:P49"/>
    <mergeCell ref="L47:M47"/>
    <mergeCell ref="O39:P39"/>
    <mergeCell ref="O43:P43"/>
    <mergeCell ref="O47:P47"/>
    <mergeCell ref="R37:S37"/>
    <mergeCell ref="F41:G41"/>
    <mergeCell ref="I41:J41"/>
    <mergeCell ref="F43:G43"/>
    <mergeCell ref="F47:G47"/>
    <mergeCell ref="I43:J43"/>
    <mergeCell ref="L41:M41"/>
    <mergeCell ref="F37:G37"/>
    <mergeCell ref="I37:J37"/>
    <mergeCell ref="F45:G45"/>
    <mergeCell ref="I45:J45"/>
    <mergeCell ref="F39:G39"/>
    <mergeCell ref="L45:M45"/>
    <mergeCell ref="O45:P45"/>
    <mergeCell ref="L39:M39"/>
    <mergeCell ref="L43:M43"/>
    <mergeCell ref="R49:S49"/>
    <mergeCell ref="R45:S45"/>
    <mergeCell ref="R39:S39"/>
    <mergeCell ref="R43:S43"/>
    <mergeCell ref="R47:S47"/>
    <mergeCell ref="R41:S41"/>
  </mergeCells>
  <conditionalFormatting sqref="U38 U27">
    <cfRule type="expression" dxfId="0" priority="379">
      <formula>AND(#REF!=0)=FALSE</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F929E-F748-41C7-86C9-A4AF15AD5175}">
  <sheetPr codeName="Sheet7"/>
  <dimension ref="A1:DD319"/>
  <sheetViews>
    <sheetView workbookViewId="0">
      <pane xSplit="5" ySplit="7" topLeftCell="F8" activePane="bottomRight" state="frozen"/>
      <selection pane="topRight" activeCell="F1" sqref="F1"/>
      <selection pane="bottomLeft" activeCell="A8" sqref="A8"/>
      <selection pane="bottomRight" activeCell="A7" sqref="A7"/>
    </sheetView>
  </sheetViews>
  <sheetFormatPr defaultRowHeight="15" x14ac:dyDescent="0.2"/>
  <cols>
    <col min="1" max="1" width="7.85546875" style="647" customWidth="1"/>
    <col min="2" max="2" width="8.42578125" style="9" customWidth="1"/>
    <col min="3" max="3" width="6.7109375" style="9" customWidth="1"/>
    <col min="4" max="4" width="8.140625" style="9" customWidth="1"/>
    <col min="5" max="5" width="30.7109375" style="9" customWidth="1"/>
    <col min="6" max="6" width="15.140625" style="529" customWidth="1"/>
    <col min="7" max="8" width="15.140625" style="529" bestFit="1" customWidth="1"/>
    <col min="9" max="9" width="14.140625" style="529" bestFit="1" customWidth="1"/>
    <col min="10" max="10" width="9.42578125" style="529" bestFit="1" customWidth="1"/>
    <col min="11" max="11" width="14.140625" style="529" bestFit="1" customWidth="1"/>
    <col min="12" max="12" width="11.5703125" style="529" customWidth="1"/>
    <col min="13" max="14" width="14.140625" style="529" bestFit="1" customWidth="1"/>
    <col min="15" max="16" width="13" style="529" bestFit="1" customWidth="1"/>
    <col min="17" max="17" width="12.85546875" style="529" customWidth="1"/>
    <col min="18" max="18" width="16.7109375" style="529" bestFit="1" customWidth="1"/>
    <col min="19" max="23" width="9.28515625" style="529" bestFit="1" customWidth="1"/>
    <col min="24" max="25" width="16.85546875" style="529" bestFit="1" customWidth="1"/>
    <col min="26" max="26" width="15.28515625" style="529" bestFit="1" customWidth="1"/>
    <col min="27" max="27" width="14.28515625" style="529" bestFit="1" customWidth="1"/>
    <col min="28" max="28" width="16.85546875" style="529" bestFit="1" customWidth="1"/>
    <col min="29" max="30" width="13.140625" style="529" bestFit="1" customWidth="1"/>
    <col min="31" max="32" width="16.85546875" style="529" bestFit="1" customWidth="1"/>
    <col min="33" max="33" width="15.28515625" style="529" bestFit="1" customWidth="1"/>
    <col min="34" max="34" width="14.28515625" style="529" bestFit="1" customWidth="1"/>
    <col min="35" max="35" width="16.85546875" style="529" bestFit="1" customWidth="1"/>
    <col min="36" max="39" width="14.28515625" style="529" bestFit="1" customWidth="1"/>
    <col min="40" max="41" width="13.140625" style="529" bestFit="1" customWidth="1"/>
    <col min="42" max="42" width="14.28515625" style="529" bestFit="1" customWidth="1"/>
    <col min="43" max="46" width="14" style="529" customWidth="1"/>
    <col min="47" max="47" width="13.140625" style="529" bestFit="1" customWidth="1"/>
    <col min="48" max="49" width="9.5703125" style="529" bestFit="1" customWidth="1"/>
    <col min="50" max="50" width="13.140625" style="529" bestFit="1" customWidth="1"/>
    <col min="51" max="52" width="11.42578125" style="529" bestFit="1" customWidth="1"/>
    <col min="53" max="53" width="11.5703125" style="529" bestFit="1" customWidth="1"/>
    <col min="54" max="54" width="10.5703125" style="529" bestFit="1" customWidth="1"/>
    <col min="55" max="55" width="10.7109375" style="529" bestFit="1" customWidth="1"/>
    <col min="56" max="58" width="11.5703125" style="529" bestFit="1" customWidth="1"/>
    <col min="59" max="59" width="11.7109375" style="529" bestFit="1" customWidth="1"/>
    <col min="60" max="62" width="10.140625" style="529" bestFit="1" customWidth="1"/>
    <col min="63" max="63" width="9.42578125" style="529" bestFit="1" customWidth="1"/>
    <col min="64" max="65" width="12.42578125" style="529" bestFit="1" customWidth="1"/>
    <col min="66" max="66" width="11.42578125" style="529" bestFit="1" customWidth="1"/>
    <col min="67" max="67" width="10.42578125" style="529" bestFit="1" customWidth="1"/>
    <col min="68" max="68" width="12.42578125" style="529" bestFit="1" customWidth="1"/>
    <col min="69" max="71" width="9.42578125" style="529" bestFit="1" customWidth="1"/>
    <col min="72" max="72" width="10.140625" style="529" bestFit="1" customWidth="1"/>
    <col min="73" max="73" width="9.42578125" style="529" bestFit="1" customWidth="1"/>
    <col min="74" max="74" width="13.85546875" style="529" customWidth="1"/>
    <col min="75" max="75" width="14.140625" style="529" customWidth="1"/>
    <col min="76" max="76" width="11.42578125" style="529" customWidth="1"/>
    <col min="77" max="77" width="9.42578125" style="529" bestFit="1" customWidth="1"/>
    <col min="78" max="78" width="12" style="529" customWidth="1"/>
    <col min="79" max="79" width="12.42578125" style="529" bestFit="1" customWidth="1"/>
    <col min="80" max="80" width="13.28515625" style="529" customWidth="1"/>
    <col min="81" max="81" width="12" style="529" bestFit="1" customWidth="1"/>
    <col min="82" max="82" width="10.42578125" style="529" bestFit="1" customWidth="1"/>
    <col min="83" max="83" width="12.42578125" style="529" bestFit="1" customWidth="1"/>
    <col min="84" max="84" width="14.140625" style="529" bestFit="1" customWidth="1"/>
    <col min="85" max="85" width="15.140625" style="529" bestFit="1" customWidth="1"/>
    <col min="86" max="86" width="14" style="529" customWidth="1"/>
    <col min="87" max="87" width="12.42578125" style="529" bestFit="1" customWidth="1"/>
    <col min="88" max="88" width="15.140625" style="529" bestFit="1" customWidth="1"/>
    <col min="89" max="90" width="12.42578125" style="529" bestFit="1" customWidth="1"/>
    <col min="91" max="91" width="10.42578125" style="529" bestFit="1" customWidth="1"/>
    <col min="92" max="94" width="12.42578125" style="529" bestFit="1" customWidth="1"/>
    <col min="95" max="95" width="10.42578125" style="529" bestFit="1" customWidth="1"/>
    <col min="96" max="96" width="12.42578125" style="529" bestFit="1" customWidth="1"/>
    <col min="97" max="100" width="11.140625" style="529" customWidth="1"/>
    <col min="101" max="102" width="10.42578125" style="529" bestFit="1" customWidth="1"/>
    <col min="103" max="103" width="9.5703125" style="529" bestFit="1" customWidth="1"/>
    <col min="104" max="104" width="11.42578125" style="529" bestFit="1" customWidth="1"/>
    <col min="105" max="105" width="31.42578125" style="529" bestFit="1" customWidth="1"/>
    <col min="106" max="106" width="23.28515625" style="529" bestFit="1" customWidth="1"/>
    <col min="107" max="107" width="33" style="529" bestFit="1" customWidth="1"/>
    <col min="108" max="108" width="10.28515625" style="529" bestFit="1" customWidth="1"/>
    <col min="109" max="16384" width="9.140625" style="529"/>
  </cols>
  <sheetData>
    <row r="1" spans="1:108" s="688" customFormat="1" ht="13.5" thickBot="1" x14ac:dyDescent="0.25">
      <c r="A1" s="721"/>
      <c r="B1" s="722"/>
      <c r="C1" s="723"/>
      <c r="D1" s="724"/>
      <c r="E1" s="690"/>
      <c r="F1" s="1030" t="s">
        <v>1853</v>
      </c>
      <c r="G1" s="1031"/>
      <c r="H1" s="1031"/>
      <c r="I1" s="1031"/>
      <c r="J1" s="1031"/>
      <c r="K1" s="1031"/>
      <c r="L1" s="1031"/>
      <c r="M1" s="1031"/>
      <c r="N1" s="1031"/>
      <c r="O1" s="1031"/>
      <c r="P1" s="1031"/>
      <c r="Q1" s="1031"/>
      <c r="R1" s="1032"/>
      <c r="S1" s="1026" t="s">
        <v>1852</v>
      </c>
      <c r="T1" s="1027"/>
      <c r="U1" s="1027"/>
      <c r="V1" s="1027"/>
      <c r="W1" s="1027"/>
      <c r="X1" s="1027"/>
      <c r="Y1" s="1027"/>
      <c r="Z1" s="1027"/>
      <c r="AA1" s="1027"/>
      <c r="AB1" s="1027"/>
      <c r="AC1" s="1027"/>
      <c r="AD1" s="1027"/>
      <c r="AE1" s="1027"/>
      <c r="AF1" s="1027"/>
      <c r="AG1" s="1027"/>
      <c r="AH1" s="1027"/>
      <c r="AI1" s="1027"/>
      <c r="AJ1" s="1027"/>
      <c r="AK1" s="1027"/>
      <c r="AL1" s="1027"/>
      <c r="AM1" s="1027"/>
      <c r="AN1" s="1027"/>
      <c r="AO1" s="1027"/>
      <c r="AP1" s="1027"/>
      <c r="AQ1" s="1027"/>
      <c r="AR1" s="1027"/>
      <c r="AS1" s="1027"/>
      <c r="AT1" s="1027"/>
      <c r="AU1" s="1027"/>
      <c r="AV1" s="1027"/>
      <c r="AW1" s="1027"/>
      <c r="AX1" s="1027"/>
      <c r="AY1" s="1027"/>
      <c r="AZ1" s="1027"/>
      <c r="BA1" s="1027"/>
      <c r="BB1" s="1027"/>
      <c r="BC1" s="1027"/>
      <c r="BD1" s="1027"/>
      <c r="BE1" s="1027"/>
      <c r="BF1" s="1027"/>
      <c r="BG1" s="1027"/>
      <c r="BH1" s="1027"/>
      <c r="BI1" s="1027"/>
      <c r="BJ1" s="1027"/>
      <c r="BK1" s="1027"/>
      <c r="BL1" s="1028"/>
      <c r="BM1" s="1026" t="s">
        <v>1854</v>
      </c>
      <c r="BN1" s="1027"/>
      <c r="BO1" s="1027"/>
      <c r="BP1" s="1027"/>
      <c r="BQ1" s="1027"/>
      <c r="BR1" s="1027"/>
      <c r="BS1" s="1027"/>
      <c r="BT1" s="1027"/>
      <c r="BU1" s="1027"/>
      <c r="BV1" s="1027"/>
      <c r="BW1" s="1027"/>
      <c r="BX1" s="1027"/>
      <c r="BY1" s="1027"/>
      <c r="BZ1" s="1027"/>
      <c r="CA1" s="1027"/>
      <c r="CB1" s="1027"/>
      <c r="CC1" s="1027"/>
      <c r="CD1" s="1027"/>
      <c r="CE1" s="1027"/>
      <c r="CF1" s="1027"/>
      <c r="CG1" s="1027"/>
      <c r="CH1" s="1027"/>
      <c r="CI1" s="1027"/>
      <c r="CJ1" s="1027"/>
      <c r="CK1" s="1027"/>
      <c r="CL1" s="1027"/>
      <c r="CM1" s="1027"/>
      <c r="CN1" s="1027"/>
      <c r="CO1" s="1027"/>
      <c r="CP1" s="1027"/>
      <c r="CQ1" s="1027"/>
      <c r="CR1" s="1027"/>
      <c r="CS1" s="1027"/>
      <c r="CT1" s="1027"/>
      <c r="CU1" s="1027"/>
      <c r="CV1" s="1027"/>
      <c r="CW1" s="1027"/>
      <c r="CX1" s="1027"/>
      <c r="CY1" s="1027"/>
      <c r="CZ1" s="1028"/>
    </row>
    <row r="2" spans="1:108" s="688" customFormat="1" ht="64.150000000000006" customHeight="1" thickBot="1" x14ac:dyDescent="0.25">
      <c r="A2" s="691"/>
      <c r="B2" s="692"/>
      <c r="C2" s="693"/>
      <c r="D2" s="694"/>
      <c r="E2" s="694"/>
      <c r="F2" s="695" t="s">
        <v>1193</v>
      </c>
      <c r="G2" s="689" t="s">
        <v>578</v>
      </c>
      <c r="H2" s="689" t="s">
        <v>579</v>
      </c>
      <c r="I2" s="689" t="s">
        <v>1194</v>
      </c>
      <c r="J2" s="689" t="s">
        <v>601</v>
      </c>
      <c r="K2" s="689" t="s">
        <v>602</v>
      </c>
      <c r="L2" s="689" t="s">
        <v>1195</v>
      </c>
      <c r="M2" s="689" t="s">
        <v>812</v>
      </c>
      <c r="N2" s="689" t="s">
        <v>1196</v>
      </c>
      <c r="O2" s="689" t="s">
        <v>1094</v>
      </c>
      <c r="P2" s="689" t="s">
        <v>1095</v>
      </c>
      <c r="Q2" s="689" t="s">
        <v>1538</v>
      </c>
      <c r="R2" s="689" t="s">
        <v>1539</v>
      </c>
      <c r="S2" s="1029" t="s">
        <v>1525</v>
      </c>
      <c r="T2" s="1029"/>
      <c r="U2" s="1029"/>
      <c r="V2" s="1029"/>
      <c r="W2" s="1029"/>
      <c r="X2" s="1029" t="s">
        <v>1098</v>
      </c>
      <c r="Y2" s="1029"/>
      <c r="Z2" s="1029"/>
      <c r="AA2" s="1029"/>
      <c r="AB2" s="1029"/>
      <c r="AC2" s="1029" t="s">
        <v>1526</v>
      </c>
      <c r="AD2" s="1029"/>
      <c r="AE2" s="1029" t="s">
        <v>1527</v>
      </c>
      <c r="AF2" s="1029"/>
      <c r="AG2" s="1029"/>
      <c r="AH2" s="1029"/>
      <c r="AI2" s="1029"/>
      <c r="AJ2" s="1029" t="s">
        <v>1100</v>
      </c>
      <c r="AK2" s="1029"/>
      <c r="AL2" s="1029" t="s">
        <v>1101</v>
      </c>
      <c r="AM2" s="1029"/>
      <c r="AN2" s="1029" t="s">
        <v>1102</v>
      </c>
      <c r="AO2" s="1029"/>
      <c r="AP2" s="1029"/>
      <c r="AQ2" s="1029" t="s">
        <v>1528</v>
      </c>
      <c r="AR2" s="1029"/>
      <c r="AS2" s="1029"/>
      <c r="AT2" s="1029"/>
      <c r="AU2" s="1029" t="s">
        <v>1104</v>
      </c>
      <c r="AV2" s="1029"/>
      <c r="AW2" s="1029"/>
      <c r="AX2" s="1029"/>
      <c r="AY2" s="1029" t="s">
        <v>1105</v>
      </c>
      <c r="AZ2" s="1029"/>
      <c r="BA2" s="1029" t="s">
        <v>1157</v>
      </c>
      <c r="BB2" s="1029"/>
      <c r="BC2" s="1029" t="s">
        <v>1529</v>
      </c>
      <c r="BD2" s="1029"/>
      <c r="BE2" s="1029"/>
      <c r="BF2" s="1029"/>
      <c r="BG2" s="1029"/>
      <c r="BH2" s="1029" t="s">
        <v>1159</v>
      </c>
      <c r="BI2" s="1029"/>
      <c r="BJ2" s="1029"/>
      <c r="BK2" s="1029"/>
      <c r="BL2" s="1029"/>
      <c r="BM2" s="1029" t="s">
        <v>1530</v>
      </c>
      <c r="BN2" s="1029"/>
      <c r="BO2" s="1029"/>
      <c r="BP2" s="1029"/>
      <c r="BQ2" s="1029" t="s">
        <v>1531</v>
      </c>
      <c r="BR2" s="1029"/>
      <c r="BS2" s="1029"/>
      <c r="BT2" s="1029"/>
      <c r="BU2" s="1029" t="s">
        <v>1532</v>
      </c>
      <c r="BV2" s="1029"/>
      <c r="BW2" s="1029"/>
      <c r="BX2" s="1029"/>
      <c r="BY2" s="1029" t="s">
        <v>1162</v>
      </c>
      <c r="BZ2" s="1029"/>
      <c r="CA2" s="1029"/>
      <c r="CB2" s="1029"/>
      <c r="CC2" s="1029" t="s">
        <v>1163</v>
      </c>
      <c r="CD2" s="1029"/>
      <c r="CE2" s="1029"/>
      <c r="CF2" s="1029"/>
      <c r="CG2" s="1029" t="s">
        <v>1533</v>
      </c>
      <c r="CH2" s="1029"/>
      <c r="CI2" s="1029"/>
      <c r="CJ2" s="1029"/>
      <c r="CK2" s="1029" t="s">
        <v>1534</v>
      </c>
      <c r="CL2" s="1029"/>
      <c r="CM2" s="1029"/>
      <c r="CN2" s="1029"/>
      <c r="CO2" s="1029" t="s">
        <v>1535</v>
      </c>
      <c r="CP2" s="1029"/>
      <c r="CQ2" s="1029"/>
      <c r="CR2" s="1029"/>
      <c r="CS2" s="1029" t="s">
        <v>1536</v>
      </c>
      <c r="CT2" s="1029"/>
      <c r="CU2" s="1029"/>
      <c r="CV2" s="1029"/>
      <c r="CW2" s="1029" t="s">
        <v>1537</v>
      </c>
      <c r="CX2" s="1029"/>
      <c r="CY2" s="1029"/>
      <c r="CZ2" s="1029"/>
      <c r="DA2" s="689"/>
      <c r="DB2" s="689"/>
      <c r="DC2" s="696" t="s">
        <v>1197</v>
      </c>
      <c r="DD2" s="697" t="s">
        <v>1198</v>
      </c>
    </row>
    <row r="3" spans="1:108" s="688" customFormat="1" ht="12.75" x14ac:dyDescent="0.2">
      <c r="A3" s="698">
        <v>1</v>
      </c>
      <c r="B3" s="699">
        <v>2</v>
      </c>
      <c r="C3" s="699">
        <v>3</v>
      </c>
      <c r="D3" s="700">
        <v>4</v>
      </c>
      <c r="E3" s="699">
        <v>5</v>
      </c>
      <c r="F3" s="701">
        <v>6</v>
      </c>
      <c r="G3" s="702">
        <v>7</v>
      </c>
      <c r="H3" s="702">
        <v>8</v>
      </c>
      <c r="I3" s="702">
        <v>9</v>
      </c>
      <c r="J3" s="702">
        <v>10</v>
      </c>
      <c r="K3" s="702">
        <v>11</v>
      </c>
      <c r="L3" s="702">
        <v>12</v>
      </c>
      <c r="M3" s="702">
        <v>13</v>
      </c>
      <c r="N3" s="702">
        <v>14</v>
      </c>
      <c r="O3" s="702">
        <v>15</v>
      </c>
      <c r="P3" s="702">
        <v>16</v>
      </c>
      <c r="Q3" s="702">
        <v>17</v>
      </c>
      <c r="R3" s="702">
        <v>18</v>
      </c>
      <c r="S3" s="702">
        <v>19</v>
      </c>
      <c r="T3" s="702">
        <v>20</v>
      </c>
      <c r="U3" s="702">
        <v>21</v>
      </c>
      <c r="V3" s="702">
        <v>22</v>
      </c>
      <c r="W3" s="702">
        <v>23</v>
      </c>
      <c r="X3" s="702">
        <v>24</v>
      </c>
      <c r="Y3" s="702">
        <v>25</v>
      </c>
      <c r="Z3" s="702">
        <v>26</v>
      </c>
      <c r="AA3" s="702">
        <v>27</v>
      </c>
      <c r="AB3" s="702">
        <v>28</v>
      </c>
      <c r="AC3" s="702">
        <v>29</v>
      </c>
      <c r="AD3" s="702">
        <v>30</v>
      </c>
      <c r="AE3" s="702">
        <v>31</v>
      </c>
      <c r="AF3" s="702">
        <v>32</v>
      </c>
      <c r="AG3" s="702">
        <v>33</v>
      </c>
      <c r="AH3" s="702">
        <v>34</v>
      </c>
      <c r="AI3" s="702">
        <v>35</v>
      </c>
      <c r="AJ3" s="702">
        <v>36</v>
      </c>
      <c r="AK3" s="702">
        <v>37</v>
      </c>
      <c r="AL3" s="702">
        <v>38</v>
      </c>
      <c r="AM3" s="702">
        <v>39</v>
      </c>
      <c r="AN3" s="702">
        <v>40</v>
      </c>
      <c r="AO3" s="702">
        <v>41</v>
      </c>
      <c r="AP3" s="702">
        <v>42</v>
      </c>
      <c r="AQ3" s="702">
        <v>43</v>
      </c>
      <c r="AR3" s="702">
        <v>44</v>
      </c>
      <c r="AS3" s="702">
        <v>45</v>
      </c>
      <c r="AT3" s="702">
        <v>46</v>
      </c>
      <c r="AU3" s="702">
        <v>47</v>
      </c>
      <c r="AV3" s="702">
        <v>48</v>
      </c>
      <c r="AW3" s="702">
        <v>49</v>
      </c>
      <c r="AX3" s="702">
        <v>50</v>
      </c>
      <c r="AY3" s="702">
        <v>51</v>
      </c>
      <c r="AZ3" s="702">
        <v>52</v>
      </c>
      <c r="BA3" s="702">
        <v>53</v>
      </c>
      <c r="BB3" s="702">
        <v>54</v>
      </c>
      <c r="BC3" s="702">
        <v>55</v>
      </c>
      <c r="BD3" s="702">
        <v>56</v>
      </c>
      <c r="BE3" s="702">
        <v>57</v>
      </c>
      <c r="BF3" s="702">
        <v>58</v>
      </c>
      <c r="BG3" s="702">
        <v>59</v>
      </c>
      <c r="BH3" s="702">
        <v>60</v>
      </c>
      <c r="BI3" s="702">
        <v>61</v>
      </c>
      <c r="BJ3" s="702">
        <v>62</v>
      </c>
      <c r="BK3" s="702">
        <v>63</v>
      </c>
      <c r="BL3" s="702">
        <v>64</v>
      </c>
      <c r="BM3" s="702">
        <v>65</v>
      </c>
      <c r="BN3" s="702">
        <v>66</v>
      </c>
      <c r="BO3" s="702">
        <v>67</v>
      </c>
      <c r="BP3" s="702">
        <v>68</v>
      </c>
      <c r="BQ3" s="702">
        <v>69</v>
      </c>
      <c r="BR3" s="702">
        <v>70</v>
      </c>
      <c r="BS3" s="702">
        <v>71</v>
      </c>
      <c r="BT3" s="702">
        <v>72</v>
      </c>
      <c r="BU3" s="702">
        <v>73</v>
      </c>
      <c r="BV3" s="702">
        <v>74</v>
      </c>
      <c r="BW3" s="702">
        <v>75</v>
      </c>
      <c r="BX3" s="702">
        <v>76</v>
      </c>
      <c r="BY3" s="702">
        <v>77</v>
      </c>
      <c r="BZ3" s="702">
        <v>78</v>
      </c>
      <c r="CA3" s="702">
        <v>79</v>
      </c>
      <c r="CB3" s="702">
        <v>80</v>
      </c>
      <c r="CC3" s="702">
        <v>81</v>
      </c>
      <c r="CD3" s="702">
        <v>82</v>
      </c>
      <c r="CE3" s="702">
        <v>83</v>
      </c>
      <c r="CF3" s="702">
        <v>84</v>
      </c>
      <c r="CG3" s="702">
        <v>85</v>
      </c>
      <c r="CH3" s="702">
        <v>86</v>
      </c>
      <c r="CI3" s="702">
        <v>87</v>
      </c>
      <c r="CJ3" s="702">
        <v>88</v>
      </c>
      <c r="CK3" s="702">
        <v>89</v>
      </c>
      <c r="CL3" s="702">
        <v>90</v>
      </c>
      <c r="CM3" s="702">
        <v>91</v>
      </c>
      <c r="CN3" s="702">
        <v>92</v>
      </c>
      <c r="CO3" s="702">
        <v>93</v>
      </c>
      <c r="CP3" s="702">
        <v>94</v>
      </c>
      <c r="CQ3" s="702">
        <v>95</v>
      </c>
      <c r="CR3" s="702">
        <v>96</v>
      </c>
      <c r="CS3" s="702">
        <v>97</v>
      </c>
      <c r="CT3" s="702">
        <v>98</v>
      </c>
      <c r="CU3" s="702">
        <v>99</v>
      </c>
      <c r="CV3" s="702">
        <v>100</v>
      </c>
      <c r="CW3" s="702">
        <v>101</v>
      </c>
      <c r="CX3" s="702">
        <v>102</v>
      </c>
      <c r="CY3" s="702">
        <v>103</v>
      </c>
      <c r="CZ3" s="709">
        <v>104</v>
      </c>
      <c r="DA3" s="702">
        <v>105</v>
      </c>
      <c r="DB3" s="702">
        <v>106</v>
      </c>
      <c r="DC3" s="709">
        <v>107</v>
      </c>
    </row>
    <row r="4" spans="1:108" s="688" customFormat="1" ht="12.75" x14ac:dyDescent="0.2">
      <c r="A4" s="698"/>
      <c r="B4" s="704"/>
      <c r="C4" s="705"/>
      <c r="D4" s="706"/>
      <c r="E4" s="707"/>
      <c r="F4" s="708"/>
      <c r="G4" s="705"/>
      <c r="H4" s="705"/>
      <c r="I4" s="705"/>
      <c r="J4" s="705"/>
      <c r="K4" s="705"/>
      <c r="L4" s="705"/>
      <c r="M4" s="705"/>
      <c r="N4" s="705"/>
      <c r="O4" s="705"/>
      <c r="P4" s="705"/>
      <c r="Q4" s="705"/>
      <c r="R4" s="709"/>
      <c r="S4" s="705"/>
      <c r="T4" s="705"/>
      <c r="U4" s="705"/>
      <c r="V4" s="705"/>
      <c r="W4" s="705"/>
      <c r="X4" s="705"/>
      <c r="Y4" s="705"/>
      <c r="Z4" s="705"/>
      <c r="AA4" s="705"/>
      <c r="AB4" s="705"/>
      <c r="AC4" s="705"/>
      <c r="AD4" s="705"/>
      <c r="AE4" s="705"/>
      <c r="AF4" s="705"/>
      <c r="AG4" s="705"/>
      <c r="AH4" s="705"/>
      <c r="AI4" s="705"/>
      <c r="AJ4" s="705"/>
      <c r="AK4" s="705"/>
      <c r="AL4" s="705"/>
      <c r="AM4" s="705"/>
      <c r="AN4" s="705"/>
      <c r="AO4" s="705"/>
      <c r="AP4" s="705"/>
      <c r="AQ4" s="705"/>
      <c r="AR4" s="705"/>
      <c r="AS4" s="705"/>
      <c r="AT4" s="705"/>
      <c r="AU4" s="705"/>
      <c r="AV4" s="705"/>
      <c r="AW4" s="705"/>
      <c r="AX4" s="705"/>
      <c r="AY4" s="705"/>
      <c r="AZ4" s="705"/>
      <c r="BA4" s="705"/>
      <c r="BB4" s="705"/>
      <c r="BC4" s="705"/>
      <c r="BD4" s="705"/>
      <c r="BE4" s="705"/>
      <c r="BF4" s="705"/>
      <c r="BG4" s="705"/>
      <c r="BH4" s="705"/>
      <c r="BI4" s="705"/>
      <c r="BJ4" s="705"/>
      <c r="BK4" s="705"/>
      <c r="BL4" s="709"/>
      <c r="BM4" s="708"/>
      <c r="BN4" s="705"/>
      <c r="BO4" s="705"/>
      <c r="BP4" s="705"/>
      <c r="BQ4" s="705"/>
      <c r="BR4" s="705"/>
      <c r="BS4" s="705"/>
      <c r="BT4" s="705"/>
      <c r="BU4" s="705"/>
      <c r="BV4" s="705"/>
      <c r="BW4" s="705"/>
      <c r="BX4" s="705"/>
      <c r="BY4" s="705"/>
      <c r="BZ4" s="705"/>
      <c r="CA4" s="705"/>
      <c r="CB4" s="705"/>
      <c r="CC4" s="705"/>
      <c r="CD4" s="705"/>
      <c r="CE4" s="705"/>
      <c r="CF4" s="705"/>
      <c r="CG4" s="705"/>
      <c r="CH4" s="705"/>
      <c r="CI4" s="705"/>
      <c r="CJ4" s="705"/>
      <c r="CK4" s="705"/>
      <c r="CL4" s="705"/>
      <c r="CM4" s="705"/>
      <c r="CN4" s="705"/>
      <c r="CO4" s="705"/>
      <c r="CP4" s="705"/>
      <c r="CQ4" s="705"/>
      <c r="CR4" s="705"/>
      <c r="CS4" s="705"/>
      <c r="CT4" s="705"/>
      <c r="CU4" s="705"/>
      <c r="CV4" s="705"/>
      <c r="CW4" s="705"/>
      <c r="CX4" s="705"/>
      <c r="CY4" s="705"/>
      <c r="CZ4" s="709"/>
      <c r="DA4" s="705"/>
      <c r="DB4" s="705"/>
      <c r="DC4" s="709"/>
    </row>
    <row r="5" spans="1:108" s="688" customFormat="1" ht="12.75" x14ac:dyDescent="0.2">
      <c r="A5" s="698"/>
      <c r="B5" s="711" t="s">
        <v>626</v>
      </c>
      <c r="C5" s="711" t="s">
        <v>1199</v>
      </c>
      <c r="D5" s="712" t="s">
        <v>1200</v>
      </c>
      <c r="E5" s="711" t="s">
        <v>625</v>
      </c>
      <c r="F5" s="708"/>
      <c r="G5" s="705"/>
      <c r="H5" s="705"/>
      <c r="I5" s="705"/>
      <c r="J5" s="705"/>
      <c r="K5" s="705"/>
      <c r="L5" s="705"/>
      <c r="M5" s="705"/>
      <c r="N5" s="705"/>
      <c r="O5" s="705"/>
      <c r="P5" s="705"/>
      <c r="Q5" s="705"/>
      <c r="R5" s="709"/>
      <c r="S5" s="705"/>
      <c r="T5" s="705"/>
      <c r="U5" s="705"/>
      <c r="V5" s="705"/>
      <c r="W5" s="705"/>
      <c r="X5" s="705"/>
      <c r="Y5" s="705"/>
      <c r="Z5" s="705"/>
      <c r="AA5" s="705"/>
      <c r="AB5" s="705"/>
      <c r="AC5" s="705"/>
      <c r="AD5" s="705"/>
      <c r="AE5" s="705"/>
      <c r="AF5" s="705"/>
      <c r="AG5" s="705"/>
      <c r="AH5" s="705"/>
      <c r="AI5" s="705"/>
      <c r="AJ5" s="705"/>
      <c r="AK5" s="705"/>
      <c r="AL5" s="705"/>
      <c r="AM5" s="705"/>
      <c r="AN5" s="705"/>
      <c r="AO5" s="705"/>
      <c r="AP5" s="705"/>
      <c r="AQ5" s="705"/>
      <c r="AR5" s="705"/>
      <c r="AS5" s="705"/>
      <c r="AT5" s="705"/>
      <c r="AU5" s="705"/>
      <c r="AV5" s="705"/>
      <c r="AW5" s="705"/>
      <c r="AX5" s="705"/>
      <c r="AY5" s="705"/>
      <c r="AZ5" s="705"/>
      <c r="BA5" s="705"/>
      <c r="BB5" s="705"/>
      <c r="BC5" s="705"/>
      <c r="BD5" s="705"/>
      <c r="BE5" s="705"/>
      <c r="BF5" s="705"/>
      <c r="BG5" s="705"/>
      <c r="BH5" s="705"/>
      <c r="BI5" s="705"/>
      <c r="BJ5" s="705"/>
      <c r="BK5" s="705"/>
      <c r="BL5" s="709"/>
      <c r="BM5" s="708"/>
      <c r="BN5" s="705"/>
      <c r="BO5" s="705"/>
      <c r="BP5" s="705"/>
      <c r="BQ5" s="705"/>
      <c r="BR5" s="705"/>
      <c r="BS5" s="705"/>
      <c r="BT5" s="705"/>
      <c r="BU5" s="705"/>
      <c r="BV5" s="705"/>
      <c r="BW5" s="705"/>
      <c r="BX5" s="705"/>
      <c r="BY5" s="705"/>
      <c r="BZ5" s="705"/>
      <c r="CA5" s="705"/>
      <c r="CB5" s="705"/>
      <c r="CC5" s="705"/>
      <c r="CD5" s="705"/>
      <c r="CE5" s="705"/>
      <c r="CF5" s="705"/>
      <c r="CG5" s="705"/>
      <c r="CH5" s="705"/>
      <c r="CI5" s="705"/>
      <c r="CJ5" s="705"/>
      <c r="CK5" s="705"/>
      <c r="CL5" s="705"/>
      <c r="CM5" s="705"/>
      <c r="CN5" s="705"/>
      <c r="CO5" s="705"/>
      <c r="CP5" s="705"/>
      <c r="CQ5" s="705"/>
      <c r="CR5" s="705"/>
      <c r="CS5" s="705"/>
      <c r="CT5" s="705"/>
      <c r="CU5" s="705"/>
      <c r="CV5" s="705"/>
      <c r="CW5" s="705"/>
      <c r="CX5" s="705"/>
      <c r="CY5" s="705"/>
      <c r="CZ5" s="709"/>
      <c r="DA5" s="705"/>
      <c r="DB5" s="705"/>
      <c r="DC5" s="709"/>
    </row>
    <row r="6" spans="1:108" s="688" customFormat="1" ht="13.5" thickBot="1" x14ac:dyDescent="0.25">
      <c r="A6" s="715"/>
      <c r="B6" s="716"/>
      <c r="C6" s="717"/>
      <c r="D6" s="718"/>
      <c r="E6" s="717"/>
      <c r="F6" s="708"/>
      <c r="G6" s="705"/>
      <c r="H6" s="705"/>
      <c r="I6" s="705"/>
      <c r="J6" s="705"/>
      <c r="K6" s="705"/>
      <c r="L6" s="705"/>
      <c r="M6" s="705"/>
      <c r="N6" s="705"/>
      <c r="O6" s="705"/>
      <c r="P6" s="705"/>
      <c r="Q6" s="705"/>
      <c r="R6" s="719"/>
      <c r="S6" s="720"/>
      <c r="T6" s="705"/>
      <c r="U6" s="705"/>
      <c r="V6" s="705"/>
      <c r="W6" s="705"/>
      <c r="X6" s="705"/>
      <c r="Y6" s="705"/>
      <c r="Z6" s="705"/>
      <c r="AA6" s="705"/>
      <c r="AB6" s="705"/>
      <c r="AC6" s="705"/>
      <c r="AD6" s="705"/>
      <c r="AE6" s="705"/>
      <c r="AF6" s="705"/>
      <c r="AG6" s="705"/>
      <c r="AH6" s="705"/>
      <c r="AI6" s="705"/>
      <c r="AJ6" s="705"/>
      <c r="AK6" s="705"/>
      <c r="AL6" s="705"/>
      <c r="AM6" s="705"/>
      <c r="AN6" s="705"/>
      <c r="AO6" s="705"/>
      <c r="AP6" s="705"/>
      <c r="AQ6" s="705"/>
      <c r="AR6" s="705"/>
      <c r="AS6" s="705"/>
      <c r="AT6" s="705"/>
      <c r="AU6" s="705"/>
      <c r="AV6" s="705"/>
      <c r="AW6" s="705"/>
      <c r="AX6" s="705"/>
      <c r="AY6" s="705"/>
      <c r="AZ6" s="705"/>
      <c r="BA6" s="705"/>
      <c r="BB6" s="705"/>
      <c r="BC6" s="705"/>
      <c r="BD6" s="705"/>
      <c r="BE6" s="705"/>
      <c r="BF6" s="705"/>
      <c r="BG6" s="705"/>
      <c r="BH6" s="705"/>
      <c r="BI6" s="705"/>
      <c r="BJ6" s="705"/>
      <c r="BK6" s="705"/>
      <c r="BL6" s="709"/>
      <c r="BM6" s="708"/>
      <c r="BN6" s="705"/>
      <c r="BO6" s="705"/>
      <c r="BP6" s="705"/>
      <c r="BQ6" s="705"/>
      <c r="BR6" s="705"/>
      <c r="BS6" s="705"/>
      <c r="BT6" s="705"/>
      <c r="BU6" s="705"/>
      <c r="BV6" s="705"/>
      <c r="BW6" s="705"/>
      <c r="BX6" s="705"/>
      <c r="BY6" s="705"/>
      <c r="BZ6" s="705"/>
      <c r="CA6" s="705"/>
      <c r="CB6" s="705"/>
      <c r="CC6" s="705"/>
      <c r="CD6" s="705"/>
      <c r="CE6" s="705"/>
      <c r="CF6" s="705"/>
      <c r="CG6" s="705"/>
      <c r="CH6" s="705"/>
      <c r="CI6" s="705"/>
      <c r="CJ6" s="705"/>
      <c r="CK6" s="705"/>
      <c r="CL6" s="705"/>
      <c r="CM6" s="705"/>
      <c r="CN6" s="705"/>
      <c r="CO6" s="705"/>
      <c r="CP6" s="705"/>
      <c r="CQ6" s="705"/>
      <c r="CR6" s="705"/>
      <c r="CS6" s="705"/>
      <c r="CT6" s="705"/>
      <c r="CU6" s="705"/>
      <c r="CV6" s="705"/>
      <c r="CW6" s="705"/>
      <c r="CX6" s="705"/>
      <c r="CY6" s="705"/>
      <c r="CZ6" s="709"/>
      <c r="DA6" s="705"/>
      <c r="DB6" s="705"/>
      <c r="DC6" s="709"/>
    </row>
    <row r="7" spans="1:108" ht="13.5" thickBot="1" x14ac:dyDescent="0.25">
      <c r="A7" s="652"/>
      <c r="B7" s="653"/>
      <c r="C7" s="654"/>
      <c r="D7" s="655"/>
      <c r="E7" s="656"/>
      <c r="F7" s="756"/>
      <c r="G7" s="757"/>
      <c r="H7" s="757"/>
      <c r="I7" s="757"/>
      <c r="J7" s="757"/>
      <c r="K7" s="757"/>
      <c r="L7" s="757"/>
      <c r="M7" s="757"/>
      <c r="N7" s="757"/>
      <c r="O7" s="757"/>
      <c r="P7" s="757"/>
      <c r="Q7" s="757"/>
      <c r="R7" s="757"/>
      <c r="S7" s="757"/>
      <c r="T7" s="757"/>
      <c r="U7" s="757"/>
      <c r="V7" s="757"/>
      <c r="W7" s="757"/>
      <c r="X7" s="757"/>
      <c r="Y7" s="757"/>
      <c r="Z7" s="757"/>
      <c r="AA7" s="757"/>
      <c r="AB7" s="757"/>
      <c r="AC7" s="757"/>
      <c r="AD7" s="757"/>
      <c r="AE7" s="757"/>
      <c r="AF7" s="757"/>
      <c r="AG7" s="757"/>
      <c r="AH7" s="757"/>
      <c r="AI7" s="757"/>
      <c r="AJ7" s="757"/>
      <c r="AK7" s="757"/>
      <c r="AL7" s="757"/>
      <c r="AM7" s="757"/>
      <c r="AN7" s="757"/>
      <c r="AO7" s="757"/>
      <c r="AP7" s="757"/>
      <c r="AQ7" s="757"/>
      <c r="AR7" s="757"/>
      <c r="AS7" s="757"/>
      <c r="AT7" s="757"/>
      <c r="AU7" s="757"/>
      <c r="AV7" s="757"/>
      <c r="AW7" s="757"/>
      <c r="AX7" s="757"/>
      <c r="AY7" s="757"/>
      <c r="AZ7" s="757"/>
      <c r="BA7" s="757"/>
      <c r="BB7" s="757"/>
      <c r="BC7" s="757"/>
      <c r="BD7" s="757"/>
      <c r="BE7" s="757"/>
      <c r="BF7" s="757"/>
      <c r="BG7" s="757"/>
      <c r="BH7" s="757"/>
      <c r="BI7" s="757"/>
      <c r="BJ7" s="757"/>
      <c r="BK7" s="757"/>
      <c r="BL7" s="757"/>
      <c r="BM7" s="757"/>
      <c r="BN7" s="757"/>
      <c r="BO7" s="757"/>
      <c r="BP7" s="757"/>
      <c r="BQ7" s="757"/>
      <c r="BR7" s="757"/>
      <c r="BS7" s="757"/>
      <c r="BT7" s="757"/>
      <c r="BU7" s="757"/>
      <c r="BV7" s="757"/>
      <c r="BW7" s="757"/>
      <c r="BX7" s="757"/>
      <c r="BY7" s="757"/>
      <c r="BZ7" s="757"/>
      <c r="CA7" s="757"/>
      <c r="CB7" s="757"/>
      <c r="CC7" s="757"/>
      <c r="CD7" s="757"/>
      <c r="CE7" s="757"/>
      <c r="CF7" s="757"/>
      <c r="CG7" s="757"/>
      <c r="CH7" s="757"/>
      <c r="CI7" s="757"/>
      <c r="CJ7" s="757"/>
      <c r="CK7" s="757"/>
      <c r="CL7" s="757"/>
      <c r="CM7" s="757"/>
      <c r="CN7" s="757"/>
      <c r="CO7" s="757"/>
      <c r="CP7" s="757"/>
      <c r="CQ7" s="757"/>
      <c r="CR7" s="757"/>
      <c r="CS7" s="757"/>
      <c r="CT7" s="757"/>
      <c r="CU7" s="757"/>
      <c r="CV7" s="757"/>
      <c r="CW7" s="757"/>
      <c r="CX7" s="757"/>
      <c r="CY7" s="757"/>
      <c r="CZ7" s="757"/>
      <c r="DA7" s="654"/>
      <c r="DB7" s="654"/>
      <c r="DC7" s="654"/>
      <c r="DD7" s="654"/>
    </row>
    <row r="8" spans="1:108" ht="12.75" x14ac:dyDescent="0.2">
      <c r="A8" s="657">
        <v>1</v>
      </c>
      <c r="B8" s="658" t="s">
        <v>628</v>
      </c>
      <c r="C8" s="659" t="s">
        <v>1201</v>
      </c>
      <c r="D8" s="660" t="s">
        <v>1202</v>
      </c>
      <c r="E8" s="661" t="s">
        <v>627</v>
      </c>
      <c r="F8" s="750">
        <v>19403167</v>
      </c>
      <c r="G8" s="751">
        <v>0</v>
      </c>
      <c r="H8" s="751">
        <v>734220</v>
      </c>
      <c r="I8" s="751">
        <v>84023</v>
      </c>
      <c r="J8" s="751">
        <v>0</v>
      </c>
      <c r="K8" s="751">
        <v>84023</v>
      </c>
      <c r="L8" s="751">
        <v>0</v>
      </c>
      <c r="M8" s="751">
        <v>0</v>
      </c>
      <c r="N8" s="751">
        <v>0</v>
      </c>
      <c r="O8" s="751">
        <v>0</v>
      </c>
      <c r="P8" s="751">
        <v>0</v>
      </c>
      <c r="Q8" s="751">
        <v>0</v>
      </c>
      <c r="R8" s="751">
        <v>18584924</v>
      </c>
      <c r="S8" s="749">
        <v>0.5</v>
      </c>
      <c r="T8" s="749">
        <v>0.4</v>
      </c>
      <c r="U8" s="749">
        <v>0.1</v>
      </c>
      <c r="V8" s="749">
        <v>0</v>
      </c>
      <c r="W8" s="749">
        <v>1</v>
      </c>
      <c r="X8" s="751">
        <v>9292462</v>
      </c>
      <c r="Y8" s="751">
        <v>7433970</v>
      </c>
      <c r="Z8" s="751">
        <v>1858492</v>
      </c>
      <c r="AA8" s="751">
        <v>0</v>
      </c>
      <c r="AB8" s="751">
        <v>18584924</v>
      </c>
      <c r="AC8" s="751">
        <v>0</v>
      </c>
      <c r="AD8" s="751">
        <v>0</v>
      </c>
      <c r="AE8" s="751">
        <v>9292462</v>
      </c>
      <c r="AF8" s="751">
        <v>7433970</v>
      </c>
      <c r="AG8" s="751">
        <v>1858492</v>
      </c>
      <c r="AH8" s="751">
        <v>0</v>
      </c>
      <c r="AI8" s="751">
        <v>18584924</v>
      </c>
      <c r="AJ8" s="751">
        <v>84023</v>
      </c>
      <c r="AK8" s="751">
        <v>84023</v>
      </c>
      <c r="AL8" s="751">
        <v>0</v>
      </c>
      <c r="AM8" s="751">
        <v>0</v>
      </c>
      <c r="AN8" s="751">
        <v>0</v>
      </c>
      <c r="AO8" s="751">
        <v>0</v>
      </c>
      <c r="AP8" s="751">
        <v>0</v>
      </c>
      <c r="AQ8" s="751">
        <v>0</v>
      </c>
      <c r="AR8" s="751">
        <v>0</v>
      </c>
      <c r="AS8" s="751">
        <v>0</v>
      </c>
      <c r="AT8" s="751">
        <v>0</v>
      </c>
      <c r="AU8" s="751">
        <v>0</v>
      </c>
      <c r="AV8" s="751">
        <v>0</v>
      </c>
      <c r="AW8" s="751">
        <v>0</v>
      </c>
      <c r="AX8" s="751">
        <v>0</v>
      </c>
      <c r="AY8" s="751">
        <v>0</v>
      </c>
      <c r="AZ8" s="751">
        <v>0</v>
      </c>
      <c r="BA8" s="751">
        <v>0</v>
      </c>
      <c r="BB8" s="751">
        <v>0</v>
      </c>
      <c r="BC8" s="751">
        <v>-4785799</v>
      </c>
      <c r="BD8" s="751">
        <v>-3828639</v>
      </c>
      <c r="BE8" s="751">
        <v>-1125096</v>
      </c>
      <c r="BF8" s="751">
        <v>0</v>
      </c>
      <c r="BG8" s="751">
        <v>-9739534</v>
      </c>
      <c r="BH8" s="751">
        <v>4506663</v>
      </c>
      <c r="BI8" s="751">
        <v>3689354</v>
      </c>
      <c r="BJ8" s="751">
        <v>733396</v>
      </c>
      <c r="BK8" s="751">
        <v>0</v>
      </c>
      <c r="BL8" s="751">
        <v>8929413</v>
      </c>
      <c r="BM8" s="751">
        <v>387341</v>
      </c>
      <c r="BN8" s="751">
        <v>96835</v>
      </c>
      <c r="BO8" s="751">
        <v>0</v>
      </c>
      <c r="BP8" s="751">
        <v>484176</v>
      </c>
      <c r="BQ8" s="751">
        <v>703511</v>
      </c>
      <c r="BR8" s="751">
        <v>175878</v>
      </c>
      <c r="BS8" s="751">
        <v>0</v>
      </c>
      <c r="BT8" s="751">
        <v>879389</v>
      </c>
      <c r="BU8" s="751">
        <v>37579</v>
      </c>
      <c r="BV8" s="751">
        <v>9395</v>
      </c>
      <c r="BW8" s="751">
        <v>0</v>
      </c>
      <c r="BX8" s="751">
        <v>46974</v>
      </c>
      <c r="BY8" s="751">
        <v>0</v>
      </c>
      <c r="BZ8" s="751">
        <v>0</v>
      </c>
      <c r="CA8" s="751">
        <v>0</v>
      </c>
      <c r="CB8" s="751">
        <v>0</v>
      </c>
      <c r="CC8" s="751">
        <v>6734</v>
      </c>
      <c r="CD8" s="751">
        <v>1683</v>
      </c>
      <c r="CE8" s="751">
        <v>0</v>
      </c>
      <c r="CF8" s="751">
        <v>8417</v>
      </c>
      <c r="CG8" s="751">
        <v>0</v>
      </c>
      <c r="CH8" s="751">
        <v>0</v>
      </c>
      <c r="CI8" s="751">
        <v>0</v>
      </c>
      <c r="CJ8" s="751">
        <v>0</v>
      </c>
      <c r="CK8" s="751">
        <v>0</v>
      </c>
      <c r="CL8" s="751">
        <v>0</v>
      </c>
      <c r="CM8" s="751">
        <v>0</v>
      </c>
      <c r="CN8" s="751">
        <v>0</v>
      </c>
      <c r="CO8" s="751">
        <v>0</v>
      </c>
      <c r="CP8" s="751">
        <v>0</v>
      </c>
      <c r="CQ8" s="751">
        <v>0</v>
      </c>
      <c r="CR8" s="751">
        <v>0</v>
      </c>
      <c r="CS8" s="751">
        <v>0</v>
      </c>
      <c r="CT8" s="751">
        <v>0</v>
      </c>
      <c r="CU8" s="751">
        <v>0</v>
      </c>
      <c r="CV8" s="751">
        <v>0</v>
      </c>
      <c r="CW8" s="751">
        <v>1135165</v>
      </c>
      <c r="CX8" s="751">
        <v>283791</v>
      </c>
      <c r="CY8" s="751">
        <v>0</v>
      </c>
      <c r="CZ8" s="751">
        <v>1418956</v>
      </c>
      <c r="DA8" s="662" t="s">
        <v>627</v>
      </c>
      <c r="DB8" s="324" t="s">
        <v>568</v>
      </c>
      <c r="DC8" s="663" t="s">
        <v>512</v>
      </c>
      <c r="DD8" s="529" t="s">
        <v>1203</v>
      </c>
    </row>
    <row r="9" spans="1:108" ht="12.75" x14ac:dyDescent="0.2">
      <c r="A9" s="664">
        <v>2</v>
      </c>
      <c r="B9" s="665" t="s">
        <v>630</v>
      </c>
      <c r="C9" s="666" t="s">
        <v>1201</v>
      </c>
      <c r="D9" s="667" t="s">
        <v>1204</v>
      </c>
      <c r="E9" s="668" t="s">
        <v>629</v>
      </c>
      <c r="F9" s="750">
        <v>29856350</v>
      </c>
      <c r="G9" s="751">
        <v>56148</v>
      </c>
      <c r="H9" s="751">
        <v>0</v>
      </c>
      <c r="I9" s="751">
        <v>182132</v>
      </c>
      <c r="J9" s="751">
        <v>0</v>
      </c>
      <c r="K9" s="751">
        <v>182132</v>
      </c>
      <c r="L9" s="751">
        <v>0</v>
      </c>
      <c r="M9" s="751">
        <v>0</v>
      </c>
      <c r="N9" s="751">
        <v>532817</v>
      </c>
      <c r="O9" s="751">
        <v>519148</v>
      </c>
      <c r="P9" s="751">
        <v>13669</v>
      </c>
      <c r="Q9" s="751">
        <v>0</v>
      </c>
      <c r="R9" s="751">
        <v>29197549</v>
      </c>
      <c r="S9" s="749">
        <v>0.5</v>
      </c>
      <c r="T9" s="749">
        <v>0.4</v>
      </c>
      <c r="U9" s="749">
        <v>0.1</v>
      </c>
      <c r="V9" s="749">
        <v>0</v>
      </c>
      <c r="W9" s="749">
        <v>1</v>
      </c>
      <c r="X9" s="751">
        <v>14598774</v>
      </c>
      <c r="Y9" s="751">
        <v>11679020</v>
      </c>
      <c r="Z9" s="751">
        <v>2919755</v>
      </c>
      <c r="AA9" s="751">
        <v>0</v>
      </c>
      <c r="AB9" s="751">
        <v>29197549</v>
      </c>
      <c r="AC9" s="751">
        <v>0</v>
      </c>
      <c r="AD9" s="751">
        <v>0</v>
      </c>
      <c r="AE9" s="751">
        <v>14598774</v>
      </c>
      <c r="AF9" s="751">
        <v>11679020</v>
      </c>
      <c r="AG9" s="751">
        <v>2919755</v>
      </c>
      <c r="AH9" s="751">
        <v>0</v>
      </c>
      <c r="AI9" s="751">
        <v>29197549</v>
      </c>
      <c r="AJ9" s="751">
        <v>182132</v>
      </c>
      <c r="AK9" s="751">
        <v>182132</v>
      </c>
      <c r="AL9" s="751">
        <v>0</v>
      </c>
      <c r="AM9" s="751">
        <v>0</v>
      </c>
      <c r="AN9" s="751">
        <v>519148</v>
      </c>
      <c r="AO9" s="751">
        <v>13669</v>
      </c>
      <c r="AP9" s="751">
        <v>532817</v>
      </c>
      <c r="AQ9" s="751">
        <v>0</v>
      </c>
      <c r="AR9" s="751">
        <v>0</v>
      </c>
      <c r="AS9" s="751">
        <v>0</v>
      </c>
      <c r="AT9" s="751">
        <v>0</v>
      </c>
      <c r="AU9" s="751">
        <v>0</v>
      </c>
      <c r="AV9" s="751">
        <v>0</v>
      </c>
      <c r="AW9" s="751">
        <v>0</v>
      </c>
      <c r="AX9" s="751">
        <v>0</v>
      </c>
      <c r="AY9" s="751">
        <v>0</v>
      </c>
      <c r="AZ9" s="751">
        <v>0</v>
      </c>
      <c r="BA9" s="751">
        <v>0</v>
      </c>
      <c r="BB9" s="751">
        <v>0</v>
      </c>
      <c r="BC9" s="751">
        <v>-7674399</v>
      </c>
      <c r="BD9" s="751">
        <v>-6139519</v>
      </c>
      <c r="BE9" s="751">
        <v>-1534880</v>
      </c>
      <c r="BF9" s="751">
        <v>0</v>
      </c>
      <c r="BG9" s="751">
        <v>-15348798</v>
      </c>
      <c r="BH9" s="751">
        <v>6924375</v>
      </c>
      <c r="BI9" s="751">
        <v>6240781</v>
      </c>
      <c r="BJ9" s="751">
        <v>1398544</v>
      </c>
      <c r="BK9" s="751">
        <v>0</v>
      </c>
      <c r="BL9" s="751">
        <v>14563700</v>
      </c>
      <c r="BM9" s="751">
        <v>635576</v>
      </c>
      <c r="BN9" s="751">
        <v>152844</v>
      </c>
      <c r="BO9" s="751">
        <v>0</v>
      </c>
      <c r="BP9" s="751">
        <v>788420</v>
      </c>
      <c r="BQ9" s="751">
        <v>1628346</v>
      </c>
      <c r="BR9" s="751">
        <v>407087</v>
      </c>
      <c r="BS9" s="751">
        <v>0</v>
      </c>
      <c r="BT9" s="751">
        <v>2035433</v>
      </c>
      <c r="BU9" s="751">
        <v>71765</v>
      </c>
      <c r="BV9" s="751">
        <v>17941</v>
      </c>
      <c r="BW9" s="751">
        <v>0</v>
      </c>
      <c r="BX9" s="751">
        <v>89706</v>
      </c>
      <c r="BY9" s="751">
        <v>9698</v>
      </c>
      <c r="BZ9" s="751">
        <v>2424</v>
      </c>
      <c r="CA9" s="751">
        <v>0</v>
      </c>
      <c r="CB9" s="751">
        <v>12122</v>
      </c>
      <c r="CC9" s="751">
        <v>16346</v>
      </c>
      <c r="CD9" s="751">
        <v>4087</v>
      </c>
      <c r="CE9" s="751">
        <v>0</v>
      </c>
      <c r="CF9" s="751">
        <v>20433</v>
      </c>
      <c r="CG9" s="751">
        <v>7575</v>
      </c>
      <c r="CH9" s="751">
        <v>1894</v>
      </c>
      <c r="CI9" s="751">
        <v>0</v>
      </c>
      <c r="CJ9" s="751">
        <v>9469</v>
      </c>
      <c r="CK9" s="751">
        <v>0</v>
      </c>
      <c r="CL9" s="751">
        <v>0</v>
      </c>
      <c r="CM9" s="751">
        <v>0</v>
      </c>
      <c r="CN9" s="751">
        <v>0</v>
      </c>
      <c r="CO9" s="751">
        <v>0</v>
      </c>
      <c r="CP9" s="751">
        <v>0</v>
      </c>
      <c r="CQ9" s="751">
        <v>0</v>
      </c>
      <c r="CR9" s="751">
        <v>0</v>
      </c>
      <c r="CS9" s="751">
        <v>0</v>
      </c>
      <c r="CT9" s="751">
        <v>0</v>
      </c>
      <c r="CU9" s="751">
        <v>0</v>
      </c>
      <c r="CV9" s="751">
        <v>0</v>
      </c>
      <c r="CW9" s="751">
        <v>2369306</v>
      </c>
      <c r="CX9" s="751">
        <v>586277</v>
      </c>
      <c r="CY9" s="751">
        <v>0</v>
      </c>
      <c r="CZ9" s="751">
        <v>2955583</v>
      </c>
      <c r="DA9" s="662" t="s">
        <v>629</v>
      </c>
      <c r="DB9" s="324" t="s">
        <v>513</v>
      </c>
      <c r="DC9" s="663" t="s">
        <v>512</v>
      </c>
      <c r="DD9" s="529" t="s">
        <v>1205</v>
      </c>
    </row>
    <row r="10" spans="1:108" ht="12.75" x14ac:dyDescent="0.2">
      <c r="A10" s="664">
        <v>3</v>
      </c>
      <c r="B10" s="665" t="s">
        <v>632</v>
      </c>
      <c r="C10" s="666" t="s">
        <v>1201</v>
      </c>
      <c r="D10" s="667" t="s">
        <v>1206</v>
      </c>
      <c r="E10" s="668" t="s">
        <v>631</v>
      </c>
      <c r="F10" s="750">
        <v>31079875</v>
      </c>
      <c r="G10" s="751">
        <v>86795</v>
      </c>
      <c r="H10" s="751">
        <v>0</v>
      </c>
      <c r="I10" s="751">
        <v>145188</v>
      </c>
      <c r="J10" s="751">
        <v>0</v>
      </c>
      <c r="K10" s="751">
        <v>145188</v>
      </c>
      <c r="L10" s="751">
        <v>0</v>
      </c>
      <c r="M10" s="751">
        <v>0</v>
      </c>
      <c r="N10" s="751">
        <v>10859</v>
      </c>
      <c r="O10" s="751">
        <v>10859</v>
      </c>
      <c r="P10" s="751">
        <v>0</v>
      </c>
      <c r="Q10" s="751">
        <v>0</v>
      </c>
      <c r="R10" s="751">
        <v>31010623</v>
      </c>
      <c r="S10" s="749">
        <v>0.5</v>
      </c>
      <c r="T10" s="749">
        <v>0.4</v>
      </c>
      <c r="U10" s="749">
        <v>0.09</v>
      </c>
      <c r="V10" s="749">
        <v>0.01</v>
      </c>
      <c r="W10" s="749">
        <v>1</v>
      </c>
      <c r="X10" s="751">
        <v>15505312</v>
      </c>
      <c r="Y10" s="751">
        <v>12404249</v>
      </c>
      <c r="Z10" s="751">
        <v>2790956</v>
      </c>
      <c r="AA10" s="751">
        <v>310106</v>
      </c>
      <c r="AB10" s="751">
        <v>31010623</v>
      </c>
      <c r="AC10" s="751">
        <v>0</v>
      </c>
      <c r="AD10" s="751">
        <v>0</v>
      </c>
      <c r="AE10" s="751">
        <v>15505312</v>
      </c>
      <c r="AF10" s="751">
        <v>12404249</v>
      </c>
      <c r="AG10" s="751">
        <v>2790956</v>
      </c>
      <c r="AH10" s="751">
        <v>310106</v>
      </c>
      <c r="AI10" s="751">
        <v>31010623</v>
      </c>
      <c r="AJ10" s="751">
        <v>145188</v>
      </c>
      <c r="AK10" s="751">
        <v>145188</v>
      </c>
      <c r="AL10" s="751">
        <v>0</v>
      </c>
      <c r="AM10" s="751">
        <v>0</v>
      </c>
      <c r="AN10" s="751">
        <v>10859</v>
      </c>
      <c r="AO10" s="751">
        <v>0</v>
      </c>
      <c r="AP10" s="751">
        <v>10859</v>
      </c>
      <c r="AQ10" s="751">
        <v>0</v>
      </c>
      <c r="AR10" s="751">
        <v>0</v>
      </c>
      <c r="AS10" s="751">
        <v>0</v>
      </c>
      <c r="AT10" s="751">
        <v>0</v>
      </c>
      <c r="AU10" s="751">
        <v>0</v>
      </c>
      <c r="AV10" s="751">
        <v>0</v>
      </c>
      <c r="AW10" s="751">
        <v>0</v>
      </c>
      <c r="AX10" s="751">
        <v>0</v>
      </c>
      <c r="AY10" s="751">
        <v>0</v>
      </c>
      <c r="AZ10" s="751">
        <v>0</v>
      </c>
      <c r="BA10" s="751">
        <v>0</v>
      </c>
      <c r="BB10" s="751">
        <v>0</v>
      </c>
      <c r="BC10" s="751">
        <v>-5030427</v>
      </c>
      <c r="BD10" s="751">
        <v>-4024342</v>
      </c>
      <c r="BE10" s="751">
        <v>-905477</v>
      </c>
      <c r="BF10" s="751">
        <v>-100609</v>
      </c>
      <c r="BG10" s="751">
        <v>-10060854</v>
      </c>
      <c r="BH10" s="751">
        <v>10474885</v>
      </c>
      <c r="BI10" s="751">
        <v>8535954</v>
      </c>
      <c r="BJ10" s="751">
        <v>1885479</v>
      </c>
      <c r="BK10" s="751">
        <v>209497</v>
      </c>
      <c r="BL10" s="751">
        <v>21105816</v>
      </c>
      <c r="BM10" s="751">
        <v>646879</v>
      </c>
      <c r="BN10" s="751">
        <v>145421</v>
      </c>
      <c r="BO10" s="751">
        <v>16158</v>
      </c>
      <c r="BP10" s="751">
        <v>808458</v>
      </c>
      <c r="BQ10" s="751">
        <v>1451481</v>
      </c>
      <c r="BR10" s="751">
        <v>326583</v>
      </c>
      <c r="BS10" s="751">
        <v>36287</v>
      </c>
      <c r="BT10" s="751">
        <v>1814351</v>
      </c>
      <c r="BU10" s="751">
        <v>69361</v>
      </c>
      <c r="BV10" s="751">
        <v>15606</v>
      </c>
      <c r="BW10" s="751">
        <v>1734</v>
      </c>
      <c r="BX10" s="751">
        <v>86701</v>
      </c>
      <c r="BY10" s="751">
        <v>0</v>
      </c>
      <c r="BZ10" s="751">
        <v>0</v>
      </c>
      <c r="CA10" s="751">
        <v>0</v>
      </c>
      <c r="CB10" s="751">
        <v>0</v>
      </c>
      <c r="CC10" s="751">
        <v>5704</v>
      </c>
      <c r="CD10" s="751">
        <v>1284</v>
      </c>
      <c r="CE10" s="751">
        <v>143</v>
      </c>
      <c r="CF10" s="751">
        <v>7131</v>
      </c>
      <c r="CG10" s="751">
        <v>14513</v>
      </c>
      <c r="CH10" s="751">
        <v>3266</v>
      </c>
      <c r="CI10" s="751">
        <v>363</v>
      </c>
      <c r="CJ10" s="751">
        <v>18142</v>
      </c>
      <c r="CK10" s="751">
        <v>0</v>
      </c>
      <c r="CL10" s="751">
        <v>0</v>
      </c>
      <c r="CM10" s="751">
        <v>0</v>
      </c>
      <c r="CN10" s="751">
        <v>0</v>
      </c>
      <c r="CO10" s="751">
        <v>0</v>
      </c>
      <c r="CP10" s="751">
        <v>0</v>
      </c>
      <c r="CQ10" s="751">
        <v>0</v>
      </c>
      <c r="CR10" s="751">
        <v>0</v>
      </c>
      <c r="CS10" s="751">
        <v>0</v>
      </c>
      <c r="CT10" s="751">
        <v>0</v>
      </c>
      <c r="CU10" s="751">
        <v>0</v>
      </c>
      <c r="CV10" s="751">
        <v>0</v>
      </c>
      <c r="CW10" s="751">
        <v>2187938</v>
      </c>
      <c r="CX10" s="751">
        <v>492160</v>
      </c>
      <c r="CY10" s="751">
        <v>54685</v>
      </c>
      <c r="CZ10" s="751">
        <v>2734783</v>
      </c>
      <c r="DA10" s="662" t="s">
        <v>631</v>
      </c>
      <c r="DB10" s="324" t="s">
        <v>516</v>
      </c>
      <c r="DC10" s="663" t="s">
        <v>515</v>
      </c>
      <c r="DD10" s="529" t="s">
        <v>1207</v>
      </c>
    </row>
    <row r="11" spans="1:108" ht="12.75" x14ac:dyDescent="0.2">
      <c r="A11" s="664">
        <v>4</v>
      </c>
      <c r="B11" s="665" t="s">
        <v>634</v>
      </c>
      <c r="C11" s="666" t="s">
        <v>1201</v>
      </c>
      <c r="D11" s="667" t="s">
        <v>1202</v>
      </c>
      <c r="E11" s="668" t="s">
        <v>633</v>
      </c>
      <c r="F11" s="750">
        <v>37845147</v>
      </c>
      <c r="G11" s="751">
        <v>215943</v>
      </c>
      <c r="H11" s="751">
        <v>0</v>
      </c>
      <c r="I11" s="751">
        <v>179960</v>
      </c>
      <c r="J11" s="751">
        <v>0</v>
      </c>
      <c r="K11" s="751">
        <v>179960</v>
      </c>
      <c r="L11" s="751">
        <v>0</v>
      </c>
      <c r="M11" s="751">
        <v>0</v>
      </c>
      <c r="N11" s="751">
        <v>0</v>
      </c>
      <c r="O11" s="751">
        <v>0</v>
      </c>
      <c r="P11" s="751">
        <v>0</v>
      </c>
      <c r="Q11" s="751">
        <v>0</v>
      </c>
      <c r="R11" s="751">
        <v>37881130</v>
      </c>
      <c r="S11" s="749">
        <v>0.5</v>
      </c>
      <c r="T11" s="749">
        <v>0.4</v>
      </c>
      <c r="U11" s="749">
        <v>0.1</v>
      </c>
      <c r="V11" s="749">
        <v>0</v>
      </c>
      <c r="W11" s="749">
        <v>1</v>
      </c>
      <c r="X11" s="751">
        <v>18940565</v>
      </c>
      <c r="Y11" s="751">
        <v>15152452</v>
      </c>
      <c r="Z11" s="751">
        <v>3788113</v>
      </c>
      <c r="AA11" s="751">
        <v>0</v>
      </c>
      <c r="AB11" s="751">
        <v>37881130</v>
      </c>
      <c r="AC11" s="751">
        <v>0</v>
      </c>
      <c r="AD11" s="751">
        <v>0</v>
      </c>
      <c r="AE11" s="751">
        <v>18940565</v>
      </c>
      <c r="AF11" s="751">
        <v>15152452</v>
      </c>
      <c r="AG11" s="751">
        <v>3788113</v>
      </c>
      <c r="AH11" s="751">
        <v>0</v>
      </c>
      <c r="AI11" s="751">
        <v>37881130</v>
      </c>
      <c r="AJ11" s="751">
        <v>179960</v>
      </c>
      <c r="AK11" s="751">
        <v>179960</v>
      </c>
      <c r="AL11" s="751">
        <v>0</v>
      </c>
      <c r="AM11" s="751">
        <v>0</v>
      </c>
      <c r="AN11" s="751">
        <v>0</v>
      </c>
      <c r="AO11" s="751">
        <v>0</v>
      </c>
      <c r="AP11" s="751">
        <v>0</v>
      </c>
      <c r="AQ11" s="751">
        <v>0</v>
      </c>
      <c r="AR11" s="751">
        <v>0</v>
      </c>
      <c r="AS11" s="751">
        <v>0</v>
      </c>
      <c r="AT11" s="751">
        <v>0</v>
      </c>
      <c r="AU11" s="751">
        <v>0</v>
      </c>
      <c r="AV11" s="751">
        <v>0</v>
      </c>
      <c r="AW11" s="751">
        <v>0</v>
      </c>
      <c r="AX11" s="751">
        <v>0</v>
      </c>
      <c r="AY11" s="751">
        <v>0</v>
      </c>
      <c r="AZ11" s="751">
        <v>0</v>
      </c>
      <c r="BA11" s="751">
        <v>0</v>
      </c>
      <c r="BB11" s="751">
        <v>0</v>
      </c>
      <c r="BC11" s="751">
        <v>-10558715</v>
      </c>
      <c r="BD11" s="751">
        <v>-8446972</v>
      </c>
      <c r="BE11" s="751">
        <v>-2548699</v>
      </c>
      <c r="BF11" s="751">
        <v>0</v>
      </c>
      <c r="BG11" s="751">
        <v>-21554386</v>
      </c>
      <c r="BH11" s="751">
        <v>8381850</v>
      </c>
      <c r="BI11" s="751">
        <v>6885440</v>
      </c>
      <c r="BJ11" s="751">
        <v>1239414</v>
      </c>
      <c r="BK11" s="751">
        <v>0</v>
      </c>
      <c r="BL11" s="751">
        <v>16506704</v>
      </c>
      <c r="BM11" s="751">
        <v>789507</v>
      </c>
      <c r="BN11" s="751">
        <v>197377</v>
      </c>
      <c r="BO11" s="751">
        <v>0</v>
      </c>
      <c r="BP11" s="751">
        <v>986884</v>
      </c>
      <c r="BQ11" s="751">
        <v>1705912</v>
      </c>
      <c r="BR11" s="751">
        <v>426478</v>
      </c>
      <c r="BS11" s="751">
        <v>0</v>
      </c>
      <c r="BT11" s="751">
        <v>2132390</v>
      </c>
      <c r="BU11" s="751">
        <v>86786</v>
      </c>
      <c r="BV11" s="751">
        <v>21697</v>
      </c>
      <c r="BW11" s="751">
        <v>0</v>
      </c>
      <c r="BX11" s="751">
        <v>108483</v>
      </c>
      <c r="BY11" s="751">
        <v>4904</v>
      </c>
      <c r="BZ11" s="751">
        <v>1226</v>
      </c>
      <c r="CA11" s="751">
        <v>0</v>
      </c>
      <c r="CB11" s="751">
        <v>6130</v>
      </c>
      <c r="CC11" s="751">
        <v>0</v>
      </c>
      <c r="CD11" s="751">
        <v>0</v>
      </c>
      <c r="CE11" s="751">
        <v>0</v>
      </c>
      <c r="CF11" s="751">
        <v>0</v>
      </c>
      <c r="CG11" s="751">
        <v>13406</v>
      </c>
      <c r="CH11" s="751">
        <v>3351</v>
      </c>
      <c r="CI11" s="751">
        <v>0</v>
      </c>
      <c r="CJ11" s="751">
        <v>16757</v>
      </c>
      <c r="CK11" s="751">
        <v>0</v>
      </c>
      <c r="CL11" s="751">
        <v>0</v>
      </c>
      <c r="CM11" s="751">
        <v>0</v>
      </c>
      <c r="CN11" s="751">
        <v>0</v>
      </c>
      <c r="CO11" s="751">
        <v>0</v>
      </c>
      <c r="CP11" s="751">
        <v>0</v>
      </c>
      <c r="CQ11" s="751">
        <v>0</v>
      </c>
      <c r="CR11" s="751">
        <v>0</v>
      </c>
      <c r="CS11" s="751">
        <v>0</v>
      </c>
      <c r="CT11" s="751">
        <v>0</v>
      </c>
      <c r="CU11" s="751">
        <v>0</v>
      </c>
      <c r="CV11" s="751">
        <v>0</v>
      </c>
      <c r="CW11" s="751">
        <v>2600515</v>
      </c>
      <c r="CX11" s="751">
        <v>650129</v>
      </c>
      <c r="CY11" s="751">
        <v>0</v>
      </c>
      <c r="CZ11" s="751">
        <v>3250644</v>
      </c>
      <c r="DA11" s="662" t="s">
        <v>633</v>
      </c>
      <c r="DB11" s="324" t="s">
        <v>568</v>
      </c>
      <c r="DC11" s="663" t="s">
        <v>512</v>
      </c>
      <c r="DD11" s="529" t="s">
        <v>1208</v>
      </c>
    </row>
    <row r="12" spans="1:108" ht="14.25" x14ac:dyDescent="0.2">
      <c r="A12" s="664">
        <v>5</v>
      </c>
      <c r="B12" s="665" t="s">
        <v>636</v>
      </c>
      <c r="C12" s="666" t="s">
        <v>1201</v>
      </c>
      <c r="D12" s="667" t="s">
        <v>1206</v>
      </c>
      <c r="E12" s="668" t="s">
        <v>1871</v>
      </c>
      <c r="F12" s="750">
        <v>38108387</v>
      </c>
      <c r="G12" s="751">
        <v>43284</v>
      </c>
      <c r="H12" s="751">
        <v>0</v>
      </c>
      <c r="I12" s="751">
        <v>147313</v>
      </c>
      <c r="J12" s="751">
        <v>0</v>
      </c>
      <c r="K12" s="751">
        <v>147313</v>
      </c>
      <c r="L12" s="751">
        <v>0</v>
      </c>
      <c r="M12" s="751">
        <v>0</v>
      </c>
      <c r="N12" s="751">
        <v>24215</v>
      </c>
      <c r="O12" s="751">
        <v>24215</v>
      </c>
      <c r="P12" s="751">
        <v>0</v>
      </c>
      <c r="Q12" s="751">
        <v>0</v>
      </c>
      <c r="R12" s="751">
        <v>37980143</v>
      </c>
      <c r="S12" s="749">
        <v>0.5</v>
      </c>
      <c r="T12" s="749">
        <v>0.4</v>
      </c>
      <c r="U12" s="749">
        <v>0.09</v>
      </c>
      <c r="V12" s="749">
        <v>0.01</v>
      </c>
      <c r="W12" s="749">
        <v>1</v>
      </c>
      <c r="X12" s="751">
        <v>18990072</v>
      </c>
      <c r="Y12" s="751">
        <v>15192057</v>
      </c>
      <c r="Z12" s="751">
        <v>3418213</v>
      </c>
      <c r="AA12" s="751">
        <v>379801</v>
      </c>
      <c r="AB12" s="751">
        <v>37980143</v>
      </c>
      <c r="AC12" s="751">
        <v>0</v>
      </c>
      <c r="AD12" s="751">
        <v>0</v>
      </c>
      <c r="AE12" s="751">
        <v>18990072</v>
      </c>
      <c r="AF12" s="751">
        <v>15192057</v>
      </c>
      <c r="AG12" s="751">
        <v>3418213</v>
      </c>
      <c r="AH12" s="751">
        <v>379801</v>
      </c>
      <c r="AI12" s="751">
        <v>37980143</v>
      </c>
      <c r="AJ12" s="751">
        <v>147313</v>
      </c>
      <c r="AK12" s="751">
        <v>147313</v>
      </c>
      <c r="AL12" s="751">
        <v>0</v>
      </c>
      <c r="AM12" s="751">
        <v>0</v>
      </c>
      <c r="AN12" s="751">
        <v>24215</v>
      </c>
      <c r="AO12" s="751">
        <v>0</v>
      </c>
      <c r="AP12" s="751">
        <v>24215</v>
      </c>
      <c r="AQ12" s="751">
        <v>0</v>
      </c>
      <c r="AR12" s="751">
        <v>0</v>
      </c>
      <c r="AS12" s="751">
        <v>0</v>
      </c>
      <c r="AT12" s="751">
        <v>0</v>
      </c>
      <c r="AU12" s="751">
        <v>0</v>
      </c>
      <c r="AV12" s="751">
        <v>0</v>
      </c>
      <c r="AW12" s="751">
        <v>0</v>
      </c>
      <c r="AX12" s="751">
        <v>0</v>
      </c>
      <c r="AY12" s="751">
        <v>0</v>
      </c>
      <c r="AZ12" s="751">
        <v>0</v>
      </c>
      <c r="BA12" s="751">
        <v>0</v>
      </c>
      <c r="BB12" s="751">
        <v>0</v>
      </c>
      <c r="BC12" s="751">
        <v>-5621485</v>
      </c>
      <c r="BD12" s="751">
        <v>-4497188</v>
      </c>
      <c r="BE12" s="751">
        <v>-1011867</v>
      </c>
      <c r="BF12" s="751">
        <v>-112430</v>
      </c>
      <c r="BG12" s="751">
        <v>-11242970</v>
      </c>
      <c r="BH12" s="751">
        <v>13368587</v>
      </c>
      <c r="BI12" s="751">
        <v>10866397</v>
      </c>
      <c r="BJ12" s="751">
        <v>2406346</v>
      </c>
      <c r="BK12" s="751">
        <v>267371</v>
      </c>
      <c r="BL12" s="751">
        <v>26908701</v>
      </c>
      <c r="BM12" s="751">
        <v>792832</v>
      </c>
      <c r="BN12" s="751">
        <v>178103</v>
      </c>
      <c r="BO12" s="751">
        <v>19789</v>
      </c>
      <c r="BP12" s="751">
        <v>990724</v>
      </c>
      <c r="BQ12" s="751">
        <v>1001376</v>
      </c>
      <c r="BR12" s="751">
        <v>225310</v>
      </c>
      <c r="BS12" s="751">
        <v>25034</v>
      </c>
      <c r="BT12" s="751">
        <v>1251720</v>
      </c>
      <c r="BU12" s="751">
        <v>61084</v>
      </c>
      <c r="BV12" s="751">
        <v>13612</v>
      </c>
      <c r="BW12" s="751">
        <v>1512</v>
      </c>
      <c r="BX12" s="751">
        <v>76208</v>
      </c>
      <c r="BY12" s="751">
        <v>0</v>
      </c>
      <c r="BZ12" s="751">
        <v>0</v>
      </c>
      <c r="CA12" s="751">
        <v>0</v>
      </c>
      <c r="CB12" s="751">
        <v>0</v>
      </c>
      <c r="CC12" s="751">
        <v>4670</v>
      </c>
      <c r="CD12" s="751">
        <v>1051</v>
      </c>
      <c r="CE12" s="751">
        <v>117</v>
      </c>
      <c r="CF12" s="751">
        <v>5838</v>
      </c>
      <c r="CG12" s="751">
        <v>5319</v>
      </c>
      <c r="CH12" s="751">
        <v>1197</v>
      </c>
      <c r="CI12" s="751">
        <v>133</v>
      </c>
      <c r="CJ12" s="751">
        <v>6649</v>
      </c>
      <c r="CK12" s="751">
        <v>0</v>
      </c>
      <c r="CL12" s="751">
        <v>0</v>
      </c>
      <c r="CM12" s="751">
        <v>0</v>
      </c>
      <c r="CN12" s="751">
        <v>0</v>
      </c>
      <c r="CO12" s="751">
        <v>0</v>
      </c>
      <c r="CP12" s="751">
        <v>0</v>
      </c>
      <c r="CQ12" s="751">
        <v>0</v>
      </c>
      <c r="CR12" s="751">
        <v>0</v>
      </c>
      <c r="CS12" s="751">
        <v>0</v>
      </c>
      <c r="CT12" s="751">
        <v>0</v>
      </c>
      <c r="CU12" s="751">
        <v>0</v>
      </c>
      <c r="CV12" s="751">
        <v>0</v>
      </c>
      <c r="CW12" s="751">
        <v>1865281</v>
      </c>
      <c r="CX12" s="751">
        <v>419273</v>
      </c>
      <c r="CY12" s="751">
        <v>46585</v>
      </c>
      <c r="CZ12" s="751">
        <v>2331139</v>
      </c>
      <c r="DA12" s="662" t="s">
        <v>635</v>
      </c>
      <c r="DB12" s="324" t="s">
        <v>559</v>
      </c>
      <c r="DC12" s="663" t="s">
        <v>558</v>
      </c>
      <c r="DD12" s="529" t="s">
        <v>1209</v>
      </c>
    </row>
    <row r="13" spans="1:108" ht="12.75" x14ac:dyDescent="0.2">
      <c r="A13" s="664">
        <v>6</v>
      </c>
      <c r="B13" s="665" t="s">
        <v>638</v>
      </c>
      <c r="C13" s="666" t="s">
        <v>1201</v>
      </c>
      <c r="D13" s="667" t="s">
        <v>1202</v>
      </c>
      <c r="E13" s="668" t="s">
        <v>637</v>
      </c>
      <c r="F13" s="750">
        <v>52690314</v>
      </c>
      <c r="G13" s="751">
        <v>62473</v>
      </c>
      <c r="H13" s="751">
        <v>0</v>
      </c>
      <c r="I13" s="751">
        <v>195787</v>
      </c>
      <c r="J13" s="751">
        <v>0</v>
      </c>
      <c r="K13" s="751">
        <v>195787</v>
      </c>
      <c r="L13" s="751">
        <v>0</v>
      </c>
      <c r="M13" s="751">
        <v>0</v>
      </c>
      <c r="N13" s="751">
        <v>99000</v>
      </c>
      <c r="O13" s="751">
        <v>99000</v>
      </c>
      <c r="P13" s="751">
        <v>0</v>
      </c>
      <c r="Q13" s="751">
        <v>0</v>
      </c>
      <c r="R13" s="751">
        <v>52458000</v>
      </c>
      <c r="S13" s="749">
        <v>0.5</v>
      </c>
      <c r="T13" s="749">
        <v>0.4</v>
      </c>
      <c r="U13" s="749">
        <v>0.09</v>
      </c>
      <c r="V13" s="749">
        <v>0.01</v>
      </c>
      <c r="W13" s="749">
        <v>1</v>
      </c>
      <c r="X13" s="751">
        <v>26229000</v>
      </c>
      <c r="Y13" s="751">
        <v>20983200</v>
      </c>
      <c r="Z13" s="751">
        <v>4721220</v>
      </c>
      <c r="AA13" s="751">
        <v>524580</v>
      </c>
      <c r="AB13" s="751">
        <v>52458000</v>
      </c>
      <c r="AC13" s="751">
        <v>0</v>
      </c>
      <c r="AD13" s="751">
        <v>0</v>
      </c>
      <c r="AE13" s="751">
        <v>26229000</v>
      </c>
      <c r="AF13" s="751">
        <v>20983200</v>
      </c>
      <c r="AG13" s="751">
        <v>4721220</v>
      </c>
      <c r="AH13" s="751">
        <v>524580</v>
      </c>
      <c r="AI13" s="751">
        <v>52458000</v>
      </c>
      <c r="AJ13" s="751">
        <v>195787</v>
      </c>
      <c r="AK13" s="751">
        <v>195787</v>
      </c>
      <c r="AL13" s="751">
        <v>0</v>
      </c>
      <c r="AM13" s="751">
        <v>0</v>
      </c>
      <c r="AN13" s="751">
        <v>99000</v>
      </c>
      <c r="AO13" s="751">
        <v>0</v>
      </c>
      <c r="AP13" s="751">
        <v>99000</v>
      </c>
      <c r="AQ13" s="751">
        <v>0</v>
      </c>
      <c r="AR13" s="751">
        <v>0</v>
      </c>
      <c r="AS13" s="751">
        <v>0</v>
      </c>
      <c r="AT13" s="751">
        <v>0</v>
      </c>
      <c r="AU13" s="751">
        <v>0</v>
      </c>
      <c r="AV13" s="751">
        <v>0</v>
      </c>
      <c r="AW13" s="751">
        <v>0</v>
      </c>
      <c r="AX13" s="751">
        <v>0</v>
      </c>
      <c r="AY13" s="751">
        <v>0</v>
      </c>
      <c r="AZ13" s="751">
        <v>0</v>
      </c>
      <c r="BA13" s="751">
        <v>0</v>
      </c>
      <c r="BB13" s="751">
        <v>0</v>
      </c>
      <c r="BC13" s="751">
        <v>-14655141</v>
      </c>
      <c r="BD13" s="751">
        <v>-11724113</v>
      </c>
      <c r="BE13" s="751">
        <v>-2637925</v>
      </c>
      <c r="BF13" s="751">
        <v>-293103</v>
      </c>
      <c r="BG13" s="751">
        <v>-29310282</v>
      </c>
      <c r="BH13" s="751">
        <v>11573859</v>
      </c>
      <c r="BI13" s="751">
        <v>9553874</v>
      </c>
      <c r="BJ13" s="751">
        <v>2083295</v>
      </c>
      <c r="BK13" s="751">
        <v>231477</v>
      </c>
      <c r="BL13" s="751">
        <v>23442505</v>
      </c>
      <c r="BM13" s="751">
        <v>1098471</v>
      </c>
      <c r="BN13" s="751">
        <v>245995</v>
      </c>
      <c r="BO13" s="751">
        <v>27333</v>
      </c>
      <c r="BP13" s="751">
        <v>1371799</v>
      </c>
      <c r="BQ13" s="751">
        <v>1537339</v>
      </c>
      <c r="BR13" s="751">
        <v>345901</v>
      </c>
      <c r="BS13" s="751">
        <v>38433</v>
      </c>
      <c r="BT13" s="751">
        <v>1921673</v>
      </c>
      <c r="BU13" s="751">
        <v>81324</v>
      </c>
      <c r="BV13" s="751">
        <v>18298</v>
      </c>
      <c r="BW13" s="751">
        <v>2033</v>
      </c>
      <c r="BX13" s="751">
        <v>101655</v>
      </c>
      <c r="BY13" s="751">
        <v>10521</v>
      </c>
      <c r="BZ13" s="751">
        <v>2367</v>
      </c>
      <c r="CA13" s="751">
        <v>263</v>
      </c>
      <c r="CB13" s="751">
        <v>13151</v>
      </c>
      <c r="CC13" s="751">
        <v>6660</v>
      </c>
      <c r="CD13" s="751">
        <v>1498</v>
      </c>
      <c r="CE13" s="751">
        <v>166</v>
      </c>
      <c r="CF13" s="751">
        <v>8324</v>
      </c>
      <c r="CG13" s="751">
        <v>8816</v>
      </c>
      <c r="CH13" s="751">
        <v>1984</v>
      </c>
      <c r="CI13" s="751">
        <v>220</v>
      </c>
      <c r="CJ13" s="751">
        <v>11020</v>
      </c>
      <c r="CK13" s="751">
        <v>0</v>
      </c>
      <c r="CL13" s="751">
        <v>0</v>
      </c>
      <c r="CM13" s="751">
        <v>0</v>
      </c>
      <c r="CN13" s="751">
        <v>0</v>
      </c>
      <c r="CO13" s="751">
        <v>0</v>
      </c>
      <c r="CP13" s="751">
        <v>0</v>
      </c>
      <c r="CQ13" s="751">
        <v>0</v>
      </c>
      <c r="CR13" s="751">
        <v>0</v>
      </c>
      <c r="CS13" s="751">
        <v>0</v>
      </c>
      <c r="CT13" s="751">
        <v>0</v>
      </c>
      <c r="CU13" s="751">
        <v>0</v>
      </c>
      <c r="CV13" s="751">
        <v>0</v>
      </c>
      <c r="CW13" s="751">
        <v>2743131</v>
      </c>
      <c r="CX13" s="751">
        <v>616043</v>
      </c>
      <c r="CY13" s="751">
        <v>68448</v>
      </c>
      <c r="CZ13" s="751">
        <v>3427622</v>
      </c>
      <c r="DA13" s="662" t="s">
        <v>637</v>
      </c>
      <c r="DB13" s="324" t="s">
        <v>543</v>
      </c>
      <c r="DC13" s="663" t="s">
        <v>542</v>
      </c>
      <c r="DD13" s="529" t="s">
        <v>1210</v>
      </c>
    </row>
    <row r="14" spans="1:108" ht="12.75" x14ac:dyDescent="0.2">
      <c r="A14" s="664">
        <v>7</v>
      </c>
      <c r="B14" s="665" t="s">
        <v>640</v>
      </c>
      <c r="C14" s="666" t="s">
        <v>1201</v>
      </c>
      <c r="D14" s="667" t="s">
        <v>1211</v>
      </c>
      <c r="E14" s="668" t="s">
        <v>639</v>
      </c>
      <c r="F14" s="750">
        <v>24672424</v>
      </c>
      <c r="G14" s="751">
        <v>0</v>
      </c>
      <c r="H14" s="751">
        <v>56748</v>
      </c>
      <c r="I14" s="751">
        <v>131379</v>
      </c>
      <c r="J14" s="751">
        <v>0</v>
      </c>
      <c r="K14" s="751">
        <v>131379</v>
      </c>
      <c r="L14" s="751">
        <v>0</v>
      </c>
      <c r="M14" s="751">
        <v>1215135</v>
      </c>
      <c r="N14" s="751">
        <v>30253</v>
      </c>
      <c r="O14" s="751">
        <v>30156</v>
      </c>
      <c r="P14" s="751">
        <v>97</v>
      </c>
      <c r="Q14" s="751">
        <v>0</v>
      </c>
      <c r="R14" s="751">
        <v>23238909</v>
      </c>
      <c r="S14" s="749">
        <v>0.5</v>
      </c>
      <c r="T14" s="749">
        <v>0.4</v>
      </c>
      <c r="U14" s="749">
        <v>0.1</v>
      </c>
      <c r="V14" s="749">
        <v>0</v>
      </c>
      <c r="W14" s="749">
        <v>1</v>
      </c>
      <c r="X14" s="751">
        <v>11619454</v>
      </c>
      <c r="Y14" s="751">
        <v>9295564</v>
      </c>
      <c r="Z14" s="751">
        <v>2323891</v>
      </c>
      <c r="AA14" s="751">
        <v>0</v>
      </c>
      <c r="AB14" s="751">
        <v>23238909</v>
      </c>
      <c r="AC14" s="751">
        <v>0</v>
      </c>
      <c r="AD14" s="751">
        <v>0</v>
      </c>
      <c r="AE14" s="751">
        <v>11619454</v>
      </c>
      <c r="AF14" s="751">
        <v>9295564</v>
      </c>
      <c r="AG14" s="751">
        <v>2323891</v>
      </c>
      <c r="AH14" s="751">
        <v>0</v>
      </c>
      <c r="AI14" s="751">
        <v>23238909</v>
      </c>
      <c r="AJ14" s="751">
        <v>131379</v>
      </c>
      <c r="AK14" s="751">
        <v>131379</v>
      </c>
      <c r="AL14" s="751">
        <v>1215135</v>
      </c>
      <c r="AM14" s="751">
        <v>1215135</v>
      </c>
      <c r="AN14" s="751">
        <v>30156</v>
      </c>
      <c r="AO14" s="751">
        <v>97</v>
      </c>
      <c r="AP14" s="751">
        <v>30253</v>
      </c>
      <c r="AQ14" s="751">
        <v>0</v>
      </c>
      <c r="AR14" s="751">
        <v>0</v>
      </c>
      <c r="AS14" s="751">
        <v>0</v>
      </c>
      <c r="AT14" s="751">
        <v>0</v>
      </c>
      <c r="AU14" s="751">
        <v>0</v>
      </c>
      <c r="AV14" s="751">
        <v>0</v>
      </c>
      <c r="AW14" s="751">
        <v>0</v>
      </c>
      <c r="AX14" s="751">
        <v>0</v>
      </c>
      <c r="AY14" s="751">
        <v>0</v>
      </c>
      <c r="AZ14" s="751">
        <v>0</v>
      </c>
      <c r="BA14" s="751">
        <v>0</v>
      </c>
      <c r="BB14" s="751">
        <v>0</v>
      </c>
      <c r="BC14" s="751">
        <v>-5953855</v>
      </c>
      <c r="BD14" s="751">
        <v>-4763084</v>
      </c>
      <c r="BE14" s="751">
        <v>-1190771</v>
      </c>
      <c r="BF14" s="751">
        <v>0</v>
      </c>
      <c r="BG14" s="751">
        <v>-11907710</v>
      </c>
      <c r="BH14" s="751">
        <v>5665599</v>
      </c>
      <c r="BI14" s="751">
        <v>5909150</v>
      </c>
      <c r="BJ14" s="751">
        <v>1133217</v>
      </c>
      <c r="BK14" s="751">
        <v>0</v>
      </c>
      <c r="BL14" s="751">
        <v>12707966</v>
      </c>
      <c r="BM14" s="751">
        <v>549223</v>
      </c>
      <c r="BN14" s="751">
        <v>121090</v>
      </c>
      <c r="BO14" s="751">
        <v>0</v>
      </c>
      <c r="BP14" s="751">
        <v>670313</v>
      </c>
      <c r="BQ14" s="751">
        <v>1210241</v>
      </c>
      <c r="BR14" s="751">
        <v>302560</v>
      </c>
      <c r="BS14" s="751">
        <v>0</v>
      </c>
      <c r="BT14" s="751">
        <v>1512801</v>
      </c>
      <c r="BU14" s="751">
        <v>59707</v>
      </c>
      <c r="BV14" s="751">
        <v>14927</v>
      </c>
      <c r="BW14" s="751">
        <v>0</v>
      </c>
      <c r="BX14" s="751">
        <v>74634</v>
      </c>
      <c r="BY14" s="751">
        <v>2206</v>
      </c>
      <c r="BZ14" s="751">
        <v>551</v>
      </c>
      <c r="CA14" s="751">
        <v>0</v>
      </c>
      <c r="CB14" s="751">
        <v>2757</v>
      </c>
      <c r="CC14" s="751">
        <v>30936</v>
      </c>
      <c r="CD14" s="751">
        <v>7734</v>
      </c>
      <c r="CE14" s="751">
        <v>0</v>
      </c>
      <c r="CF14" s="751">
        <v>38670</v>
      </c>
      <c r="CG14" s="751">
        <v>8002</v>
      </c>
      <c r="CH14" s="751">
        <v>2001</v>
      </c>
      <c r="CI14" s="751">
        <v>0</v>
      </c>
      <c r="CJ14" s="751">
        <v>10003</v>
      </c>
      <c r="CK14" s="751">
        <v>0</v>
      </c>
      <c r="CL14" s="751">
        <v>0</v>
      </c>
      <c r="CM14" s="751">
        <v>0</v>
      </c>
      <c r="CN14" s="751">
        <v>0</v>
      </c>
      <c r="CO14" s="751">
        <v>0</v>
      </c>
      <c r="CP14" s="751">
        <v>0</v>
      </c>
      <c r="CQ14" s="751">
        <v>0</v>
      </c>
      <c r="CR14" s="751">
        <v>0</v>
      </c>
      <c r="CS14" s="751">
        <v>631</v>
      </c>
      <c r="CT14" s="751">
        <v>158</v>
      </c>
      <c r="CU14" s="751">
        <v>0</v>
      </c>
      <c r="CV14" s="751">
        <v>789</v>
      </c>
      <c r="CW14" s="751">
        <v>1860946</v>
      </c>
      <c r="CX14" s="751">
        <v>449021</v>
      </c>
      <c r="CY14" s="751">
        <v>0</v>
      </c>
      <c r="CZ14" s="751">
        <v>2309967</v>
      </c>
      <c r="DA14" s="662" t="s">
        <v>639</v>
      </c>
      <c r="DB14" s="324" t="s">
        <v>565</v>
      </c>
      <c r="DC14" s="663" t="s">
        <v>512</v>
      </c>
      <c r="DD14" s="529" t="s">
        <v>1212</v>
      </c>
    </row>
    <row r="15" spans="1:108" ht="12.75" x14ac:dyDescent="0.2">
      <c r="A15" s="664">
        <v>8</v>
      </c>
      <c r="B15" s="665" t="s">
        <v>642</v>
      </c>
      <c r="C15" s="666" t="s">
        <v>1213</v>
      </c>
      <c r="D15" s="667" t="s">
        <v>1214</v>
      </c>
      <c r="E15" s="668" t="s">
        <v>641</v>
      </c>
      <c r="F15" s="750">
        <v>64295923</v>
      </c>
      <c r="G15" s="751">
        <v>39185</v>
      </c>
      <c r="H15" s="751">
        <v>0</v>
      </c>
      <c r="I15" s="751">
        <v>197739</v>
      </c>
      <c r="J15" s="751">
        <v>0</v>
      </c>
      <c r="K15" s="751">
        <v>197739</v>
      </c>
      <c r="L15" s="751">
        <v>0</v>
      </c>
      <c r="M15" s="751">
        <v>0</v>
      </c>
      <c r="N15" s="751">
        <v>0</v>
      </c>
      <c r="O15" s="751">
        <v>0</v>
      </c>
      <c r="P15" s="751">
        <v>0</v>
      </c>
      <c r="Q15" s="751">
        <v>0</v>
      </c>
      <c r="R15" s="751">
        <v>64137369</v>
      </c>
      <c r="S15" s="749">
        <v>0.33</v>
      </c>
      <c r="T15" s="749">
        <v>0.3</v>
      </c>
      <c r="U15" s="749">
        <v>0.37</v>
      </c>
      <c r="V15" s="749">
        <v>0</v>
      </c>
      <c r="W15" s="749">
        <v>1</v>
      </c>
      <c r="X15" s="751">
        <v>21165331</v>
      </c>
      <c r="Y15" s="751">
        <v>19241211</v>
      </c>
      <c r="Z15" s="751">
        <v>23730827</v>
      </c>
      <c r="AA15" s="751">
        <v>0</v>
      </c>
      <c r="AB15" s="751">
        <v>64137369</v>
      </c>
      <c r="AC15" s="751">
        <v>0</v>
      </c>
      <c r="AD15" s="751">
        <v>0</v>
      </c>
      <c r="AE15" s="751">
        <v>21165331</v>
      </c>
      <c r="AF15" s="751">
        <v>19241211</v>
      </c>
      <c r="AG15" s="751">
        <v>23730827</v>
      </c>
      <c r="AH15" s="751">
        <v>0</v>
      </c>
      <c r="AI15" s="751">
        <v>64137369</v>
      </c>
      <c r="AJ15" s="751">
        <v>197739</v>
      </c>
      <c r="AK15" s="751">
        <v>197739</v>
      </c>
      <c r="AL15" s="751">
        <v>0</v>
      </c>
      <c r="AM15" s="751">
        <v>0</v>
      </c>
      <c r="AN15" s="751">
        <v>0</v>
      </c>
      <c r="AO15" s="751">
        <v>0</v>
      </c>
      <c r="AP15" s="751">
        <v>0</v>
      </c>
      <c r="AQ15" s="751">
        <v>0</v>
      </c>
      <c r="AR15" s="751">
        <v>0</v>
      </c>
      <c r="AS15" s="751">
        <v>0</v>
      </c>
      <c r="AT15" s="751">
        <v>0</v>
      </c>
      <c r="AU15" s="751">
        <v>0</v>
      </c>
      <c r="AV15" s="751">
        <v>0</v>
      </c>
      <c r="AW15" s="751">
        <v>0</v>
      </c>
      <c r="AX15" s="751">
        <v>0</v>
      </c>
      <c r="AY15" s="751">
        <v>0</v>
      </c>
      <c r="AZ15" s="751">
        <v>0</v>
      </c>
      <c r="BA15" s="751">
        <v>0</v>
      </c>
      <c r="BB15" s="751">
        <v>0</v>
      </c>
      <c r="BC15" s="751">
        <v>-7586194</v>
      </c>
      <c r="BD15" s="751">
        <v>-6409134</v>
      </c>
      <c r="BE15" s="751">
        <v>-8525603</v>
      </c>
      <c r="BF15" s="751">
        <v>0</v>
      </c>
      <c r="BG15" s="751">
        <v>-22520932</v>
      </c>
      <c r="BH15" s="751">
        <v>13579137</v>
      </c>
      <c r="BI15" s="751">
        <v>13029816</v>
      </c>
      <c r="BJ15" s="751">
        <v>15205224</v>
      </c>
      <c r="BK15" s="751">
        <v>0</v>
      </c>
      <c r="BL15" s="751">
        <v>41814176</v>
      </c>
      <c r="BM15" s="751">
        <v>1002548</v>
      </c>
      <c r="BN15" s="751">
        <v>1236476</v>
      </c>
      <c r="BO15" s="751">
        <v>0</v>
      </c>
      <c r="BP15" s="751">
        <v>2239024</v>
      </c>
      <c r="BQ15" s="751">
        <v>1362137</v>
      </c>
      <c r="BR15" s="751">
        <v>1679968</v>
      </c>
      <c r="BS15" s="751">
        <v>0</v>
      </c>
      <c r="BT15" s="751">
        <v>3042105</v>
      </c>
      <c r="BU15" s="751">
        <v>0</v>
      </c>
      <c r="BV15" s="751">
        <v>0</v>
      </c>
      <c r="BW15" s="751">
        <v>0</v>
      </c>
      <c r="BX15" s="751">
        <v>0</v>
      </c>
      <c r="BY15" s="751">
        <v>4441</v>
      </c>
      <c r="BZ15" s="751">
        <v>5478</v>
      </c>
      <c r="CA15" s="751">
        <v>0</v>
      </c>
      <c r="CB15" s="751">
        <v>9919</v>
      </c>
      <c r="CC15" s="751">
        <v>0</v>
      </c>
      <c r="CD15" s="751">
        <v>0</v>
      </c>
      <c r="CE15" s="751">
        <v>0</v>
      </c>
      <c r="CF15" s="751">
        <v>0</v>
      </c>
      <c r="CG15" s="751">
        <v>2475</v>
      </c>
      <c r="CH15" s="751">
        <v>3052</v>
      </c>
      <c r="CI15" s="751">
        <v>0</v>
      </c>
      <c r="CJ15" s="751">
        <v>5527</v>
      </c>
      <c r="CK15" s="751">
        <v>0</v>
      </c>
      <c r="CL15" s="751">
        <v>0</v>
      </c>
      <c r="CM15" s="751">
        <v>0</v>
      </c>
      <c r="CN15" s="751">
        <v>0</v>
      </c>
      <c r="CO15" s="751">
        <v>0</v>
      </c>
      <c r="CP15" s="751">
        <v>0</v>
      </c>
      <c r="CQ15" s="751">
        <v>0</v>
      </c>
      <c r="CR15" s="751">
        <v>0</v>
      </c>
      <c r="CS15" s="751">
        <v>0</v>
      </c>
      <c r="CT15" s="751">
        <v>0</v>
      </c>
      <c r="CU15" s="751">
        <v>0</v>
      </c>
      <c r="CV15" s="751">
        <v>0</v>
      </c>
      <c r="CW15" s="751">
        <v>2371601</v>
      </c>
      <c r="CX15" s="751">
        <v>2924974</v>
      </c>
      <c r="CY15" s="751">
        <v>0</v>
      </c>
      <c r="CZ15" s="751">
        <v>5296575</v>
      </c>
      <c r="DA15" s="662" t="s">
        <v>641</v>
      </c>
      <c r="DB15" s="324" t="s">
        <v>576</v>
      </c>
      <c r="DC15" s="669" t="s">
        <v>485</v>
      </c>
      <c r="DD15" s="529" t="s">
        <v>1215</v>
      </c>
    </row>
    <row r="16" spans="1:108" ht="12.75" x14ac:dyDescent="0.2">
      <c r="A16" s="664">
        <v>9</v>
      </c>
      <c r="B16" s="665" t="s">
        <v>644</v>
      </c>
      <c r="C16" s="666" t="s">
        <v>1213</v>
      </c>
      <c r="D16" s="667" t="s">
        <v>1214</v>
      </c>
      <c r="E16" s="668" t="s">
        <v>643</v>
      </c>
      <c r="F16" s="750">
        <v>115241455</v>
      </c>
      <c r="G16" s="751">
        <v>0</v>
      </c>
      <c r="H16" s="751">
        <v>799340</v>
      </c>
      <c r="I16" s="751">
        <v>391107</v>
      </c>
      <c r="J16" s="751">
        <v>0</v>
      </c>
      <c r="K16" s="751">
        <v>391107</v>
      </c>
      <c r="L16" s="751">
        <v>0</v>
      </c>
      <c r="M16" s="751">
        <v>0</v>
      </c>
      <c r="N16" s="751">
        <v>0</v>
      </c>
      <c r="O16" s="751">
        <v>0</v>
      </c>
      <c r="P16" s="751">
        <v>0</v>
      </c>
      <c r="Q16" s="751">
        <v>0</v>
      </c>
      <c r="R16" s="751">
        <v>114051008</v>
      </c>
      <c r="S16" s="749">
        <v>0.33</v>
      </c>
      <c r="T16" s="749">
        <v>0.3</v>
      </c>
      <c r="U16" s="749">
        <v>0.37</v>
      </c>
      <c r="V16" s="749">
        <v>0</v>
      </c>
      <c r="W16" s="749">
        <v>1</v>
      </c>
      <c r="X16" s="751">
        <v>37636833</v>
      </c>
      <c r="Y16" s="751">
        <v>34215302</v>
      </c>
      <c r="Z16" s="751">
        <v>42198873</v>
      </c>
      <c r="AA16" s="751">
        <v>0</v>
      </c>
      <c r="AB16" s="751">
        <v>114051008</v>
      </c>
      <c r="AC16" s="751">
        <v>0</v>
      </c>
      <c r="AD16" s="751">
        <v>0</v>
      </c>
      <c r="AE16" s="751">
        <v>37636833</v>
      </c>
      <c r="AF16" s="751">
        <v>34215302</v>
      </c>
      <c r="AG16" s="751">
        <v>42198873</v>
      </c>
      <c r="AH16" s="751">
        <v>0</v>
      </c>
      <c r="AI16" s="751">
        <v>114051008</v>
      </c>
      <c r="AJ16" s="751">
        <v>391107</v>
      </c>
      <c r="AK16" s="751">
        <v>391107</v>
      </c>
      <c r="AL16" s="751">
        <v>0</v>
      </c>
      <c r="AM16" s="751">
        <v>0</v>
      </c>
      <c r="AN16" s="751">
        <v>0</v>
      </c>
      <c r="AO16" s="751">
        <v>0</v>
      </c>
      <c r="AP16" s="751">
        <v>0</v>
      </c>
      <c r="AQ16" s="751">
        <v>0</v>
      </c>
      <c r="AR16" s="751">
        <v>0</v>
      </c>
      <c r="AS16" s="751">
        <v>0</v>
      </c>
      <c r="AT16" s="751">
        <v>0</v>
      </c>
      <c r="AU16" s="751">
        <v>0</v>
      </c>
      <c r="AV16" s="751">
        <v>0</v>
      </c>
      <c r="AW16" s="751">
        <v>0</v>
      </c>
      <c r="AX16" s="751">
        <v>0</v>
      </c>
      <c r="AY16" s="751">
        <v>0</v>
      </c>
      <c r="AZ16" s="751">
        <v>0</v>
      </c>
      <c r="BA16" s="751">
        <v>0</v>
      </c>
      <c r="BB16" s="751">
        <v>0</v>
      </c>
      <c r="BC16" s="751">
        <v>-24379216</v>
      </c>
      <c r="BD16" s="751">
        <v>-21634717</v>
      </c>
      <c r="BE16" s="751">
        <v>-27355806</v>
      </c>
      <c r="BF16" s="751">
        <v>0</v>
      </c>
      <c r="BG16" s="751">
        <v>-73369738</v>
      </c>
      <c r="BH16" s="751">
        <v>13257617</v>
      </c>
      <c r="BI16" s="751">
        <v>12971692</v>
      </c>
      <c r="BJ16" s="751">
        <v>14843067</v>
      </c>
      <c r="BK16" s="751">
        <v>0</v>
      </c>
      <c r="BL16" s="751">
        <v>41072377</v>
      </c>
      <c r="BM16" s="751">
        <v>1782761</v>
      </c>
      <c r="BN16" s="751">
        <v>2198739</v>
      </c>
      <c r="BO16" s="751">
        <v>0</v>
      </c>
      <c r="BP16" s="751">
        <v>3981500</v>
      </c>
      <c r="BQ16" s="751">
        <v>2131519</v>
      </c>
      <c r="BR16" s="751">
        <v>2622151</v>
      </c>
      <c r="BS16" s="751">
        <v>0</v>
      </c>
      <c r="BT16" s="751">
        <v>4753670</v>
      </c>
      <c r="BU16" s="751">
        <v>144064</v>
      </c>
      <c r="BV16" s="751">
        <v>171294</v>
      </c>
      <c r="BW16" s="751">
        <v>0</v>
      </c>
      <c r="BX16" s="751">
        <v>315358</v>
      </c>
      <c r="BY16" s="751">
        <v>0</v>
      </c>
      <c r="BZ16" s="751">
        <v>0</v>
      </c>
      <c r="CA16" s="751">
        <v>0</v>
      </c>
      <c r="CB16" s="751">
        <v>0</v>
      </c>
      <c r="CC16" s="751">
        <v>0</v>
      </c>
      <c r="CD16" s="751">
        <v>0</v>
      </c>
      <c r="CE16" s="751">
        <v>0</v>
      </c>
      <c r="CF16" s="751">
        <v>0</v>
      </c>
      <c r="CG16" s="751">
        <v>34891</v>
      </c>
      <c r="CH16" s="751">
        <v>43032</v>
      </c>
      <c r="CI16" s="751">
        <v>0</v>
      </c>
      <c r="CJ16" s="751">
        <v>77923</v>
      </c>
      <c r="CK16" s="751">
        <v>0</v>
      </c>
      <c r="CL16" s="751">
        <v>0</v>
      </c>
      <c r="CM16" s="751">
        <v>0</v>
      </c>
      <c r="CN16" s="751">
        <v>0</v>
      </c>
      <c r="CO16" s="751">
        <v>0</v>
      </c>
      <c r="CP16" s="751">
        <v>0</v>
      </c>
      <c r="CQ16" s="751">
        <v>0</v>
      </c>
      <c r="CR16" s="751">
        <v>0</v>
      </c>
      <c r="CS16" s="751">
        <v>0</v>
      </c>
      <c r="CT16" s="751">
        <v>0</v>
      </c>
      <c r="CU16" s="751">
        <v>0</v>
      </c>
      <c r="CV16" s="751">
        <v>0</v>
      </c>
      <c r="CW16" s="751">
        <v>4093235</v>
      </c>
      <c r="CX16" s="751">
        <v>5035216</v>
      </c>
      <c r="CY16" s="751">
        <v>0</v>
      </c>
      <c r="CZ16" s="751">
        <v>9128451</v>
      </c>
      <c r="DA16" s="662" t="s">
        <v>643</v>
      </c>
      <c r="DB16" s="324" t="s">
        <v>576</v>
      </c>
      <c r="DC16" s="669" t="s">
        <v>485</v>
      </c>
      <c r="DD16" s="529" t="s">
        <v>1216</v>
      </c>
    </row>
    <row r="17" spans="1:108" ht="12.75" x14ac:dyDescent="0.2">
      <c r="A17" s="664">
        <v>10</v>
      </c>
      <c r="B17" s="665" t="s">
        <v>646</v>
      </c>
      <c r="C17" s="666" t="s">
        <v>1217</v>
      </c>
      <c r="D17" s="667" t="s">
        <v>1218</v>
      </c>
      <c r="E17" s="668" t="s">
        <v>645</v>
      </c>
      <c r="F17" s="750">
        <v>47371613</v>
      </c>
      <c r="G17" s="751">
        <v>0</v>
      </c>
      <c r="H17" s="751">
        <v>799060</v>
      </c>
      <c r="I17" s="751">
        <v>312520</v>
      </c>
      <c r="J17" s="751">
        <v>0</v>
      </c>
      <c r="K17" s="751">
        <v>312520</v>
      </c>
      <c r="L17" s="751">
        <v>0</v>
      </c>
      <c r="M17" s="751">
        <v>671126</v>
      </c>
      <c r="N17" s="751">
        <v>50176</v>
      </c>
      <c r="O17" s="751">
        <v>50176</v>
      </c>
      <c r="P17" s="751">
        <v>0</v>
      </c>
      <c r="Q17" s="751">
        <v>0</v>
      </c>
      <c r="R17" s="751">
        <v>45538731</v>
      </c>
      <c r="S17" s="749">
        <v>0.5</v>
      </c>
      <c r="T17" s="749">
        <v>0.49</v>
      </c>
      <c r="U17" s="749">
        <v>0</v>
      </c>
      <c r="V17" s="749">
        <v>0.01</v>
      </c>
      <c r="W17" s="749">
        <v>1</v>
      </c>
      <c r="X17" s="751">
        <v>22769366</v>
      </c>
      <c r="Y17" s="751">
        <v>22313978</v>
      </c>
      <c r="Z17" s="751">
        <v>0</v>
      </c>
      <c r="AA17" s="751">
        <v>455387</v>
      </c>
      <c r="AB17" s="751">
        <v>45538731</v>
      </c>
      <c r="AC17" s="751">
        <v>129306</v>
      </c>
      <c r="AD17" s="751">
        <v>129306</v>
      </c>
      <c r="AE17" s="751">
        <v>22640060</v>
      </c>
      <c r="AF17" s="751">
        <v>22313978</v>
      </c>
      <c r="AG17" s="751">
        <v>0</v>
      </c>
      <c r="AH17" s="751">
        <v>455387</v>
      </c>
      <c r="AI17" s="751">
        <v>45409425</v>
      </c>
      <c r="AJ17" s="751">
        <v>312520</v>
      </c>
      <c r="AK17" s="751">
        <v>312520</v>
      </c>
      <c r="AL17" s="751">
        <v>671126</v>
      </c>
      <c r="AM17" s="751">
        <v>671126</v>
      </c>
      <c r="AN17" s="751">
        <v>50176</v>
      </c>
      <c r="AO17" s="751">
        <v>0</v>
      </c>
      <c r="AP17" s="751">
        <v>50176</v>
      </c>
      <c r="AQ17" s="751">
        <v>0</v>
      </c>
      <c r="AR17" s="751">
        <v>0</v>
      </c>
      <c r="AS17" s="751">
        <v>0</v>
      </c>
      <c r="AT17" s="751">
        <v>0</v>
      </c>
      <c r="AU17" s="751">
        <v>129306</v>
      </c>
      <c r="AV17" s="751">
        <v>0</v>
      </c>
      <c r="AW17" s="751">
        <v>0</v>
      </c>
      <c r="AX17" s="751">
        <v>129306</v>
      </c>
      <c r="AY17" s="751">
        <v>0</v>
      </c>
      <c r="AZ17" s="751">
        <v>0</v>
      </c>
      <c r="BA17" s="751">
        <v>0</v>
      </c>
      <c r="BB17" s="751">
        <v>0</v>
      </c>
      <c r="BC17" s="751">
        <v>-7432932</v>
      </c>
      <c r="BD17" s="751">
        <v>-7284273</v>
      </c>
      <c r="BE17" s="751">
        <v>0</v>
      </c>
      <c r="BF17" s="751">
        <v>-148659</v>
      </c>
      <c r="BG17" s="751">
        <v>-14865864</v>
      </c>
      <c r="BH17" s="751">
        <v>15207128</v>
      </c>
      <c r="BI17" s="751">
        <v>16192833</v>
      </c>
      <c r="BJ17" s="751">
        <v>0</v>
      </c>
      <c r="BK17" s="751">
        <v>306728</v>
      </c>
      <c r="BL17" s="751">
        <v>31706689</v>
      </c>
      <c r="BM17" s="751">
        <v>1206972</v>
      </c>
      <c r="BN17" s="751">
        <v>0</v>
      </c>
      <c r="BO17" s="751">
        <v>23728</v>
      </c>
      <c r="BP17" s="751">
        <v>1230700</v>
      </c>
      <c r="BQ17" s="751">
        <v>2932866</v>
      </c>
      <c r="BR17" s="751">
        <v>0</v>
      </c>
      <c r="BS17" s="751">
        <v>59854</v>
      </c>
      <c r="BT17" s="751">
        <v>2992720</v>
      </c>
      <c r="BU17" s="751">
        <v>122471</v>
      </c>
      <c r="BV17" s="751">
        <v>0</v>
      </c>
      <c r="BW17" s="751">
        <v>2428</v>
      </c>
      <c r="BX17" s="751">
        <v>124899</v>
      </c>
      <c r="BY17" s="751">
        <v>0</v>
      </c>
      <c r="BZ17" s="751">
        <v>0</v>
      </c>
      <c r="CA17" s="751">
        <v>0</v>
      </c>
      <c r="CB17" s="751">
        <v>0</v>
      </c>
      <c r="CC17" s="751">
        <v>960</v>
      </c>
      <c r="CD17" s="751">
        <v>0</v>
      </c>
      <c r="CE17" s="751">
        <v>20</v>
      </c>
      <c r="CF17" s="751">
        <v>980</v>
      </c>
      <c r="CG17" s="751">
        <v>13198</v>
      </c>
      <c r="CH17" s="751">
        <v>0</v>
      </c>
      <c r="CI17" s="751">
        <v>269</v>
      </c>
      <c r="CJ17" s="751">
        <v>13467</v>
      </c>
      <c r="CK17" s="751">
        <v>0</v>
      </c>
      <c r="CL17" s="751">
        <v>0</v>
      </c>
      <c r="CM17" s="751">
        <v>0</v>
      </c>
      <c r="CN17" s="751">
        <v>0</v>
      </c>
      <c r="CO17" s="751">
        <v>0</v>
      </c>
      <c r="CP17" s="751">
        <v>0</v>
      </c>
      <c r="CQ17" s="751">
        <v>0</v>
      </c>
      <c r="CR17" s="751">
        <v>0</v>
      </c>
      <c r="CS17" s="751">
        <v>773</v>
      </c>
      <c r="CT17" s="751">
        <v>0</v>
      </c>
      <c r="CU17" s="751">
        <v>16</v>
      </c>
      <c r="CV17" s="751">
        <v>789</v>
      </c>
      <c r="CW17" s="751">
        <v>4277240</v>
      </c>
      <c r="CX17" s="751">
        <v>0</v>
      </c>
      <c r="CY17" s="751">
        <v>86315</v>
      </c>
      <c r="CZ17" s="751">
        <v>4363555</v>
      </c>
      <c r="DA17" s="662" t="s">
        <v>645</v>
      </c>
      <c r="DB17" s="324" t="s">
        <v>570</v>
      </c>
      <c r="DC17" s="663" t="s">
        <v>572</v>
      </c>
      <c r="DD17" s="529" t="s">
        <v>1219</v>
      </c>
    </row>
    <row r="18" spans="1:108" ht="12.75" x14ac:dyDescent="0.2">
      <c r="A18" s="664">
        <v>11</v>
      </c>
      <c r="B18" s="665" t="s">
        <v>648</v>
      </c>
      <c r="C18" s="666" t="s">
        <v>1201</v>
      </c>
      <c r="D18" s="667" t="s">
        <v>1204</v>
      </c>
      <c r="E18" s="668" t="s">
        <v>647</v>
      </c>
      <c r="F18" s="750">
        <v>22492623</v>
      </c>
      <c r="G18" s="751">
        <v>0</v>
      </c>
      <c r="H18" s="751">
        <v>444403</v>
      </c>
      <c r="I18" s="751">
        <v>89737</v>
      </c>
      <c r="J18" s="751">
        <v>0</v>
      </c>
      <c r="K18" s="751">
        <v>89737</v>
      </c>
      <c r="L18" s="751">
        <v>0</v>
      </c>
      <c r="M18" s="751">
        <v>0</v>
      </c>
      <c r="N18" s="751">
        <v>163082</v>
      </c>
      <c r="O18" s="751">
        <v>163082</v>
      </c>
      <c r="P18" s="751">
        <v>0</v>
      </c>
      <c r="Q18" s="751">
        <v>0</v>
      </c>
      <c r="R18" s="751">
        <v>21795401</v>
      </c>
      <c r="S18" s="749">
        <v>0.5</v>
      </c>
      <c r="T18" s="749">
        <v>0.4</v>
      </c>
      <c r="U18" s="749">
        <v>0.1</v>
      </c>
      <c r="V18" s="749">
        <v>0</v>
      </c>
      <c r="W18" s="749">
        <v>1</v>
      </c>
      <c r="X18" s="751">
        <v>10897701</v>
      </c>
      <c r="Y18" s="751">
        <v>8718160</v>
      </c>
      <c r="Z18" s="751">
        <v>2179540</v>
      </c>
      <c r="AA18" s="751">
        <v>0</v>
      </c>
      <c r="AB18" s="751">
        <v>21795401</v>
      </c>
      <c r="AC18" s="751">
        <v>0</v>
      </c>
      <c r="AD18" s="751">
        <v>0</v>
      </c>
      <c r="AE18" s="751">
        <v>10897701</v>
      </c>
      <c r="AF18" s="751">
        <v>8718160</v>
      </c>
      <c r="AG18" s="751">
        <v>2179540</v>
      </c>
      <c r="AH18" s="751">
        <v>0</v>
      </c>
      <c r="AI18" s="751">
        <v>21795401</v>
      </c>
      <c r="AJ18" s="751">
        <v>89737</v>
      </c>
      <c r="AK18" s="751">
        <v>89737</v>
      </c>
      <c r="AL18" s="751">
        <v>0</v>
      </c>
      <c r="AM18" s="751">
        <v>0</v>
      </c>
      <c r="AN18" s="751">
        <v>163082</v>
      </c>
      <c r="AO18" s="751">
        <v>0</v>
      </c>
      <c r="AP18" s="751">
        <v>163082</v>
      </c>
      <c r="AQ18" s="751">
        <v>0</v>
      </c>
      <c r="AR18" s="751">
        <v>0</v>
      </c>
      <c r="AS18" s="751">
        <v>0</v>
      </c>
      <c r="AT18" s="751">
        <v>0</v>
      </c>
      <c r="AU18" s="751">
        <v>0</v>
      </c>
      <c r="AV18" s="751">
        <v>0</v>
      </c>
      <c r="AW18" s="751">
        <v>0</v>
      </c>
      <c r="AX18" s="751">
        <v>0</v>
      </c>
      <c r="AY18" s="751">
        <v>0</v>
      </c>
      <c r="AZ18" s="751">
        <v>0</v>
      </c>
      <c r="BA18" s="751">
        <v>0</v>
      </c>
      <c r="BB18" s="751">
        <v>0</v>
      </c>
      <c r="BC18" s="751">
        <v>-4704034</v>
      </c>
      <c r="BD18" s="751">
        <v>-3763227</v>
      </c>
      <c r="BE18" s="751">
        <v>-940807</v>
      </c>
      <c r="BF18" s="751">
        <v>0</v>
      </c>
      <c r="BG18" s="751">
        <v>-9408067</v>
      </c>
      <c r="BH18" s="751">
        <v>6193668</v>
      </c>
      <c r="BI18" s="751">
        <v>5207752</v>
      </c>
      <c r="BJ18" s="751">
        <v>1238733</v>
      </c>
      <c r="BK18" s="751">
        <v>0</v>
      </c>
      <c r="BL18" s="751">
        <v>12640153</v>
      </c>
      <c r="BM18" s="751">
        <v>462750</v>
      </c>
      <c r="BN18" s="751">
        <v>113563</v>
      </c>
      <c r="BO18" s="751">
        <v>0</v>
      </c>
      <c r="BP18" s="751">
        <v>576313</v>
      </c>
      <c r="BQ18" s="751">
        <v>657342</v>
      </c>
      <c r="BR18" s="751">
        <v>164335</v>
      </c>
      <c r="BS18" s="751">
        <v>0</v>
      </c>
      <c r="BT18" s="751">
        <v>821677</v>
      </c>
      <c r="BU18" s="751">
        <v>33355</v>
      </c>
      <c r="BV18" s="751">
        <v>8339</v>
      </c>
      <c r="BW18" s="751">
        <v>0</v>
      </c>
      <c r="BX18" s="751">
        <v>41694</v>
      </c>
      <c r="BY18" s="751">
        <v>1197</v>
      </c>
      <c r="BZ18" s="751">
        <v>299</v>
      </c>
      <c r="CA18" s="751">
        <v>0</v>
      </c>
      <c r="CB18" s="751">
        <v>1496</v>
      </c>
      <c r="CC18" s="751">
        <v>0</v>
      </c>
      <c r="CD18" s="751">
        <v>0</v>
      </c>
      <c r="CE18" s="751">
        <v>0</v>
      </c>
      <c r="CF18" s="751">
        <v>0</v>
      </c>
      <c r="CG18" s="751">
        <v>1430</v>
      </c>
      <c r="CH18" s="751">
        <v>358</v>
      </c>
      <c r="CI18" s="751">
        <v>0</v>
      </c>
      <c r="CJ18" s="751">
        <v>1788</v>
      </c>
      <c r="CK18" s="751">
        <v>0</v>
      </c>
      <c r="CL18" s="751">
        <v>0</v>
      </c>
      <c r="CM18" s="751">
        <v>0</v>
      </c>
      <c r="CN18" s="751">
        <v>0</v>
      </c>
      <c r="CO18" s="751">
        <v>0</v>
      </c>
      <c r="CP18" s="751">
        <v>0</v>
      </c>
      <c r="CQ18" s="751">
        <v>0</v>
      </c>
      <c r="CR18" s="751">
        <v>0</v>
      </c>
      <c r="CS18" s="751">
        <v>0</v>
      </c>
      <c r="CT18" s="751">
        <v>0</v>
      </c>
      <c r="CU18" s="751">
        <v>0</v>
      </c>
      <c r="CV18" s="751">
        <v>0</v>
      </c>
      <c r="CW18" s="751">
        <v>1156074</v>
      </c>
      <c r="CX18" s="751">
        <v>286894</v>
      </c>
      <c r="CY18" s="751">
        <v>0</v>
      </c>
      <c r="CZ18" s="751">
        <v>1442968</v>
      </c>
      <c r="DA18" s="662" t="s">
        <v>647</v>
      </c>
      <c r="DB18" s="324" t="s">
        <v>513</v>
      </c>
      <c r="DC18" s="663" t="s">
        <v>512</v>
      </c>
      <c r="DD18" s="529" t="s">
        <v>1220</v>
      </c>
    </row>
    <row r="19" spans="1:108" ht="12.75" x14ac:dyDescent="0.2">
      <c r="A19" s="664">
        <v>12</v>
      </c>
      <c r="B19" s="665" t="s">
        <v>650</v>
      </c>
      <c r="C19" s="666" t="s">
        <v>1201</v>
      </c>
      <c r="D19" s="667" t="s">
        <v>1211</v>
      </c>
      <c r="E19" s="668" t="s">
        <v>649</v>
      </c>
      <c r="F19" s="750">
        <v>77409769</v>
      </c>
      <c r="G19" s="751">
        <v>0</v>
      </c>
      <c r="H19" s="751">
        <v>379430</v>
      </c>
      <c r="I19" s="751">
        <v>221779</v>
      </c>
      <c r="J19" s="751">
        <v>0</v>
      </c>
      <c r="K19" s="751">
        <v>221779</v>
      </c>
      <c r="L19" s="751">
        <v>0</v>
      </c>
      <c r="M19" s="751">
        <v>0</v>
      </c>
      <c r="N19" s="751">
        <v>23736</v>
      </c>
      <c r="O19" s="751">
        <v>23736</v>
      </c>
      <c r="P19" s="751">
        <v>0</v>
      </c>
      <c r="Q19" s="751">
        <v>0</v>
      </c>
      <c r="R19" s="751">
        <v>76784824</v>
      </c>
      <c r="S19" s="749">
        <v>0.5</v>
      </c>
      <c r="T19" s="749">
        <v>0.4</v>
      </c>
      <c r="U19" s="749">
        <v>0.09</v>
      </c>
      <c r="V19" s="749">
        <v>0.01</v>
      </c>
      <c r="W19" s="749">
        <v>1</v>
      </c>
      <c r="X19" s="751">
        <v>38392412</v>
      </c>
      <c r="Y19" s="751">
        <v>30713930</v>
      </c>
      <c r="Z19" s="751">
        <v>6910634</v>
      </c>
      <c r="AA19" s="751">
        <v>767848</v>
      </c>
      <c r="AB19" s="751">
        <v>76784824</v>
      </c>
      <c r="AC19" s="751">
        <v>0</v>
      </c>
      <c r="AD19" s="751">
        <v>0</v>
      </c>
      <c r="AE19" s="751">
        <v>38392412</v>
      </c>
      <c r="AF19" s="751">
        <v>30713930</v>
      </c>
      <c r="AG19" s="751">
        <v>6910634</v>
      </c>
      <c r="AH19" s="751">
        <v>767848</v>
      </c>
      <c r="AI19" s="751">
        <v>76784824</v>
      </c>
      <c r="AJ19" s="751">
        <v>221779</v>
      </c>
      <c r="AK19" s="751">
        <v>221779</v>
      </c>
      <c r="AL19" s="751">
        <v>0</v>
      </c>
      <c r="AM19" s="751">
        <v>0</v>
      </c>
      <c r="AN19" s="751">
        <v>23736</v>
      </c>
      <c r="AO19" s="751">
        <v>0</v>
      </c>
      <c r="AP19" s="751">
        <v>23736</v>
      </c>
      <c r="AQ19" s="751">
        <v>0</v>
      </c>
      <c r="AR19" s="751">
        <v>0</v>
      </c>
      <c r="AS19" s="751">
        <v>0</v>
      </c>
      <c r="AT19" s="751">
        <v>0</v>
      </c>
      <c r="AU19" s="751">
        <v>0</v>
      </c>
      <c r="AV19" s="751">
        <v>0</v>
      </c>
      <c r="AW19" s="751">
        <v>0</v>
      </c>
      <c r="AX19" s="751">
        <v>0</v>
      </c>
      <c r="AY19" s="751">
        <v>0</v>
      </c>
      <c r="AZ19" s="751">
        <v>0</v>
      </c>
      <c r="BA19" s="751">
        <v>0</v>
      </c>
      <c r="BB19" s="751">
        <v>0</v>
      </c>
      <c r="BC19" s="751">
        <v>-17848818</v>
      </c>
      <c r="BD19" s="751">
        <v>-14279054</v>
      </c>
      <c r="BE19" s="751">
        <v>-3212787</v>
      </c>
      <c r="BF19" s="751">
        <v>-356976</v>
      </c>
      <c r="BG19" s="751">
        <v>-35697635</v>
      </c>
      <c r="BH19" s="751">
        <v>20543595</v>
      </c>
      <c r="BI19" s="751">
        <v>16680391</v>
      </c>
      <c r="BJ19" s="751">
        <v>3697847</v>
      </c>
      <c r="BK19" s="751">
        <v>410872</v>
      </c>
      <c r="BL19" s="751">
        <v>41332704</v>
      </c>
      <c r="BM19" s="751">
        <v>1601562</v>
      </c>
      <c r="BN19" s="751">
        <v>360073</v>
      </c>
      <c r="BO19" s="751">
        <v>40008</v>
      </c>
      <c r="BP19" s="751">
        <v>2001643</v>
      </c>
      <c r="BQ19" s="751">
        <v>1760416</v>
      </c>
      <c r="BR19" s="751">
        <v>396094</v>
      </c>
      <c r="BS19" s="751">
        <v>44010</v>
      </c>
      <c r="BT19" s="751">
        <v>2200520</v>
      </c>
      <c r="BU19" s="751">
        <v>145196</v>
      </c>
      <c r="BV19" s="751">
        <v>32669</v>
      </c>
      <c r="BW19" s="751">
        <v>3630</v>
      </c>
      <c r="BX19" s="751">
        <v>181495</v>
      </c>
      <c r="BY19" s="751">
        <v>0</v>
      </c>
      <c r="BZ19" s="751">
        <v>0</v>
      </c>
      <c r="CA19" s="751">
        <v>0</v>
      </c>
      <c r="CB19" s="751">
        <v>0</v>
      </c>
      <c r="CC19" s="751">
        <v>722</v>
      </c>
      <c r="CD19" s="751">
        <v>162</v>
      </c>
      <c r="CE19" s="751">
        <v>18</v>
      </c>
      <c r="CF19" s="751">
        <v>902</v>
      </c>
      <c r="CG19" s="751">
        <v>5106</v>
      </c>
      <c r="CH19" s="751">
        <v>1149</v>
      </c>
      <c r="CI19" s="751">
        <v>128</v>
      </c>
      <c r="CJ19" s="751">
        <v>6383</v>
      </c>
      <c r="CK19" s="751">
        <v>0</v>
      </c>
      <c r="CL19" s="751">
        <v>0</v>
      </c>
      <c r="CM19" s="751">
        <v>0</v>
      </c>
      <c r="CN19" s="751">
        <v>0</v>
      </c>
      <c r="CO19" s="751">
        <v>0</v>
      </c>
      <c r="CP19" s="751">
        <v>0</v>
      </c>
      <c r="CQ19" s="751">
        <v>0</v>
      </c>
      <c r="CR19" s="751">
        <v>0</v>
      </c>
      <c r="CS19" s="751">
        <v>0</v>
      </c>
      <c r="CT19" s="751">
        <v>0</v>
      </c>
      <c r="CU19" s="751">
        <v>0</v>
      </c>
      <c r="CV19" s="751">
        <v>0</v>
      </c>
      <c r="CW19" s="751">
        <v>3513002</v>
      </c>
      <c r="CX19" s="751">
        <v>790147</v>
      </c>
      <c r="CY19" s="751">
        <v>87794</v>
      </c>
      <c r="CZ19" s="751">
        <v>4390943</v>
      </c>
      <c r="DA19" s="662" t="s">
        <v>649</v>
      </c>
      <c r="DB19" s="324" t="s">
        <v>528</v>
      </c>
      <c r="DC19" s="663" t="s">
        <v>1913</v>
      </c>
      <c r="DD19" s="529" t="s">
        <v>1221</v>
      </c>
    </row>
    <row r="20" spans="1:108" ht="12.75" x14ac:dyDescent="0.2">
      <c r="A20" s="664">
        <v>13</v>
      </c>
      <c r="B20" s="665" t="s">
        <v>652</v>
      </c>
      <c r="C20" s="666" t="s">
        <v>1201</v>
      </c>
      <c r="D20" s="667" t="s">
        <v>1202</v>
      </c>
      <c r="E20" s="668" t="s">
        <v>825</v>
      </c>
      <c r="F20" s="750">
        <v>75203360</v>
      </c>
      <c r="G20" s="751">
        <v>0</v>
      </c>
      <c r="H20" s="751">
        <v>2000000</v>
      </c>
      <c r="I20" s="751">
        <v>200353</v>
      </c>
      <c r="J20" s="751">
        <v>0</v>
      </c>
      <c r="K20" s="751">
        <v>200353</v>
      </c>
      <c r="L20" s="751">
        <v>0</v>
      </c>
      <c r="M20" s="751">
        <v>0</v>
      </c>
      <c r="N20" s="751">
        <v>492906</v>
      </c>
      <c r="O20" s="751">
        <v>91817</v>
      </c>
      <c r="P20" s="751">
        <v>401089</v>
      </c>
      <c r="Q20" s="751">
        <v>0</v>
      </c>
      <c r="R20" s="751">
        <v>72510101</v>
      </c>
      <c r="S20" s="749">
        <v>0.5</v>
      </c>
      <c r="T20" s="749">
        <v>0.4</v>
      </c>
      <c r="U20" s="749">
        <v>0.09</v>
      </c>
      <c r="V20" s="749">
        <v>0.01</v>
      </c>
      <c r="W20" s="749">
        <v>1</v>
      </c>
      <c r="X20" s="751">
        <v>36255051</v>
      </c>
      <c r="Y20" s="751">
        <v>29004040</v>
      </c>
      <c r="Z20" s="751">
        <v>6525909</v>
      </c>
      <c r="AA20" s="751">
        <v>725101</v>
      </c>
      <c r="AB20" s="751">
        <v>72510101</v>
      </c>
      <c r="AC20" s="751">
        <v>436769</v>
      </c>
      <c r="AD20" s="751">
        <v>436769</v>
      </c>
      <c r="AE20" s="751">
        <v>35818282</v>
      </c>
      <c r="AF20" s="751">
        <v>29004040</v>
      </c>
      <c r="AG20" s="751">
        <v>6525909</v>
      </c>
      <c r="AH20" s="751">
        <v>725101</v>
      </c>
      <c r="AI20" s="751">
        <v>72073332</v>
      </c>
      <c r="AJ20" s="751">
        <v>200353</v>
      </c>
      <c r="AK20" s="751">
        <v>200353</v>
      </c>
      <c r="AL20" s="751">
        <v>0</v>
      </c>
      <c r="AM20" s="751">
        <v>0</v>
      </c>
      <c r="AN20" s="751">
        <v>91817</v>
      </c>
      <c r="AO20" s="751">
        <v>401089</v>
      </c>
      <c r="AP20" s="751">
        <v>492906</v>
      </c>
      <c r="AQ20" s="751">
        <v>0</v>
      </c>
      <c r="AR20" s="751">
        <v>0</v>
      </c>
      <c r="AS20" s="751">
        <v>0</v>
      </c>
      <c r="AT20" s="751">
        <v>0</v>
      </c>
      <c r="AU20" s="751">
        <v>436769</v>
      </c>
      <c r="AV20" s="751">
        <v>0</v>
      </c>
      <c r="AW20" s="751">
        <v>0</v>
      </c>
      <c r="AX20" s="751">
        <v>436769</v>
      </c>
      <c r="AY20" s="751">
        <v>0</v>
      </c>
      <c r="AZ20" s="751">
        <v>0</v>
      </c>
      <c r="BA20" s="751">
        <v>0</v>
      </c>
      <c r="BB20" s="751">
        <v>0</v>
      </c>
      <c r="BC20" s="751">
        <v>-13187737</v>
      </c>
      <c r="BD20" s="751">
        <v>-10550190</v>
      </c>
      <c r="BE20" s="751">
        <v>-2373793</v>
      </c>
      <c r="BF20" s="751">
        <v>-263755</v>
      </c>
      <c r="BG20" s="751">
        <v>-26375474</v>
      </c>
      <c r="BH20" s="751">
        <v>22630545</v>
      </c>
      <c r="BI20" s="751">
        <v>19182789</v>
      </c>
      <c r="BJ20" s="751">
        <v>4553205</v>
      </c>
      <c r="BK20" s="751">
        <v>461346</v>
      </c>
      <c r="BL20" s="751">
        <v>46827886</v>
      </c>
      <c r="BM20" s="751">
        <v>1538774</v>
      </c>
      <c r="BN20" s="751">
        <v>360926</v>
      </c>
      <c r="BO20" s="751">
        <v>37781</v>
      </c>
      <c r="BP20" s="751">
        <v>1937481</v>
      </c>
      <c r="BQ20" s="751">
        <v>969202</v>
      </c>
      <c r="BR20" s="751">
        <v>216888</v>
      </c>
      <c r="BS20" s="751">
        <v>24099</v>
      </c>
      <c r="BT20" s="751">
        <v>1210189</v>
      </c>
      <c r="BU20" s="751">
        <v>126921</v>
      </c>
      <c r="BV20" s="751">
        <v>27202</v>
      </c>
      <c r="BW20" s="751">
        <v>3022</v>
      </c>
      <c r="BX20" s="751">
        <v>157145</v>
      </c>
      <c r="BY20" s="751">
        <v>33913</v>
      </c>
      <c r="BZ20" s="751">
        <v>7631</v>
      </c>
      <c r="CA20" s="751">
        <v>848</v>
      </c>
      <c r="CB20" s="751">
        <v>42392</v>
      </c>
      <c r="CC20" s="751">
        <v>9863</v>
      </c>
      <c r="CD20" s="751">
        <v>2219</v>
      </c>
      <c r="CE20" s="751">
        <v>247</v>
      </c>
      <c r="CF20" s="751">
        <v>12329</v>
      </c>
      <c r="CG20" s="751">
        <v>8731</v>
      </c>
      <c r="CH20" s="751">
        <v>1964</v>
      </c>
      <c r="CI20" s="751">
        <v>218</v>
      </c>
      <c r="CJ20" s="751">
        <v>10913</v>
      </c>
      <c r="CK20" s="751">
        <v>0</v>
      </c>
      <c r="CL20" s="751">
        <v>0</v>
      </c>
      <c r="CM20" s="751">
        <v>0</v>
      </c>
      <c r="CN20" s="751">
        <v>0</v>
      </c>
      <c r="CO20" s="751">
        <v>0</v>
      </c>
      <c r="CP20" s="751">
        <v>0</v>
      </c>
      <c r="CQ20" s="751">
        <v>0</v>
      </c>
      <c r="CR20" s="751">
        <v>0</v>
      </c>
      <c r="CS20" s="751">
        <v>631</v>
      </c>
      <c r="CT20" s="751">
        <v>142</v>
      </c>
      <c r="CU20" s="751">
        <v>16</v>
      </c>
      <c r="CV20" s="751">
        <v>789</v>
      </c>
      <c r="CW20" s="751">
        <v>2688035</v>
      </c>
      <c r="CX20" s="751">
        <v>616972</v>
      </c>
      <c r="CY20" s="751">
        <v>66231</v>
      </c>
      <c r="CZ20" s="751">
        <v>3371238</v>
      </c>
      <c r="DA20" s="662" t="s">
        <v>825</v>
      </c>
      <c r="DB20" s="324" t="s">
        <v>532</v>
      </c>
      <c r="DC20" s="663" t="s">
        <v>1914</v>
      </c>
      <c r="DD20" s="529" t="s">
        <v>1222</v>
      </c>
    </row>
    <row r="21" spans="1:108" ht="12.75" x14ac:dyDescent="0.2">
      <c r="A21" s="664">
        <v>14</v>
      </c>
      <c r="B21" s="665" t="s">
        <v>654</v>
      </c>
      <c r="C21" s="666" t="s">
        <v>1201</v>
      </c>
      <c r="D21" s="667" t="s">
        <v>1206</v>
      </c>
      <c r="E21" s="668" t="s">
        <v>653</v>
      </c>
      <c r="F21" s="750">
        <v>47543947</v>
      </c>
      <c r="G21" s="751">
        <v>0</v>
      </c>
      <c r="H21" s="751">
        <v>3052196</v>
      </c>
      <c r="I21" s="751">
        <v>166956</v>
      </c>
      <c r="J21" s="751">
        <v>0</v>
      </c>
      <c r="K21" s="751">
        <v>166956</v>
      </c>
      <c r="L21" s="751">
        <v>0</v>
      </c>
      <c r="M21" s="751">
        <v>0</v>
      </c>
      <c r="N21" s="751">
        <v>1200000</v>
      </c>
      <c r="O21" s="751">
        <v>1200000</v>
      </c>
      <c r="P21" s="751">
        <v>0</v>
      </c>
      <c r="Q21" s="751">
        <v>0</v>
      </c>
      <c r="R21" s="751">
        <v>43124795</v>
      </c>
      <c r="S21" s="749">
        <v>0.5</v>
      </c>
      <c r="T21" s="749">
        <v>0.4</v>
      </c>
      <c r="U21" s="749">
        <v>0.09</v>
      </c>
      <c r="V21" s="749">
        <v>0.01</v>
      </c>
      <c r="W21" s="749">
        <v>1</v>
      </c>
      <c r="X21" s="751">
        <v>21562397</v>
      </c>
      <c r="Y21" s="751">
        <v>17249918</v>
      </c>
      <c r="Z21" s="751">
        <v>3881232</v>
      </c>
      <c r="AA21" s="751">
        <v>431248</v>
      </c>
      <c r="AB21" s="751">
        <v>43124795</v>
      </c>
      <c r="AC21" s="751">
        <v>0</v>
      </c>
      <c r="AD21" s="751">
        <v>0</v>
      </c>
      <c r="AE21" s="751">
        <v>21562397</v>
      </c>
      <c r="AF21" s="751">
        <v>17249918</v>
      </c>
      <c r="AG21" s="751">
        <v>3881232</v>
      </c>
      <c r="AH21" s="751">
        <v>431248</v>
      </c>
      <c r="AI21" s="751">
        <v>43124795</v>
      </c>
      <c r="AJ21" s="751">
        <v>166956</v>
      </c>
      <c r="AK21" s="751">
        <v>166956</v>
      </c>
      <c r="AL21" s="751">
        <v>0</v>
      </c>
      <c r="AM21" s="751">
        <v>0</v>
      </c>
      <c r="AN21" s="751">
        <v>1200000</v>
      </c>
      <c r="AO21" s="751">
        <v>0</v>
      </c>
      <c r="AP21" s="751">
        <v>1200000</v>
      </c>
      <c r="AQ21" s="751">
        <v>0</v>
      </c>
      <c r="AR21" s="751">
        <v>0</v>
      </c>
      <c r="AS21" s="751">
        <v>0</v>
      </c>
      <c r="AT21" s="751">
        <v>0</v>
      </c>
      <c r="AU21" s="751">
        <v>0</v>
      </c>
      <c r="AV21" s="751">
        <v>0</v>
      </c>
      <c r="AW21" s="751">
        <v>0</v>
      </c>
      <c r="AX21" s="751">
        <v>0</v>
      </c>
      <c r="AY21" s="751">
        <v>0</v>
      </c>
      <c r="AZ21" s="751">
        <v>0</v>
      </c>
      <c r="BA21" s="751">
        <v>0</v>
      </c>
      <c r="BB21" s="751">
        <v>0</v>
      </c>
      <c r="BC21" s="751">
        <v>-8950972</v>
      </c>
      <c r="BD21" s="751">
        <v>-7160777</v>
      </c>
      <c r="BE21" s="751">
        <v>-1611175</v>
      </c>
      <c r="BF21" s="751">
        <v>-179019</v>
      </c>
      <c r="BG21" s="751">
        <v>-17901943</v>
      </c>
      <c r="BH21" s="751">
        <v>12611425</v>
      </c>
      <c r="BI21" s="751">
        <v>11456097</v>
      </c>
      <c r="BJ21" s="751">
        <v>2270057</v>
      </c>
      <c r="BK21" s="751">
        <v>252229</v>
      </c>
      <c r="BL21" s="751">
        <v>26589808</v>
      </c>
      <c r="BM21" s="751">
        <v>961318</v>
      </c>
      <c r="BN21" s="751">
        <v>202229</v>
      </c>
      <c r="BO21" s="751">
        <v>22470</v>
      </c>
      <c r="BP21" s="751">
        <v>1186017</v>
      </c>
      <c r="BQ21" s="751">
        <v>1379212</v>
      </c>
      <c r="BR21" s="751">
        <v>310322</v>
      </c>
      <c r="BS21" s="751">
        <v>34480</v>
      </c>
      <c r="BT21" s="751">
        <v>1724014</v>
      </c>
      <c r="BU21" s="751">
        <v>71214</v>
      </c>
      <c r="BV21" s="751">
        <v>16023</v>
      </c>
      <c r="BW21" s="751">
        <v>1780</v>
      </c>
      <c r="BX21" s="751">
        <v>89017</v>
      </c>
      <c r="BY21" s="751">
        <v>2919</v>
      </c>
      <c r="BZ21" s="751">
        <v>657</v>
      </c>
      <c r="CA21" s="751">
        <v>73</v>
      </c>
      <c r="CB21" s="751">
        <v>3649</v>
      </c>
      <c r="CC21" s="751">
        <v>13550</v>
      </c>
      <c r="CD21" s="751">
        <v>3049</v>
      </c>
      <c r="CE21" s="751">
        <v>339</v>
      </c>
      <c r="CF21" s="751">
        <v>16938</v>
      </c>
      <c r="CG21" s="751">
        <v>11999</v>
      </c>
      <c r="CH21" s="751">
        <v>2700</v>
      </c>
      <c r="CI21" s="751">
        <v>300</v>
      </c>
      <c r="CJ21" s="751">
        <v>14999</v>
      </c>
      <c r="CK21" s="751">
        <v>0</v>
      </c>
      <c r="CL21" s="751">
        <v>0</v>
      </c>
      <c r="CM21" s="751">
        <v>0</v>
      </c>
      <c r="CN21" s="751">
        <v>0</v>
      </c>
      <c r="CO21" s="751">
        <v>0</v>
      </c>
      <c r="CP21" s="751">
        <v>0</v>
      </c>
      <c r="CQ21" s="751">
        <v>0</v>
      </c>
      <c r="CR21" s="751">
        <v>0</v>
      </c>
      <c r="CS21" s="751">
        <v>0</v>
      </c>
      <c r="CT21" s="751">
        <v>0</v>
      </c>
      <c r="CU21" s="751">
        <v>0</v>
      </c>
      <c r="CV21" s="751">
        <v>0</v>
      </c>
      <c r="CW21" s="751">
        <v>2440212</v>
      </c>
      <c r="CX21" s="751">
        <v>534980</v>
      </c>
      <c r="CY21" s="751">
        <v>59442</v>
      </c>
      <c r="CZ21" s="751">
        <v>3034634</v>
      </c>
      <c r="DA21" s="662" t="s">
        <v>653</v>
      </c>
      <c r="DB21" s="324" t="s">
        <v>559</v>
      </c>
      <c r="DC21" s="663" t="s">
        <v>558</v>
      </c>
      <c r="DD21" s="529" t="s">
        <v>1223</v>
      </c>
    </row>
    <row r="22" spans="1:108" ht="12.75" x14ac:dyDescent="0.2">
      <c r="A22" s="664">
        <v>15</v>
      </c>
      <c r="B22" s="665" t="s">
        <v>656</v>
      </c>
      <c r="C22" s="666" t="s">
        <v>486</v>
      </c>
      <c r="D22" s="667" t="s">
        <v>1224</v>
      </c>
      <c r="E22" s="668" t="s">
        <v>826</v>
      </c>
      <c r="F22" s="750">
        <v>65932494</v>
      </c>
      <c r="G22" s="751">
        <v>32588</v>
      </c>
      <c r="H22" s="751">
        <v>0</v>
      </c>
      <c r="I22" s="751">
        <v>268511</v>
      </c>
      <c r="J22" s="751">
        <v>0</v>
      </c>
      <c r="K22" s="751">
        <v>268511</v>
      </c>
      <c r="L22" s="751">
        <v>0</v>
      </c>
      <c r="M22" s="751">
        <v>0</v>
      </c>
      <c r="N22" s="751">
        <v>29921</v>
      </c>
      <c r="O22" s="751">
        <v>29921</v>
      </c>
      <c r="P22" s="751">
        <v>0</v>
      </c>
      <c r="Q22" s="751">
        <v>0</v>
      </c>
      <c r="R22" s="751">
        <v>65666650</v>
      </c>
      <c r="S22" s="749">
        <v>0</v>
      </c>
      <c r="T22" s="749">
        <v>0.94</v>
      </c>
      <c r="U22" s="749">
        <v>0.05</v>
      </c>
      <c r="V22" s="749">
        <v>0.01</v>
      </c>
      <c r="W22" s="749">
        <v>1</v>
      </c>
      <c r="X22" s="751">
        <v>0</v>
      </c>
      <c r="Y22" s="751">
        <v>61726651</v>
      </c>
      <c r="Z22" s="751">
        <v>3283333</v>
      </c>
      <c r="AA22" s="751">
        <v>656667</v>
      </c>
      <c r="AB22" s="751">
        <v>65666650</v>
      </c>
      <c r="AC22" s="751">
        <v>0</v>
      </c>
      <c r="AD22" s="751">
        <v>0</v>
      </c>
      <c r="AE22" s="751">
        <v>0</v>
      </c>
      <c r="AF22" s="751">
        <v>61726651</v>
      </c>
      <c r="AG22" s="751">
        <v>3283333</v>
      </c>
      <c r="AH22" s="751">
        <v>656667</v>
      </c>
      <c r="AI22" s="751">
        <v>65666650</v>
      </c>
      <c r="AJ22" s="751">
        <v>268511</v>
      </c>
      <c r="AK22" s="751">
        <v>268511</v>
      </c>
      <c r="AL22" s="751">
        <v>0</v>
      </c>
      <c r="AM22" s="751">
        <v>0</v>
      </c>
      <c r="AN22" s="751">
        <v>29921</v>
      </c>
      <c r="AO22" s="751">
        <v>0</v>
      </c>
      <c r="AP22" s="751">
        <v>29921</v>
      </c>
      <c r="AQ22" s="751">
        <v>0</v>
      </c>
      <c r="AR22" s="751">
        <v>0</v>
      </c>
      <c r="AS22" s="751">
        <v>0</v>
      </c>
      <c r="AT22" s="751">
        <v>0</v>
      </c>
      <c r="AU22" s="751">
        <v>0</v>
      </c>
      <c r="AV22" s="751">
        <v>0</v>
      </c>
      <c r="AW22" s="751">
        <v>0</v>
      </c>
      <c r="AX22" s="751">
        <v>0</v>
      </c>
      <c r="AY22" s="751">
        <v>0</v>
      </c>
      <c r="AZ22" s="751">
        <v>0</v>
      </c>
      <c r="BA22" s="751">
        <v>0</v>
      </c>
      <c r="BB22" s="751">
        <v>0</v>
      </c>
      <c r="BC22" s="751">
        <v>0</v>
      </c>
      <c r="BD22" s="751">
        <v>-40394296</v>
      </c>
      <c r="BE22" s="751">
        <v>-2148633</v>
      </c>
      <c r="BF22" s="751">
        <v>-429727</v>
      </c>
      <c r="BG22" s="751">
        <v>-42972655</v>
      </c>
      <c r="BH22" s="751">
        <v>0</v>
      </c>
      <c r="BI22" s="751">
        <v>21630787</v>
      </c>
      <c r="BJ22" s="751">
        <v>1134700</v>
      </c>
      <c r="BK22" s="751">
        <v>226940</v>
      </c>
      <c r="BL22" s="751">
        <v>22992427</v>
      </c>
      <c r="BM22" s="751">
        <v>3217777</v>
      </c>
      <c r="BN22" s="751">
        <v>171075</v>
      </c>
      <c r="BO22" s="751">
        <v>34215</v>
      </c>
      <c r="BP22" s="751">
        <v>3423067</v>
      </c>
      <c r="BQ22" s="751">
        <v>5257809</v>
      </c>
      <c r="BR22" s="751">
        <v>275202</v>
      </c>
      <c r="BS22" s="751">
        <v>55040</v>
      </c>
      <c r="BT22" s="751">
        <v>5588051</v>
      </c>
      <c r="BU22" s="751">
        <v>337624</v>
      </c>
      <c r="BV22" s="751">
        <v>17164</v>
      </c>
      <c r="BW22" s="751">
        <v>3433</v>
      </c>
      <c r="BX22" s="751">
        <v>358221</v>
      </c>
      <c r="BY22" s="751">
        <v>53476</v>
      </c>
      <c r="BZ22" s="751">
        <v>2845</v>
      </c>
      <c r="CA22" s="751">
        <v>569</v>
      </c>
      <c r="CB22" s="751">
        <v>56890</v>
      </c>
      <c r="CC22" s="751">
        <v>17494</v>
      </c>
      <c r="CD22" s="751">
        <v>930</v>
      </c>
      <c r="CE22" s="751">
        <v>186</v>
      </c>
      <c r="CF22" s="751">
        <v>18610</v>
      </c>
      <c r="CG22" s="751">
        <v>27850</v>
      </c>
      <c r="CH22" s="751">
        <v>1481</v>
      </c>
      <c r="CI22" s="751">
        <v>296</v>
      </c>
      <c r="CJ22" s="751">
        <v>29627</v>
      </c>
      <c r="CK22" s="751">
        <v>37300</v>
      </c>
      <c r="CL22" s="751">
        <v>0</v>
      </c>
      <c r="CM22" s="751">
        <v>0</v>
      </c>
      <c r="CN22" s="751">
        <v>37300</v>
      </c>
      <c r="CO22" s="751">
        <v>0</v>
      </c>
      <c r="CP22" s="751">
        <v>0</v>
      </c>
      <c r="CQ22" s="751">
        <v>0</v>
      </c>
      <c r="CR22" s="751">
        <v>0</v>
      </c>
      <c r="CS22" s="751">
        <v>0</v>
      </c>
      <c r="CT22" s="751">
        <v>0</v>
      </c>
      <c r="CU22" s="751">
        <v>0</v>
      </c>
      <c r="CV22" s="751">
        <v>0</v>
      </c>
      <c r="CW22" s="751">
        <v>8949330</v>
      </c>
      <c r="CX22" s="751">
        <v>468697</v>
      </c>
      <c r="CY22" s="751">
        <v>93739</v>
      </c>
      <c r="CZ22" s="751">
        <v>9511766</v>
      </c>
      <c r="DA22" s="662" t="s">
        <v>826</v>
      </c>
      <c r="DB22" s="324" t="s">
        <v>1918</v>
      </c>
      <c r="DC22" s="663" t="s">
        <v>487</v>
      </c>
      <c r="DD22" s="529" t="s">
        <v>1225</v>
      </c>
    </row>
    <row r="23" spans="1:108" ht="12.75" x14ac:dyDescent="0.2">
      <c r="A23" s="664">
        <v>16</v>
      </c>
      <c r="B23" s="665" t="s">
        <v>658</v>
      </c>
      <c r="C23" s="666" t="s">
        <v>486</v>
      </c>
      <c r="D23" s="667" t="s">
        <v>1211</v>
      </c>
      <c r="E23" s="668" t="s">
        <v>657</v>
      </c>
      <c r="F23" s="750">
        <v>69427163</v>
      </c>
      <c r="G23" s="751">
        <v>0</v>
      </c>
      <c r="H23" s="751">
        <v>1075599</v>
      </c>
      <c r="I23" s="751">
        <v>228278</v>
      </c>
      <c r="J23" s="751">
        <v>0</v>
      </c>
      <c r="K23" s="751">
        <v>228278</v>
      </c>
      <c r="L23" s="751">
        <v>0</v>
      </c>
      <c r="M23" s="751">
        <v>0</v>
      </c>
      <c r="N23" s="751">
        <v>639713</v>
      </c>
      <c r="O23" s="751">
        <v>639713</v>
      </c>
      <c r="P23" s="751">
        <v>0</v>
      </c>
      <c r="Q23" s="751">
        <v>0</v>
      </c>
      <c r="R23" s="751">
        <v>67483573</v>
      </c>
      <c r="S23" s="749">
        <v>0.5</v>
      </c>
      <c r="T23" s="749">
        <v>0.49</v>
      </c>
      <c r="U23" s="749">
        <v>0</v>
      </c>
      <c r="V23" s="749">
        <v>0.01</v>
      </c>
      <c r="W23" s="749">
        <v>1</v>
      </c>
      <c r="X23" s="751">
        <v>33741786</v>
      </c>
      <c r="Y23" s="751">
        <v>33066951</v>
      </c>
      <c r="Z23" s="751">
        <v>0</v>
      </c>
      <c r="AA23" s="751">
        <v>674836</v>
      </c>
      <c r="AB23" s="751">
        <v>67483573</v>
      </c>
      <c r="AC23" s="751">
        <v>0</v>
      </c>
      <c r="AD23" s="751">
        <v>0</v>
      </c>
      <c r="AE23" s="751">
        <v>33741786</v>
      </c>
      <c r="AF23" s="751">
        <v>33066951</v>
      </c>
      <c r="AG23" s="751">
        <v>0</v>
      </c>
      <c r="AH23" s="751">
        <v>674836</v>
      </c>
      <c r="AI23" s="751">
        <v>67483573</v>
      </c>
      <c r="AJ23" s="751">
        <v>228278</v>
      </c>
      <c r="AK23" s="751">
        <v>228278</v>
      </c>
      <c r="AL23" s="751">
        <v>0</v>
      </c>
      <c r="AM23" s="751">
        <v>0</v>
      </c>
      <c r="AN23" s="751">
        <v>639713</v>
      </c>
      <c r="AO23" s="751">
        <v>0</v>
      </c>
      <c r="AP23" s="751">
        <v>639713</v>
      </c>
      <c r="AQ23" s="751">
        <v>0</v>
      </c>
      <c r="AR23" s="751">
        <v>0</v>
      </c>
      <c r="AS23" s="751">
        <v>0</v>
      </c>
      <c r="AT23" s="751">
        <v>0</v>
      </c>
      <c r="AU23" s="751">
        <v>0</v>
      </c>
      <c r="AV23" s="751">
        <v>0</v>
      </c>
      <c r="AW23" s="751">
        <v>0</v>
      </c>
      <c r="AX23" s="751">
        <v>0</v>
      </c>
      <c r="AY23" s="751">
        <v>0</v>
      </c>
      <c r="AZ23" s="751">
        <v>0</v>
      </c>
      <c r="BA23" s="751">
        <v>0</v>
      </c>
      <c r="BB23" s="751">
        <v>0</v>
      </c>
      <c r="BC23" s="751">
        <v>-12879410</v>
      </c>
      <c r="BD23" s="751">
        <v>-12621821</v>
      </c>
      <c r="BE23" s="751">
        <v>0</v>
      </c>
      <c r="BF23" s="751">
        <v>-257588</v>
      </c>
      <c r="BG23" s="751">
        <v>-25758819</v>
      </c>
      <c r="BH23" s="751">
        <v>20862377</v>
      </c>
      <c r="BI23" s="751">
        <v>21313121</v>
      </c>
      <c r="BJ23" s="751">
        <v>0</v>
      </c>
      <c r="BK23" s="751">
        <v>417248</v>
      </c>
      <c r="BL23" s="751">
        <v>42592745</v>
      </c>
      <c r="BM23" s="751">
        <v>1756259</v>
      </c>
      <c r="BN23" s="751">
        <v>0</v>
      </c>
      <c r="BO23" s="751">
        <v>35162</v>
      </c>
      <c r="BP23" s="751">
        <v>1791421</v>
      </c>
      <c r="BQ23" s="751">
        <v>2161616</v>
      </c>
      <c r="BR23" s="751">
        <v>0</v>
      </c>
      <c r="BS23" s="751">
        <v>44115</v>
      </c>
      <c r="BT23" s="751">
        <v>2205731</v>
      </c>
      <c r="BU23" s="751">
        <v>126887</v>
      </c>
      <c r="BV23" s="751">
        <v>0</v>
      </c>
      <c r="BW23" s="751">
        <v>2590</v>
      </c>
      <c r="BX23" s="751">
        <v>129477</v>
      </c>
      <c r="BY23" s="751">
        <v>8386</v>
      </c>
      <c r="BZ23" s="751">
        <v>0</v>
      </c>
      <c r="CA23" s="751">
        <v>171</v>
      </c>
      <c r="CB23" s="751">
        <v>8557</v>
      </c>
      <c r="CC23" s="751">
        <v>16578</v>
      </c>
      <c r="CD23" s="751">
        <v>0</v>
      </c>
      <c r="CE23" s="751">
        <v>338</v>
      </c>
      <c r="CF23" s="751">
        <v>16916</v>
      </c>
      <c r="CG23" s="751">
        <v>3779</v>
      </c>
      <c r="CH23" s="751">
        <v>0</v>
      </c>
      <c r="CI23" s="751">
        <v>77</v>
      </c>
      <c r="CJ23" s="751">
        <v>3856</v>
      </c>
      <c r="CK23" s="751">
        <v>0</v>
      </c>
      <c r="CL23" s="751">
        <v>0</v>
      </c>
      <c r="CM23" s="751">
        <v>0</v>
      </c>
      <c r="CN23" s="751">
        <v>0</v>
      </c>
      <c r="CO23" s="751">
        <v>0</v>
      </c>
      <c r="CP23" s="751">
        <v>0</v>
      </c>
      <c r="CQ23" s="751">
        <v>0</v>
      </c>
      <c r="CR23" s="751">
        <v>0</v>
      </c>
      <c r="CS23" s="751">
        <v>0</v>
      </c>
      <c r="CT23" s="751">
        <v>0</v>
      </c>
      <c r="CU23" s="751">
        <v>0</v>
      </c>
      <c r="CV23" s="751">
        <v>0</v>
      </c>
      <c r="CW23" s="751">
        <v>4073505</v>
      </c>
      <c r="CX23" s="751">
        <v>0</v>
      </c>
      <c r="CY23" s="751">
        <v>82453</v>
      </c>
      <c r="CZ23" s="751">
        <v>4155958</v>
      </c>
      <c r="DA23" s="662" t="s">
        <v>657</v>
      </c>
      <c r="DB23" s="324" t="s">
        <v>486</v>
      </c>
      <c r="DC23" s="663" t="s">
        <v>492</v>
      </c>
      <c r="DD23" s="529" t="s">
        <v>1226</v>
      </c>
    </row>
    <row r="24" spans="1:108" ht="12.75" x14ac:dyDescent="0.2">
      <c r="A24" s="664">
        <v>17</v>
      </c>
      <c r="B24" s="665" t="s">
        <v>660</v>
      </c>
      <c r="C24" s="666" t="s">
        <v>1213</v>
      </c>
      <c r="D24" s="667" t="s">
        <v>1214</v>
      </c>
      <c r="E24" s="668" t="s">
        <v>659</v>
      </c>
      <c r="F24" s="750">
        <v>78668914</v>
      </c>
      <c r="G24" s="751">
        <v>0</v>
      </c>
      <c r="H24" s="751">
        <v>176095</v>
      </c>
      <c r="I24" s="751">
        <v>241197</v>
      </c>
      <c r="J24" s="751">
        <v>0</v>
      </c>
      <c r="K24" s="751">
        <v>241197</v>
      </c>
      <c r="L24" s="751">
        <v>0</v>
      </c>
      <c r="M24" s="751">
        <v>0</v>
      </c>
      <c r="N24" s="751">
        <v>0</v>
      </c>
      <c r="O24" s="751">
        <v>0</v>
      </c>
      <c r="P24" s="751">
        <v>0</v>
      </c>
      <c r="Q24" s="751">
        <v>0</v>
      </c>
      <c r="R24" s="751">
        <v>78251622</v>
      </c>
      <c r="S24" s="749">
        <v>0.33</v>
      </c>
      <c r="T24" s="749">
        <v>0.3</v>
      </c>
      <c r="U24" s="749">
        <v>0.37</v>
      </c>
      <c r="V24" s="749">
        <v>0</v>
      </c>
      <c r="W24" s="749">
        <v>1</v>
      </c>
      <c r="X24" s="751">
        <v>25823035</v>
      </c>
      <c r="Y24" s="751">
        <v>23475487</v>
      </c>
      <c r="Z24" s="751">
        <v>28953100</v>
      </c>
      <c r="AA24" s="751">
        <v>0</v>
      </c>
      <c r="AB24" s="751">
        <v>78251622</v>
      </c>
      <c r="AC24" s="751">
        <v>0</v>
      </c>
      <c r="AD24" s="751">
        <v>0</v>
      </c>
      <c r="AE24" s="751">
        <v>25823035</v>
      </c>
      <c r="AF24" s="751">
        <v>23475487</v>
      </c>
      <c r="AG24" s="751">
        <v>28953100</v>
      </c>
      <c r="AH24" s="751">
        <v>0</v>
      </c>
      <c r="AI24" s="751">
        <v>78251622</v>
      </c>
      <c r="AJ24" s="751">
        <v>241197</v>
      </c>
      <c r="AK24" s="751">
        <v>241197</v>
      </c>
      <c r="AL24" s="751">
        <v>0</v>
      </c>
      <c r="AM24" s="751">
        <v>0</v>
      </c>
      <c r="AN24" s="751">
        <v>0</v>
      </c>
      <c r="AO24" s="751">
        <v>0</v>
      </c>
      <c r="AP24" s="751">
        <v>0</v>
      </c>
      <c r="AQ24" s="751">
        <v>0</v>
      </c>
      <c r="AR24" s="751">
        <v>0</v>
      </c>
      <c r="AS24" s="751">
        <v>0</v>
      </c>
      <c r="AT24" s="751">
        <v>0</v>
      </c>
      <c r="AU24" s="751">
        <v>0</v>
      </c>
      <c r="AV24" s="751">
        <v>0</v>
      </c>
      <c r="AW24" s="751">
        <v>0</v>
      </c>
      <c r="AX24" s="751">
        <v>0</v>
      </c>
      <c r="AY24" s="751">
        <v>0</v>
      </c>
      <c r="AZ24" s="751">
        <v>0</v>
      </c>
      <c r="BA24" s="751">
        <v>0</v>
      </c>
      <c r="BB24" s="751">
        <v>0</v>
      </c>
      <c r="BC24" s="751">
        <v>-9913802</v>
      </c>
      <c r="BD24" s="751">
        <v>-8630557</v>
      </c>
      <c r="BE24" s="751">
        <v>-11131048</v>
      </c>
      <c r="BF24" s="751">
        <v>0</v>
      </c>
      <c r="BG24" s="751">
        <v>-29675406</v>
      </c>
      <c r="BH24" s="751">
        <v>15909233</v>
      </c>
      <c r="BI24" s="751">
        <v>15086127</v>
      </c>
      <c r="BJ24" s="751">
        <v>17822052</v>
      </c>
      <c r="BK24" s="751">
        <v>0</v>
      </c>
      <c r="BL24" s="751">
        <v>48817413</v>
      </c>
      <c r="BM24" s="751">
        <v>1223172</v>
      </c>
      <c r="BN24" s="751">
        <v>1508578</v>
      </c>
      <c r="BO24" s="751">
        <v>0</v>
      </c>
      <c r="BP24" s="751">
        <v>2731750</v>
      </c>
      <c r="BQ24" s="751">
        <v>1471534</v>
      </c>
      <c r="BR24" s="751">
        <v>1814891</v>
      </c>
      <c r="BS24" s="751">
        <v>0</v>
      </c>
      <c r="BT24" s="751">
        <v>3286425</v>
      </c>
      <c r="BU24" s="751">
        <v>68839</v>
      </c>
      <c r="BV24" s="751">
        <v>84901</v>
      </c>
      <c r="BW24" s="751">
        <v>0</v>
      </c>
      <c r="BX24" s="751">
        <v>153740</v>
      </c>
      <c r="BY24" s="751">
        <v>1039</v>
      </c>
      <c r="BZ24" s="751">
        <v>1282</v>
      </c>
      <c r="CA24" s="751">
        <v>0</v>
      </c>
      <c r="CB24" s="751">
        <v>2321</v>
      </c>
      <c r="CC24" s="751">
        <v>0</v>
      </c>
      <c r="CD24" s="751">
        <v>0</v>
      </c>
      <c r="CE24" s="751">
        <v>0</v>
      </c>
      <c r="CF24" s="751">
        <v>0</v>
      </c>
      <c r="CG24" s="751">
        <v>7427</v>
      </c>
      <c r="CH24" s="751">
        <v>9160</v>
      </c>
      <c r="CI24" s="751">
        <v>0</v>
      </c>
      <c r="CJ24" s="751">
        <v>16587</v>
      </c>
      <c r="CK24" s="751">
        <v>0</v>
      </c>
      <c r="CL24" s="751">
        <v>0</v>
      </c>
      <c r="CM24" s="751">
        <v>0</v>
      </c>
      <c r="CN24" s="751">
        <v>0</v>
      </c>
      <c r="CO24" s="751">
        <v>0</v>
      </c>
      <c r="CP24" s="751">
        <v>0</v>
      </c>
      <c r="CQ24" s="751">
        <v>0</v>
      </c>
      <c r="CR24" s="751">
        <v>0</v>
      </c>
      <c r="CS24" s="751">
        <v>0</v>
      </c>
      <c r="CT24" s="751">
        <v>0</v>
      </c>
      <c r="CU24" s="751">
        <v>0</v>
      </c>
      <c r="CV24" s="751">
        <v>0</v>
      </c>
      <c r="CW24" s="751">
        <v>2772011</v>
      </c>
      <c r="CX24" s="751">
        <v>3418812</v>
      </c>
      <c r="CY24" s="751">
        <v>0</v>
      </c>
      <c r="CZ24" s="751">
        <v>6190823</v>
      </c>
      <c r="DA24" s="662" t="s">
        <v>659</v>
      </c>
      <c r="DB24" s="324" t="s">
        <v>576</v>
      </c>
      <c r="DC24" s="669" t="s">
        <v>485</v>
      </c>
      <c r="DD24" s="529" t="s">
        <v>1227</v>
      </c>
    </row>
    <row r="25" spans="1:108" ht="12.75" x14ac:dyDescent="0.2">
      <c r="A25" s="664">
        <v>18</v>
      </c>
      <c r="B25" s="665" t="s">
        <v>662</v>
      </c>
      <c r="C25" s="666" t="s">
        <v>1217</v>
      </c>
      <c r="D25" s="667" t="s">
        <v>1228</v>
      </c>
      <c r="E25" s="668" t="s">
        <v>661</v>
      </c>
      <c r="F25" s="750">
        <v>432955586</v>
      </c>
      <c r="G25" s="751">
        <v>0</v>
      </c>
      <c r="H25" s="751">
        <v>534125</v>
      </c>
      <c r="I25" s="751">
        <v>1821482</v>
      </c>
      <c r="J25" s="751">
        <v>0</v>
      </c>
      <c r="K25" s="751">
        <v>1821482</v>
      </c>
      <c r="L25" s="751">
        <v>0</v>
      </c>
      <c r="M25" s="751">
        <v>8220376</v>
      </c>
      <c r="N25" s="751">
        <v>0</v>
      </c>
      <c r="O25" s="751">
        <v>0</v>
      </c>
      <c r="P25" s="751">
        <v>0</v>
      </c>
      <c r="Q25" s="751">
        <v>0</v>
      </c>
      <c r="R25" s="751">
        <v>422379603</v>
      </c>
      <c r="S25" s="749">
        <v>0</v>
      </c>
      <c r="T25" s="749">
        <v>0.99</v>
      </c>
      <c r="U25" s="749">
        <v>0</v>
      </c>
      <c r="V25" s="749">
        <v>0.01</v>
      </c>
      <c r="W25" s="749">
        <v>1</v>
      </c>
      <c r="X25" s="751">
        <v>0</v>
      </c>
      <c r="Y25" s="751">
        <v>418155807</v>
      </c>
      <c r="Z25" s="751">
        <v>0</v>
      </c>
      <c r="AA25" s="751">
        <v>4223796</v>
      </c>
      <c r="AB25" s="751">
        <v>422379603</v>
      </c>
      <c r="AC25" s="751">
        <v>0</v>
      </c>
      <c r="AD25" s="751">
        <v>0</v>
      </c>
      <c r="AE25" s="751">
        <v>0</v>
      </c>
      <c r="AF25" s="751">
        <v>418155807</v>
      </c>
      <c r="AG25" s="751">
        <v>0</v>
      </c>
      <c r="AH25" s="751">
        <v>4223796</v>
      </c>
      <c r="AI25" s="751">
        <v>422379603</v>
      </c>
      <c r="AJ25" s="751">
        <v>1821482</v>
      </c>
      <c r="AK25" s="751">
        <v>1821482</v>
      </c>
      <c r="AL25" s="751">
        <v>8220376</v>
      </c>
      <c r="AM25" s="751">
        <v>8220376</v>
      </c>
      <c r="AN25" s="751">
        <v>0</v>
      </c>
      <c r="AO25" s="751">
        <v>0</v>
      </c>
      <c r="AP25" s="751">
        <v>0</v>
      </c>
      <c r="AQ25" s="751">
        <v>0</v>
      </c>
      <c r="AR25" s="751">
        <v>0</v>
      </c>
      <c r="AS25" s="751">
        <v>0</v>
      </c>
      <c r="AT25" s="751">
        <v>0</v>
      </c>
      <c r="AU25" s="751">
        <v>0</v>
      </c>
      <c r="AV25" s="751">
        <v>0</v>
      </c>
      <c r="AW25" s="751">
        <v>0</v>
      </c>
      <c r="AX25" s="751">
        <v>0</v>
      </c>
      <c r="AY25" s="751">
        <v>0</v>
      </c>
      <c r="AZ25" s="751">
        <v>0</v>
      </c>
      <c r="BA25" s="751">
        <v>0</v>
      </c>
      <c r="BB25" s="751">
        <v>0</v>
      </c>
      <c r="BC25" s="751">
        <v>0</v>
      </c>
      <c r="BD25" s="751">
        <v>-194430205</v>
      </c>
      <c r="BE25" s="751">
        <v>0</v>
      </c>
      <c r="BF25" s="751">
        <v>-1963941</v>
      </c>
      <c r="BG25" s="751">
        <v>-196394147</v>
      </c>
      <c r="BH25" s="751">
        <v>0</v>
      </c>
      <c r="BI25" s="751">
        <v>233767460</v>
      </c>
      <c r="BJ25" s="751">
        <v>0</v>
      </c>
      <c r="BK25" s="751">
        <v>2259855</v>
      </c>
      <c r="BL25" s="751">
        <v>236027314</v>
      </c>
      <c r="BM25" s="751">
        <v>22215994</v>
      </c>
      <c r="BN25" s="751">
        <v>0</v>
      </c>
      <c r="BO25" s="751">
        <v>220078</v>
      </c>
      <c r="BP25" s="751">
        <v>22436072</v>
      </c>
      <c r="BQ25" s="751">
        <v>31382244</v>
      </c>
      <c r="BR25" s="751">
        <v>0</v>
      </c>
      <c r="BS25" s="751">
        <v>309510</v>
      </c>
      <c r="BT25" s="751">
        <v>31691754</v>
      </c>
      <c r="BU25" s="751">
        <v>1698009</v>
      </c>
      <c r="BV25" s="751">
        <v>0</v>
      </c>
      <c r="BW25" s="751">
        <v>16662</v>
      </c>
      <c r="BX25" s="751">
        <v>1714671</v>
      </c>
      <c r="BY25" s="751">
        <v>0</v>
      </c>
      <c r="BZ25" s="751">
        <v>0</v>
      </c>
      <c r="CA25" s="751">
        <v>0</v>
      </c>
      <c r="CB25" s="751">
        <v>0</v>
      </c>
      <c r="CC25" s="751">
        <v>0</v>
      </c>
      <c r="CD25" s="751">
        <v>0</v>
      </c>
      <c r="CE25" s="751">
        <v>0</v>
      </c>
      <c r="CF25" s="751">
        <v>0</v>
      </c>
      <c r="CG25" s="751">
        <v>548833</v>
      </c>
      <c r="CH25" s="751">
        <v>0</v>
      </c>
      <c r="CI25" s="751">
        <v>5544</v>
      </c>
      <c r="CJ25" s="751">
        <v>554377</v>
      </c>
      <c r="CK25" s="751">
        <v>872371</v>
      </c>
      <c r="CL25" s="751">
        <v>0</v>
      </c>
      <c r="CM25" s="751">
        <v>0</v>
      </c>
      <c r="CN25" s="751">
        <v>872371</v>
      </c>
      <c r="CO25" s="751">
        <v>0</v>
      </c>
      <c r="CP25" s="751">
        <v>0</v>
      </c>
      <c r="CQ25" s="751">
        <v>0</v>
      </c>
      <c r="CR25" s="751">
        <v>0</v>
      </c>
      <c r="CS25" s="751">
        <v>0</v>
      </c>
      <c r="CT25" s="751">
        <v>0</v>
      </c>
      <c r="CU25" s="751">
        <v>0</v>
      </c>
      <c r="CV25" s="751">
        <v>0</v>
      </c>
      <c r="CW25" s="751">
        <v>56717451</v>
      </c>
      <c r="CX25" s="751">
        <v>0</v>
      </c>
      <c r="CY25" s="751">
        <v>551794</v>
      </c>
      <c r="CZ25" s="751">
        <v>57269245</v>
      </c>
      <c r="DA25" s="662" t="s">
        <v>661</v>
      </c>
      <c r="DB25" s="324" t="s">
        <v>570</v>
      </c>
      <c r="DC25" s="663" t="s">
        <v>574</v>
      </c>
      <c r="DD25" s="529" t="s">
        <v>1229</v>
      </c>
    </row>
    <row r="26" spans="1:108" ht="12.75" x14ac:dyDescent="0.2">
      <c r="A26" s="664">
        <v>19</v>
      </c>
      <c r="B26" s="665" t="s">
        <v>664</v>
      </c>
      <c r="C26" s="666" t="s">
        <v>1201</v>
      </c>
      <c r="D26" s="667" t="s">
        <v>1206</v>
      </c>
      <c r="E26" s="668" t="s">
        <v>663</v>
      </c>
      <c r="F26" s="750">
        <v>49903565</v>
      </c>
      <c r="G26" s="751">
        <v>0</v>
      </c>
      <c r="H26" s="751">
        <v>115891</v>
      </c>
      <c r="I26" s="751">
        <v>101284</v>
      </c>
      <c r="J26" s="751">
        <v>0</v>
      </c>
      <c r="K26" s="751">
        <v>101284</v>
      </c>
      <c r="L26" s="751">
        <v>0</v>
      </c>
      <c r="M26" s="751">
        <v>0</v>
      </c>
      <c r="N26" s="751">
        <v>0</v>
      </c>
      <c r="O26" s="751">
        <v>0</v>
      </c>
      <c r="P26" s="751">
        <v>0</v>
      </c>
      <c r="Q26" s="751">
        <v>0</v>
      </c>
      <c r="R26" s="751">
        <v>49686390</v>
      </c>
      <c r="S26" s="749">
        <v>0.5</v>
      </c>
      <c r="T26" s="749">
        <v>0.4</v>
      </c>
      <c r="U26" s="749">
        <v>0.09</v>
      </c>
      <c r="V26" s="749">
        <v>0.01</v>
      </c>
      <c r="W26" s="749">
        <v>1</v>
      </c>
      <c r="X26" s="751">
        <v>24843195</v>
      </c>
      <c r="Y26" s="751">
        <v>19874556</v>
      </c>
      <c r="Z26" s="751">
        <v>4471775</v>
      </c>
      <c r="AA26" s="751">
        <v>496864</v>
      </c>
      <c r="AB26" s="751">
        <v>49686390</v>
      </c>
      <c r="AC26" s="751">
        <v>0</v>
      </c>
      <c r="AD26" s="751">
        <v>0</v>
      </c>
      <c r="AE26" s="751">
        <v>24843195</v>
      </c>
      <c r="AF26" s="751">
        <v>19874556</v>
      </c>
      <c r="AG26" s="751">
        <v>4471775</v>
      </c>
      <c r="AH26" s="751">
        <v>496864</v>
      </c>
      <c r="AI26" s="751">
        <v>49686390</v>
      </c>
      <c r="AJ26" s="751">
        <v>101284</v>
      </c>
      <c r="AK26" s="751">
        <v>101284</v>
      </c>
      <c r="AL26" s="751">
        <v>0</v>
      </c>
      <c r="AM26" s="751">
        <v>0</v>
      </c>
      <c r="AN26" s="751">
        <v>0</v>
      </c>
      <c r="AO26" s="751">
        <v>0</v>
      </c>
      <c r="AP26" s="751">
        <v>0</v>
      </c>
      <c r="AQ26" s="751">
        <v>0</v>
      </c>
      <c r="AR26" s="751">
        <v>0</v>
      </c>
      <c r="AS26" s="751">
        <v>0</v>
      </c>
      <c r="AT26" s="751">
        <v>0</v>
      </c>
      <c r="AU26" s="751">
        <v>0</v>
      </c>
      <c r="AV26" s="751">
        <v>0</v>
      </c>
      <c r="AW26" s="751">
        <v>0</v>
      </c>
      <c r="AX26" s="751">
        <v>0</v>
      </c>
      <c r="AY26" s="751">
        <v>0</v>
      </c>
      <c r="AZ26" s="751">
        <v>0</v>
      </c>
      <c r="BA26" s="751">
        <v>0</v>
      </c>
      <c r="BB26" s="751">
        <v>0</v>
      </c>
      <c r="BC26" s="751">
        <v>-11299099</v>
      </c>
      <c r="BD26" s="751">
        <v>-8781353</v>
      </c>
      <c r="BE26" s="751">
        <v>-1562201</v>
      </c>
      <c r="BF26" s="751">
        <v>-218613</v>
      </c>
      <c r="BG26" s="751">
        <v>-21861265</v>
      </c>
      <c r="BH26" s="751">
        <v>13544096</v>
      </c>
      <c r="BI26" s="751">
        <v>11194487</v>
      </c>
      <c r="BJ26" s="751">
        <v>2909574</v>
      </c>
      <c r="BK26" s="751">
        <v>278251</v>
      </c>
      <c r="BL26" s="751">
        <v>27926409</v>
      </c>
      <c r="BM26" s="751">
        <v>1035548</v>
      </c>
      <c r="BN26" s="751">
        <v>232998</v>
      </c>
      <c r="BO26" s="751">
        <v>25889</v>
      </c>
      <c r="BP26" s="751">
        <v>1294435</v>
      </c>
      <c r="BQ26" s="751">
        <v>721255</v>
      </c>
      <c r="BR26" s="751">
        <v>162282</v>
      </c>
      <c r="BS26" s="751">
        <v>18031</v>
      </c>
      <c r="BT26" s="751">
        <v>901568</v>
      </c>
      <c r="BU26" s="751">
        <v>51702</v>
      </c>
      <c r="BV26" s="751">
        <v>11633</v>
      </c>
      <c r="BW26" s="751">
        <v>1293</v>
      </c>
      <c r="BX26" s="751">
        <v>64628</v>
      </c>
      <c r="BY26" s="751">
        <v>2625</v>
      </c>
      <c r="BZ26" s="751">
        <v>591</v>
      </c>
      <c r="CA26" s="751">
        <v>66</v>
      </c>
      <c r="CB26" s="751">
        <v>3282</v>
      </c>
      <c r="CC26" s="751">
        <v>0</v>
      </c>
      <c r="CD26" s="751">
        <v>0</v>
      </c>
      <c r="CE26" s="751">
        <v>0</v>
      </c>
      <c r="CF26" s="751">
        <v>0</v>
      </c>
      <c r="CG26" s="751">
        <v>4207</v>
      </c>
      <c r="CH26" s="751">
        <v>946</v>
      </c>
      <c r="CI26" s="751">
        <v>105</v>
      </c>
      <c r="CJ26" s="751">
        <v>5258</v>
      </c>
      <c r="CK26" s="751">
        <v>0</v>
      </c>
      <c r="CL26" s="751">
        <v>0</v>
      </c>
      <c r="CM26" s="751">
        <v>0</v>
      </c>
      <c r="CN26" s="751">
        <v>0</v>
      </c>
      <c r="CO26" s="751">
        <v>0</v>
      </c>
      <c r="CP26" s="751">
        <v>0</v>
      </c>
      <c r="CQ26" s="751">
        <v>0</v>
      </c>
      <c r="CR26" s="751">
        <v>0</v>
      </c>
      <c r="CS26" s="751">
        <v>0</v>
      </c>
      <c r="CT26" s="751">
        <v>0</v>
      </c>
      <c r="CU26" s="751">
        <v>0</v>
      </c>
      <c r="CV26" s="751">
        <v>0</v>
      </c>
      <c r="CW26" s="751">
        <v>1815337</v>
      </c>
      <c r="CX26" s="751">
        <v>408450</v>
      </c>
      <c r="CY26" s="751">
        <v>45384</v>
      </c>
      <c r="CZ26" s="751">
        <v>2269171</v>
      </c>
      <c r="DA26" s="662" t="s">
        <v>663</v>
      </c>
      <c r="DB26" s="324" t="s">
        <v>551</v>
      </c>
      <c r="DC26" s="663" t="s">
        <v>549</v>
      </c>
      <c r="DD26" s="529" t="s">
        <v>1230</v>
      </c>
    </row>
    <row r="27" spans="1:108" ht="12.75" x14ac:dyDescent="0.2">
      <c r="A27" s="664">
        <v>20</v>
      </c>
      <c r="B27" s="665" t="s">
        <v>665</v>
      </c>
      <c r="C27" s="666" t="s">
        <v>486</v>
      </c>
      <c r="D27" s="667" t="s">
        <v>1204</v>
      </c>
      <c r="E27" s="668" t="s">
        <v>544</v>
      </c>
      <c r="F27" s="750">
        <v>42975226</v>
      </c>
      <c r="G27" s="751">
        <v>0</v>
      </c>
      <c r="H27" s="751">
        <v>800000</v>
      </c>
      <c r="I27" s="751">
        <v>246311</v>
      </c>
      <c r="J27" s="751">
        <v>0</v>
      </c>
      <c r="K27" s="751">
        <v>246311</v>
      </c>
      <c r="L27" s="751">
        <v>0</v>
      </c>
      <c r="M27" s="751">
        <v>0</v>
      </c>
      <c r="N27" s="751">
        <v>0</v>
      </c>
      <c r="O27" s="751">
        <v>0</v>
      </c>
      <c r="P27" s="751">
        <v>0</v>
      </c>
      <c r="Q27" s="751">
        <v>0</v>
      </c>
      <c r="R27" s="751">
        <v>41928915</v>
      </c>
      <c r="S27" s="749">
        <v>0.5</v>
      </c>
      <c r="T27" s="749">
        <v>0.49</v>
      </c>
      <c r="U27" s="749">
        <v>0</v>
      </c>
      <c r="V27" s="749">
        <v>0.01</v>
      </c>
      <c r="W27" s="749">
        <v>1</v>
      </c>
      <c r="X27" s="751">
        <v>20964458</v>
      </c>
      <c r="Y27" s="751">
        <v>20545168</v>
      </c>
      <c r="Z27" s="751">
        <v>0</v>
      </c>
      <c r="AA27" s="751">
        <v>419289</v>
      </c>
      <c r="AB27" s="751">
        <v>41928915</v>
      </c>
      <c r="AC27" s="751">
        <v>0</v>
      </c>
      <c r="AD27" s="751">
        <v>0</v>
      </c>
      <c r="AE27" s="751">
        <v>20964458</v>
      </c>
      <c r="AF27" s="751">
        <v>20545168</v>
      </c>
      <c r="AG27" s="751">
        <v>0</v>
      </c>
      <c r="AH27" s="751">
        <v>419289</v>
      </c>
      <c r="AI27" s="751">
        <v>41928915</v>
      </c>
      <c r="AJ27" s="751">
        <v>246311</v>
      </c>
      <c r="AK27" s="751">
        <v>246311</v>
      </c>
      <c r="AL27" s="751">
        <v>0</v>
      </c>
      <c r="AM27" s="751">
        <v>0</v>
      </c>
      <c r="AN27" s="751">
        <v>0</v>
      </c>
      <c r="AO27" s="751">
        <v>0</v>
      </c>
      <c r="AP27" s="751">
        <v>0</v>
      </c>
      <c r="AQ27" s="751">
        <v>0</v>
      </c>
      <c r="AR27" s="751">
        <v>0</v>
      </c>
      <c r="AS27" s="751">
        <v>0</v>
      </c>
      <c r="AT27" s="751">
        <v>0</v>
      </c>
      <c r="AU27" s="751">
        <v>0</v>
      </c>
      <c r="AV27" s="751">
        <v>0</v>
      </c>
      <c r="AW27" s="751">
        <v>0</v>
      </c>
      <c r="AX27" s="751">
        <v>0</v>
      </c>
      <c r="AY27" s="751">
        <v>0</v>
      </c>
      <c r="AZ27" s="751">
        <v>0</v>
      </c>
      <c r="BA27" s="751">
        <v>0</v>
      </c>
      <c r="BB27" s="751">
        <v>0</v>
      </c>
      <c r="BC27" s="751">
        <v>-8456006</v>
      </c>
      <c r="BD27" s="751">
        <v>-7345227</v>
      </c>
      <c r="BE27" s="751">
        <v>0</v>
      </c>
      <c r="BF27" s="751">
        <v>-149903</v>
      </c>
      <c r="BG27" s="751">
        <v>-15951136</v>
      </c>
      <c r="BH27" s="751">
        <v>12508452</v>
      </c>
      <c r="BI27" s="751">
        <v>13446252</v>
      </c>
      <c r="BJ27" s="751">
        <v>0</v>
      </c>
      <c r="BK27" s="751">
        <v>269386</v>
      </c>
      <c r="BL27" s="751">
        <v>26224090</v>
      </c>
      <c r="BM27" s="751">
        <v>1070490</v>
      </c>
      <c r="BN27" s="751">
        <v>0</v>
      </c>
      <c r="BO27" s="751">
        <v>21847</v>
      </c>
      <c r="BP27" s="751">
        <v>1092337</v>
      </c>
      <c r="BQ27" s="751">
        <v>2843839</v>
      </c>
      <c r="BR27" s="751">
        <v>0</v>
      </c>
      <c r="BS27" s="751">
        <v>58038</v>
      </c>
      <c r="BT27" s="751">
        <v>2901877</v>
      </c>
      <c r="BU27" s="751">
        <v>32790</v>
      </c>
      <c r="BV27" s="751">
        <v>0</v>
      </c>
      <c r="BW27" s="751">
        <v>669</v>
      </c>
      <c r="BX27" s="751">
        <v>33459</v>
      </c>
      <c r="BY27" s="751">
        <v>15466</v>
      </c>
      <c r="BZ27" s="751">
        <v>0</v>
      </c>
      <c r="CA27" s="751">
        <v>316</v>
      </c>
      <c r="CB27" s="751">
        <v>15782</v>
      </c>
      <c r="CC27" s="751">
        <v>1804</v>
      </c>
      <c r="CD27" s="751">
        <v>0</v>
      </c>
      <c r="CE27" s="751">
        <v>37</v>
      </c>
      <c r="CF27" s="751">
        <v>1841</v>
      </c>
      <c r="CG27" s="751">
        <v>10311</v>
      </c>
      <c r="CH27" s="751">
        <v>0</v>
      </c>
      <c r="CI27" s="751">
        <v>210</v>
      </c>
      <c r="CJ27" s="751">
        <v>10521</v>
      </c>
      <c r="CK27" s="751">
        <v>0</v>
      </c>
      <c r="CL27" s="751">
        <v>0</v>
      </c>
      <c r="CM27" s="751">
        <v>0</v>
      </c>
      <c r="CN27" s="751">
        <v>0</v>
      </c>
      <c r="CO27" s="751">
        <v>0</v>
      </c>
      <c r="CP27" s="751">
        <v>0</v>
      </c>
      <c r="CQ27" s="751">
        <v>0</v>
      </c>
      <c r="CR27" s="751">
        <v>0</v>
      </c>
      <c r="CS27" s="751">
        <v>0</v>
      </c>
      <c r="CT27" s="751">
        <v>0</v>
      </c>
      <c r="CU27" s="751">
        <v>0</v>
      </c>
      <c r="CV27" s="751">
        <v>0</v>
      </c>
      <c r="CW27" s="751">
        <v>3974700</v>
      </c>
      <c r="CX27" s="751">
        <v>0</v>
      </c>
      <c r="CY27" s="751">
        <v>81117</v>
      </c>
      <c r="CZ27" s="751">
        <v>4055817</v>
      </c>
      <c r="DA27" s="662" t="s">
        <v>544</v>
      </c>
      <c r="DB27" s="324" t="s">
        <v>486</v>
      </c>
      <c r="DC27" s="663" t="s">
        <v>545</v>
      </c>
      <c r="DD27" s="529" t="s">
        <v>1231</v>
      </c>
    </row>
    <row r="28" spans="1:108" ht="12.75" x14ac:dyDescent="0.2">
      <c r="A28" s="664">
        <v>21</v>
      </c>
      <c r="B28" s="665" t="s">
        <v>667</v>
      </c>
      <c r="C28" s="666" t="s">
        <v>486</v>
      </c>
      <c r="D28" s="667" t="s">
        <v>1204</v>
      </c>
      <c r="E28" s="668" t="s">
        <v>546</v>
      </c>
      <c r="F28" s="750">
        <v>42053861</v>
      </c>
      <c r="G28" s="751">
        <v>0</v>
      </c>
      <c r="H28" s="751">
        <v>500209</v>
      </c>
      <c r="I28" s="751">
        <v>243934</v>
      </c>
      <c r="J28" s="751">
        <v>0</v>
      </c>
      <c r="K28" s="751">
        <v>243934</v>
      </c>
      <c r="L28" s="751">
        <v>0</v>
      </c>
      <c r="M28" s="751">
        <v>0</v>
      </c>
      <c r="N28" s="751">
        <v>2592</v>
      </c>
      <c r="O28" s="751">
        <v>2592</v>
      </c>
      <c r="P28" s="751">
        <v>0</v>
      </c>
      <c r="Q28" s="751">
        <v>0</v>
      </c>
      <c r="R28" s="751">
        <v>41307126</v>
      </c>
      <c r="S28" s="749">
        <v>0.5</v>
      </c>
      <c r="T28" s="749">
        <v>0.49</v>
      </c>
      <c r="U28" s="749">
        <v>0</v>
      </c>
      <c r="V28" s="749">
        <v>0.01</v>
      </c>
      <c r="W28" s="749">
        <v>1</v>
      </c>
      <c r="X28" s="751">
        <v>20653563</v>
      </c>
      <c r="Y28" s="751">
        <v>20240492</v>
      </c>
      <c r="Z28" s="751">
        <v>0</v>
      </c>
      <c r="AA28" s="751">
        <v>413071</v>
      </c>
      <c r="AB28" s="751">
        <v>41307126</v>
      </c>
      <c r="AC28" s="751">
        <v>307132</v>
      </c>
      <c r="AD28" s="751">
        <v>307132</v>
      </c>
      <c r="AE28" s="751">
        <v>20346431</v>
      </c>
      <c r="AF28" s="751">
        <v>20240492</v>
      </c>
      <c r="AG28" s="751">
        <v>0</v>
      </c>
      <c r="AH28" s="751">
        <v>413071</v>
      </c>
      <c r="AI28" s="751">
        <v>40999994</v>
      </c>
      <c r="AJ28" s="751">
        <v>243934</v>
      </c>
      <c r="AK28" s="751">
        <v>243934</v>
      </c>
      <c r="AL28" s="751">
        <v>0</v>
      </c>
      <c r="AM28" s="751">
        <v>0</v>
      </c>
      <c r="AN28" s="751">
        <v>2592</v>
      </c>
      <c r="AO28" s="751">
        <v>0</v>
      </c>
      <c r="AP28" s="751">
        <v>2592</v>
      </c>
      <c r="AQ28" s="751">
        <v>0</v>
      </c>
      <c r="AR28" s="751">
        <v>0</v>
      </c>
      <c r="AS28" s="751">
        <v>0</v>
      </c>
      <c r="AT28" s="751">
        <v>0</v>
      </c>
      <c r="AU28" s="751">
        <v>307132</v>
      </c>
      <c r="AV28" s="751">
        <v>0</v>
      </c>
      <c r="AW28" s="751">
        <v>0</v>
      </c>
      <c r="AX28" s="751">
        <v>307132</v>
      </c>
      <c r="AY28" s="751">
        <v>0</v>
      </c>
      <c r="AZ28" s="751">
        <v>0</v>
      </c>
      <c r="BA28" s="751">
        <v>0</v>
      </c>
      <c r="BB28" s="751">
        <v>0</v>
      </c>
      <c r="BC28" s="751">
        <v>-14404122</v>
      </c>
      <c r="BD28" s="751">
        <v>-13482483</v>
      </c>
      <c r="BE28" s="751">
        <v>0</v>
      </c>
      <c r="BF28" s="751">
        <v>-275153</v>
      </c>
      <c r="BG28" s="751">
        <v>-28161758</v>
      </c>
      <c r="BH28" s="751">
        <v>5942309</v>
      </c>
      <c r="BI28" s="751">
        <v>7311667</v>
      </c>
      <c r="BJ28" s="751">
        <v>0</v>
      </c>
      <c r="BK28" s="751">
        <v>137918</v>
      </c>
      <c r="BL28" s="751">
        <v>13391894</v>
      </c>
      <c r="BM28" s="751">
        <v>1070753</v>
      </c>
      <c r="BN28" s="751">
        <v>0</v>
      </c>
      <c r="BO28" s="751">
        <v>21523</v>
      </c>
      <c r="BP28" s="751">
        <v>1092276</v>
      </c>
      <c r="BQ28" s="751">
        <v>3120711</v>
      </c>
      <c r="BR28" s="751">
        <v>0</v>
      </c>
      <c r="BS28" s="751">
        <v>62007</v>
      </c>
      <c r="BT28" s="751">
        <v>3182718</v>
      </c>
      <c r="BU28" s="751">
        <v>109202</v>
      </c>
      <c r="BV28" s="751">
        <v>0</v>
      </c>
      <c r="BW28" s="751">
        <v>1956</v>
      </c>
      <c r="BX28" s="751">
        <v>111158</v>
      </c>
      <c r="BY28" s="751">
        <v>2443</v>
      </c>
      <c r="BZ28" s="751">
        <v>0</v>
      </c>
      <c r="CA28" s="751">
        <v>50</v>
      </c>
      <c r="CB28" s="751">
        <v>2493</v>
      </c>
      <c r="CC28" s="751">
        <v>0</v>
      </c>
      <c r="CD28" s="751">
        <v>0</v>
      </c>
      <c r="CE28" s="751">
        <v>0</v>
      </c>
      <c r="CF28" s="751">
        <v>0</v>
      </c>
      <c r="CG28" s="751">
        <v>7712</v>
      </c>
      <c r="CH28" s="751">
        <v>0</v>
      </c>
      <c r="CI28" s="751">
        <v>157</v>
      </c>
      <c r="CJ28" s="751">
        <v>7869</v>
      </c>
      <c r="CK28" s="751">
        <v>0</v>
      </c>
      <c r="CL28" s="751">
        <v>0</v>
      </c>
      <c r="CM28" s="751">
        <v>0</v>
      </c>
      <c r="CN28" s="751">
        <v>0</v>
      </c>
      <c r="CO28" s="751">
        <v>0</v>
      </c>
      <c r="CP28" s="751">
        <v>0</v>
      </c>
      <c r="CQ28" s="751">
        <v>0</v>
      </c>
      <c r="CR28" s="751">
        <v>0</v>
      </c>
      <c r="CS28" s="751">
        <v>0</v>
      </c>
      <c r="CT28" s="751">
        <v>0</v>
      </c>
      <c r="CU28" s="751">
        <v>0</v>
      </c>
      <c r="CV28" s="751">
        <v>0</v>
      </c>
      <c r="CW28" s="751">
        <v>4310821</v>
      </c>
      <c r="CX28" s="751">
        <v>0</v>
      </c>
      <c r="CY28" s="751">
        <v>85693</v>
      </c>
      <c r="CZ28" s="751">
        <v>4396514</v>
      </c>
      <c r="DA28" s="662" t="s">
        <v>546</v>
      </c>
      <c r="DB28" s="324" t="s">
        <v>486</v>
      </c>
      <c r="DC28" s="663" t="s">
        <v>545</v>
      </c>
      <c r="DD28" s="529" t="s">
        <v>1232</v>
      </c>
    </row>
    <row r="29" spans="1:108" ht="12.75" x14ac:dyDescent="0.2">
      <c r="A29" s="664">
        <v>22</v>
      </c>
      <c r="B29" s="665" t="s">
        <v>669</v>
      </c>
      <c r="C29" s="666" t="s">
        <v>1201</v>
      </c>
      <c r="D29" s="667" t="s">
        <v>1206</v>
      </c>
      <c r="E29" s="668" t="s">
        <v>668</v>
      </c>
      <c r="F29" s="750">
        <v>28384775</v>
      </c>
      <c r="G29" s="751">
        <v>0</v>
      </c>
      <c r="H29" s="751">
        <v>63608</v>
      </c>
      <c r="I29" s="751">
        <v>93224</v>
      </c>
      <c r="J29" s="751">
        <v>0</v>
      </c>
      <c r="K29" s="751">
        <v>93224</v>
      </c>
      <c r="L29" s="751">
        <v>0</v>
      </c>
      <c r="M29" s="751">
        <v>0</v>
      </c>
      <c r="N29" s="751">
        <v>60379</v>
      </c>
      <c r="O29" s="751">
        <v>60379</v>
      </c>
      <c r="P29" s="751">
        <v>0</v>
      </c>
      <c r="Q29" s="751">
        <v>0</v>
      </c>
      <c r="R29" s="751">
        <v>28167564</v>
      </c>
      <c r="S29" s="749">
        <v>0.5</v>
      </c>
      <c r="T29" s="749">
        <v>0.4</v>
      </c>
      <c r="U29" s="749">
        <v>0.09</v>
      </c>
      <c r="V29" s="749">
        <v>0.01</v>
      </c>
      <c r="W29" s="749">
        <v>1</v>
      </c>
      <c r="X29" s="751">
        <v>14083781</v>
      </c>
      <c r="Y29" s="751">
        <v>11267026</v>
      </c>
      <c r="Z29" s="751">
        <v>2535081</v>
      </c>
      <c r="AA29" s="751">
        <v>281676</v>
      </c>
      <c r="AB29" s="751">
        <v>28167564</v>
      </c>
      <c r="AC29" s="751">
        <v>0</v>
      </c>
      <c r="AD29" s="751">
        <v>0</v>
      </c>
      <c r="AE29" s="751">
        <v>14083781</v>
      </c>
      <c r="AF29" s="751">
        <v>11267026</v>
      </c>
      <c r="AG29" s="751">
        <v>2535081</v>
      </c>
      <c r="AH29" s="751">
        <v>281676</v>
      </c>
      <c r="AI29" s="751">
        <v>28167564</v>
      </c>
      <c r="AJ29" s="751">
        <v>93224</v>
      </c>
      <c r="AK29" s="751">
        <v>93224</v>
      </c>
      <c r="AL29" s="751">
        <v>0</v>
      </c>
      <c r="AM29" s="751">
        <v>0</v>
      </c>
      <c r="AN29" s="751">
        <v>60379</v>
      </c>
      <c r="AO29" s="751">
        <v>0</v>
      </c>
      <c r="AP29" s="751">
        <v>60379</v>
      </c>
      <c r="AQ29" s="751">
        <v>0</v>
      </c>
      <c r="AR29" s="751">
        <v>0</v>
      </c>
      <c r="AS29" s="751">
        <v>0</v>
      </c>
      <c r="AT29" s="751">
        <v>0</v>
      </c>
      <c r="AU29" s="751">
        <v>0</v>
      </c>
      <c r="AV29" s="751">
        <v>0</v>
      </c>
      <c r="AW29" s="751">
        <v>0</v>
      </c>
      <c r="AX29" s="751">
        <v>0</v>
      </c>
      <c r="AY29" s="751">
        <v>0</v>
      </c>
      <c r="AZ29" s="751">
        <v>0</v>
      </c>
      <c r="BA29" s="751">
        <v>0</v>
      </c>
      <c r="BB29" s="751">
        <v>0</v>
      </c>
      <c r="BC29" s="751">
        <v>-3996171</v>
      </c>
      <c r="BD29" s="751">
        <v>-3196936</v>
      </c>
      <c r="BE29" s="751">
        <v>-719311</v>
      </c>
      <c r="BF29" s="751">
        <v>-79923</v>
      </c>
      <c r="BG29" s="751">
        <v>-7992341</v>
      </c>
      <c r="BH29" s="751">
        <v>10087611</v>
      </c>
      <c r="BI29" s="751">
        <v>8223693</v>
      </c>
      <c r="BJ29" s="751">
        <v>1815770</v>
      </c>
      <c r="BK29" s="751">
        <v>201753</v>
      </c>
      <c r="BL29" s="751">
        <v>20328826</v>
      </c>
      <c r="BM29" s="751">
        <v>590205</v>
      </c>
      <c r="BN29" s="751">
        <v>132088</v>
      </c>
      <c r="BO29" s="751">
        <v>14677</v>
      </c>
      <c r="BP29" s="751">
        <v>736970</v>
      </c>
      <c r="BQ29" s="751">
        <v>649894</v>
      </c>
      <c r="BR29" s="751">
        <v>146226</v>
      </c>
      <c r="BS29" s="751">
        <v>16247</v>
      </c>
      <c r="BT29" s="751">
        <v>812367</v>
      </c>
      <c r="BU29" s="751">
        <v>39055</v>
      </c>
      <c r="BV29" s="751">
        <v>8787</v>
      </c>
      <c r="BW29" s="751">
        <v>976</v>
      </c>
      <c r="BX29" s="751">
        <v>48818</v>
      </c>
      <c r="BY29" s="751">
        <v>1102</v>
      </c>
      <c r="BZ29" s="751">
        <v>248</v>
      </c>
      <c r="CA29" s="751">
        <v>28</v>
      </c>
      <c r="CB29" s="751">
        <v>1378</v>
      </c>
      <c r="CC29" s="751">
        <v>4089</v>
      </c>
      <c r="CD29" s="751">
        <v>920</v>
      </c>
      <c r="CE29" s="751">
        <v>102</v>
      </c>
      <c r="CF29" s="751">
        <v>5111</v>
      </c>
      <c r="CG29" s="751">
        <v>8563</v>
      </c>
      <c r="CH29" s="751">
        <v>1927</v>
      </c>
      <c r="CI29" s="751">
        <v>214</v>
      </c>
      <c r="CJ29" s="751">
        <v>10704</v>
      </c>
      <c r="CK29" s="751">
        <v>0</v>
      </c>
      <c r="CL29" s="751">
        <v>0</v>
      </c>
      <c r="CM29" s="751">
        <v>0</v>
      </c>
      <c r="CN29" s="751">
        <v>0</v>
      </c>
      <c r="CO29" s="751">
        <v>0</v>
      </c>
      <c r="CP29" s="751">
        <v>0</v>
      </c>
      <c r="CQ29" s="751">
        <v>0</v>
      </c>
      <c r="CR29" s="751">
        <v>0</v>
      </c>
      <c r="CS29" s="751">
        <v>0</v>
      </c>
      <c r="CT29" s="751">
        <v>0</v>
      </c>
      <c r="CU29" s="751">
        <v>0</v>
      </c>
      <c r="CV29" s="751">
        <v>0</v>
      </c>
      <c r="CW29" s="751">
        <v>1292908</v>
      </c>
      <c r="CX29" s="751">
        <v>290196</v>
      </c>
      <c r="CY29" s="751">
        <v>32244</v>
      </c>
      <c r="CZ29" s="751">
        <v>1615348</v>
      </c>
      <c r="DA29" s="662" t="s">
        <v>668</v>
      </c>
      <c r="DB29" s="324" t="s">
        <v>516</v>
      </c>
      <c r="DC29" s="663" t="s">
        <v>515</v>
      </c>
      <c r="DD29" s="529" t="s">
        <v>1233</v>
      </c>
    </row>
    <row r="30" spans="1:108" ht="12.75" x14ac:dyDescent="0.2">
      <c r="A30" s="664">
        <v>23</v>
      </c>
      <c r="B30" s="665" t="s">
        <v>671</v>
      </c>
      <c r="C30" s="666" t="s">
        <v>1217</v>
      </c>
      <c r="D30" s="667" t="s">
        <v>1204</v>
      </c>
      <c r="E30" s="668" t="s">
        <v>670</v>
      </c>
      <c r="F30" s="750">
        <v>82144654</v>
      </c>
      <c r="G30" s="751">
        <v>0</v>
      </c>
      <c r="H30" s="751">
        <v>1081000</v>
      </c>
      <c r="I30" s="751">
        <v>398607</v>
      </c>
      <c r="J30" s="751">
        <v>0</v>
      </c>
      <c r="K30" s="751">
        <v>398607</v>
      </c>
      <c r="L30" s="751">
        <v>0</v>
      </c>
      <c r="M30" s="751">
        <v>0</v>
      </c>
      <c r="N30" s="751">
        <v>0</v>
      </c>
      <c r="O30" s="751">
        <v>0</v>
      </c>
      <c r="P30" s="751">
        <v>0</v>
      </c>
      <c r="Q30" s="751">
        <v>0</v>
      </c>
      <c r="R30" s="751">
        <v>80665047</v>
      </c>
      <c r="S30" s="749">
        <v>0</v>
      </c>
      <c r="T30" s="749">
        <v>0.99</v>
      </c>
      <c r="U30" s="749">
        <v>0</v>
      </c>
      <c r="V30" s="749">
        <v>0.01</v>
      </c>
      <c r="W30" s="749">
        <v>1</v>
      </c>
      <c r="X30" s="751">
        <v>0</v>
      </c>
      <c r="Y30" s="751">
        <v>79858397</v>
      </c>
      <c r="Z30" s="751">
        <v>0</v>
      </c>
      <c r="AA30" s="751">
        <v>806650</v>
      </c>
      <c r="AB30" s="751">
        <v>80665047</v>
      </c>
      <c r="AC30" s="751">
        <v>0</v>
      </c>
      <c r="AD30" s="751">
        <v>0</v>
      </c>
      <c r="AE30" s="751">
        <v>0</v>
      </c>
      <c r="AF30" s="751">
        <v>79858397</v>
      </c>
      <c r="AG30" s="751">
        <v>0</v>
      </c>
      <c r="AH30" s="751">
        <v>806650</v>
      </c>
      <c r="AI30" s="751">
        <v>80665047</v>
      </c>
      <c r="AJ30" s="751">
        <v>398607</v>
      </c>
      <c r="AK30" s="751">
        <v>398607</v>
      </c>
      <c r="AL30" s="751">
        <v>0</v>
      </c>
      <c r="AM30" s="751">
        <v>0</v>
      </c>
      <c r="AN30" s="751">
        <v>0</v>
      </c>
      <c r="AO30" s="751">
        <v>0</v>
      </c>
      <c r="AP30" s="751">
        <v>0</v>
      </c>
      <c r="AQ30" s="751">
        <v>0</v>
      </c>
      <c r="AR30" s="751">
        <v>0</v>
      </c>
      <c r="AS30" s="751">
        <v>0</v>
      </c>
      <c r="AT30" s="751">
        <v>0</v>
      </c>
      <c r="AU30" s="751">
        <v>0</v>
      </c>
      <c r="AV30" s="751">
        <v>0</v>
      </c>
      <c r="AW30" s="751">
        <v>0</v>
      </c>
      <c r="AX30" s="751">
        <v>0</v>
      </c>
      <c r="AY30" s="751">
        <v>0</v>
      </c>
      <c r="AZ30" s="751">
        <v>0</v>
      </c>
      <c r="BA30" s="751">
        <v>0</v>
      </c>
      <c r="BB30" s="751">
        <v>0</v>
      </c>
      <c r="BC30" s="751">
        <v>0</v>
      </c>
      <c r="BD30" s="751">
        <v>-41388419</v>
      </c>
      <c r="BE30" s="751">
        <v>0</v>
      </c>
      <c r="BF30" s="751">
        <v>-418065</v>
      </c>
      <c r="BG30" s="751">
        <v>-41806484</v>
      </c>
      <c r="BH30" s="751">
        <v>0</v>
      </c>
      <c r="BI30" s="751">
        <v>38868585</v>
      </c>
      <c r="BJ30" s="751">
        <v>0</v>
      </c>
      <c r="BK30" s="751">
        <v>388585</v>
      </c>
      <c r="BL30" s="751">
        <v>39257170</v>
      </c>
      <c r="BM30" s="751">
        <v>4160959</v>
      </c>
      <c r="BN30" s="751">
        <v>0</v>
      </c>
      <c r="BO30" s="751">
        <v>42030</v>
      </c>
      <c r="BP30" s="751">
        <v>4202989</v>
      </c>
      <c r="BQ30" s="751">
        <v>9005528</v>
      </c>
      <c r="BR30" s="751">
        <v>0</v>
      </c>
      <c r="BS30" s="751">
        <v>90965</v>
      </c>
      <c r="BT30" s="751">
        <v>9096493</v>
      </c>
      <c r="BU30" s="751">
        <v>374742</v>
      </c>
      <c r="BV30" s="751">
        <v>0</v>
      </c>
      <c r="BW30" s="751">
        <v>3785</v>
      </c>
      <c r="BX30" s="751">
        <v>378527</v>
      </c>
      <c r="BY30" s="751">
        <v>0</v>
      </c>
      <c r="BZ30" s="751">
        <v>0</v>
      </c>
      <c r="CA30" s="751">
        <v>0</v>
      </c>
      <c r="CB30" s="751">
        <v>0</v>
      </c>
      <c r="CC30" s="751">
        <v>0</v>
      </c>
      <c r="CD30" s="751">
        <v>0</v>
      </c>
      <c r="CE30" s="751">
        <v>0</v>
      </c>
      <c r="CF30" s="751">
        <v>0</v>
      </c>
      <c r="CG30" s="751">
        <v>52079</v>
      </c>
      <c r="CH30" s="751">
        <v>0</v>
      </c>
      <c r="CI30" s="751">
        <v>526</v>
      </c>
      <c r="CJ30" s="751">
        <v>52605</v>
      </c>
      <c r="CK30" s="751">
        <v>0</v>
      </c>
      <c r="CL30" s="751">
        <v>0</v>
      </c>
      <c r="CM30" s="751">
        <v>0</v>
      </c>
      <c r="CN30" s="751">
        <v>0</v>
      </c>
      <c r="CO30" s="751">
        <v>0</v>
      </c>
      <c r="CP30" s="751">
        <v>0</v>
      </c>
      <c r="CQ30" s="751">
        <v>0</v>
      </c>
      <c r="CR30" s="751">
        <v>0</v>
      </c>
      <c r="CS30" s="751">
        <v>1562</v>
      </c>
      <c r="CT30" s="751">
        <v>0</v>
      </c>
      <c r="CU30" s="751">
        <v>16</v>
      </c>
      <c r="CV30" s="751">
        <v>1578</v>
      </c>
      <c r="CW30" s="751">
        <v>13594870</v>
      </c>
      <c r="CX30" s="751">
        <v>0</v>
      </c>
      <c r="CY30" s="751">
        <v>137322</v>
      </c>
      <c r="CZ30" s="751">
        <v>13732192</v>
      </c>
      <c r="DA30" s="662" t="s">
        <v>670</v>
      </c>
      <c r="DB30" s="324" t="s">
        <v>570</v>
      </c>
      <c r="DC30" s="663" t="s">
        <v>1915</v>
      </c>
      <c r="DD30" s="529" t="s">
        <v>1234</v>
      </c>
    </row>
    <row r="31" spans="1:108" ht="12.75" x14ac:dyDescent="0.2">
      <c r="A31" s="664">
        <v>24</v>
      </c>
      <c r="B31" s="665" t="s">
        <v>673</v>
      </c>
      <c r="C31" s="666" t="s">
        <v>1201</v>
      </c>
      <c r="D31" s="667" t="s">
        <v>1206</v>
      </c>
      <c r="E31" s="668" t="s">
        <v>672</v>
      </c>
      <c r="F31" s="750">
        <v>20770963</v>
      </c>
      <c r="G31" s="751">
        <v>36740</v>
      </c>
      <c r="H31" s="751">
        <v>0</v>
      </c>
      <c r="I31" s="751">
        <v>92205</v>
      </c>
      <c r="J31" s="751">
        <v>0</v>
      </c>
      <c r="K31" s="751">
        <v>92205</v>
      </c>
      <c r="L31" s="751">
        <v>0</v>
      </c>
      <c r="M31" s="751">
        <v>0</v>
      </c>
      <c r="N31" s="751">
        <v>208285</v>
      </c>
      <c r="O31" s="751">
        <v>208285</v>
      </c>
      <c r="P31" s="751">
        <v>0</v>
      </c>
      <c r="Q31" s="751">
        <v>0</v>
      </c>
      <c r="R31" s="751">
        <v>20507213</v>
      </c>
      <c r="S31" s="749">
        <v>0.5</v>
      </c>
      <c r="T31" s="749">
        <v>0.4</v>
      </c>
      <c r="U31" s="749">
        <v>0.1</v>
      </c>
      <c r="V31" s="749">
        <v>0</v>
      </c>
      <c r="W31" s="749">
        <v>1</v>
      </c>
      <c r="X31" s="751">
        <v>10253607</v>
      </c>
      <c r="Y31" s="751">
        <v>8202885</v>
      </c>
      <c r="Z31" s="751">
        <v>2050721</v>
      </c>
      <c r="AA31" s="751">
        <v>0</v>
      </c>
      <c r="AB31" s="751">
        <v>20507213</v>
      </c>
      <c r="AC31" s="751">
        <v>0</v>
      </c>
      <c r="AD31" s="751">
        <v>0</v>
      </c>
      <c r="AE31" s="751">
        <v>10253607</v>
      </c>
      <c r="AF31" s="751">
        <v>8202885</v>
      </c>
      <c r="AG31" s="751">
        <v>2050721</v>
      </c>
      <c r="AH31" s="751">
        <v>0</v>
      </c>
      <c r="AI31" s="751">
        <v>20507213</v>
      </c>
      <c r="AJ31" s="751">
        <v>92205</v>
      </c>
      <c r="AK31" s="751">
        <v>92205</v>
      </c>
      <c r="AL31" s="751">
        <v>0</v>
      </c>
      <c r="AM31" s="751">
        <v>0</v>
      </c>
      <c r="AN31" s="751">
        <v>208285</v>
      </c>
      <c r="AO31" s="751">
        <v>0</v>
      </c>
      <c r="AP31" s="751">
        <v>208285</v>
      </c>
      <c r="AQ31" s="751">
        <v>0</v>
      </c>
      <c r="AR31" s="751">
        <v>0</v>
      </c>
      <c r="AS31" s="751">
        <v>0</v>
      </c>
      <c r="AT31" s="751">
        <v>0</v>
      </c>
      <c r="AU31" s="751">
        <v>0</v>
      </c>
      <c r="AV31" s="751">
        <v>0</v>
      </c>
      <c r="AW31" s="751">
        <v>0</v>
      </c>
      <c r="AX31" s="751">
        <v>0</v>
      </c>
      <c r="AY31" s="751">
        <v>0</v>
      </c>
      <c r="AZ31" s="751">
        <v>0</v>
      </c>
      <c r="BA31" s="751">
        <v>0</v>
      </c>
      <c r="BB31" s="751">
        <v>0</v>
      </c>
      <c r="BC31" s="751">
        <v>-4604836</v>
      </c>
      <c r="BD31" s="751">
        <v>-3683869</v>
      </c>
      <c r="BE31" s="751">
        <v>-920967</v>
      </c>
      <c r="BF31" s="751">
        <v>0</v>
      </c>
      <c r="BG31" s="751">
        <v>-9209672</v>
      </c>
      <c r="BH31" s="751">
        <v>5648771</v>
      </c>
      <c r="BI31" s="751">
        <v>4819506</v>
      </c>
      <c r="BJ31" s="751">
        <v>1129754</v>
      </c>
      <c r="BK31" s="751">
        <v>0</v>
      </c>
      <c r="BL31" s="751">
        <v>11598031</v>
      </c>
      <c r="BM31" s="751">
        <v>438257</v>
      </c>
      <c r="BN31" s="751">
        <v>106851</v>
      </c>
      <c r="BO31" s="751">
        <v>0</v>
      </c>
      <c r="BP31" s="751">
        <v>545108</v>
      </c>
      <c r="BQ31" s="751">
        <v>843798</v>
      </c>
      <c r="BR31" s="751">
        <v>210949</v>
      </c>
      <c r="BS31" s="751">
        <v>0</v>
      </c>
      <c r="BT31" s="751">
        <v>1054747</v>
      </c>
      <c r="BU31" s="751">
        <v>39663</v>
      </c>
      <c r="BV31" s="751">
        <v>9916</v>
      </c>
      <c r="BW31" s="751">
        <v>0</v>
      </c>
      <c r="BX31" s="751">
        <v>49579</v>
      </c>
      <c r="BY31" s="751">
        <v>0</v>
      </c>
      <c r="BZ31" s="751">
        <v>0</v>
      </c>
      <c r="CA31" s="751">
        <v>0</v>
      </c>
      <c r="CB31" s="751">
        <v>0</v>
      </c>
      <c r="CC31" s="751">
        <v>8577</v>
      </c>
      <c r="CD31" s="751">
        <v>2144</v>
      </c>
      <c r="CE31" s="751">
        <v>0</v>
      </c>
      <c r="CF31" s="751">
        <v>10721</v>
      </c>
      <c r="CG31" s="751">
        <v>4535</v>
      </c>
      <c r="CH31" s="751">
        <v>1134</v>
      </c>
      <c r="CI31" s="751">
        <v>0</v>
      </c>
      <c r="CJ31" s="751">
        <v>5669</v>
      </c>
      <c r="CK31" s="751">
        <v>0</v>
      </c>
      <c r="CL31" s="751">
        <v>0</v>
      </c>
      <c r="CM31" s="751">
        <v>0</v>
      </c>
      <c r="CN31" s="751">
        <v>0</v>
      </c>
      <c r="CO31" s="751">
        <v>0</v>
      </c>
      <c r="CP31" s="751">
        <v>0</v>
      </c>
      <c r="CQ31" s="751">
        <v>0</v>
      </c>
      <c r="CR31" s="751">
        <v>0</v>
      </c>
      <c r="CS31" s="751">
        <v>631</v>
      </c>
      <c r="CT31" s="751">
        <v>158</v>
      </c>
      <c r="CU31" s="751">
        <v>0</v>
      </c>
      <c r="CV31" s="751">
        <v>789</v>
      </c>
      <c r="CW31" s="751">
        <v>1335461</v>
      </c>
      <c r="CX31" s="751">
        <v>331152</v>
      </c>
      <c r="CY31" s="751">
        <v>0</v>
      </c>
      <c r="CZ31" s="751">
        <v>1666613</v>
      </c>
      <c r="DA31" s="662" t="s">
        <v>672</v>
      </c>
      <c r="DB31" s="324" t="s">
        <v>552</v>
      </c>
      <c r="DC31" s="663" t="s">
        <v>512</v>
      </c>
      <c r="DD31" s="529" t="s">
        <v>1235</v>
      </c>
    </row>
    <row r="32" spans="1:108" ht="12.75" x14ac:dyDescent="0.2">
      <c r="A32" s="664">
        <v>25</v>
      </c>
      <c r="B32" s="665" t="s">
        <v>1017</v>
      </c>
      <c r="C32" s="666" t="s">
        <v>486</v>
      </c>
      <c r="D32" s="667" t="s">
        <v>1224</v>
      </c>
      <c r="E32" s="668" t="s">
        <v>1027</v>
      </c>
      <c r="F32" s="750">
        <v>134916702</v>
      </c>
      <c r="G32" s="751">
        <v>0</v>
      </c>
      <c r="H32" s="751">
        <v>401903</v>
      </c>
      <c r="I32" s="751">
        <v>594913</v>
      </c>
      <c r="J32" s="751">
        <v>0</v>
      </c>
      <c r="K32" s="751">
        <v>594913</v>
      </c>
      <c r="L32" s="751">
        <v>0</v>
      </c>
      <c r="M32" s="751">
        <v>0</v>
      </c>
      <c r="N32" s="751">
        <v>309547</v>
      </c>
      <c r="O32" s="751">
        <v>309547</v>
      </c>
      <c r="P32" s="751">
        <v>0</v>
      </c>
      <c r="Q32" s="751">
        <v>0</v>
      </c>
      <c r="R32" s="751">
        <v>133610339</v>
      </c>
      <c r="S32" s="749">
        <v>0.5</v>
      </c>
      <c r="T32" s="749">
        <v>0.49</v>
      </c>
      <c r="U32" s="749">
        <v>0</v>
      </c>
      <c r="V32" s="749">
        <v>0.01</v>
      </c>
      <c r="W32" s="749">
        <v>1</v>
      </c>
      <c r="X32" s="751">
        <v>66805170</v>
      </c>
      <c r="Y32" s="751">
        <v>65469066</v>
      </c>
      <c r="Z32" s="751">
        <v>0</v>
      </c>
      <c r="AA32" s="751">
        <v>1336103</v>
      </c>
      <c r="AB32" s="751">
        <v>133610339</v>
      </c>
      <c r="AC32" s="751">
        <v>0</v>
      </c>
      <c r="AD32" s="751">
        <v>0</v>
      </c>
      <c r="AE32" s="751">
        <v>66805170</v>
      </c>
      <c r="AF32" s="751">
        <v>65469066</v>
      </c>
      <c r="AG32" s="751">
        <v>0</v>
      </c>
      <c r="AH32" s="751">
        <v>1336103</v>
      </c>
      <c r="AI32" s="751">
        <v>133610339</v>
      </c>
      <c r="AJ32" s="751">
        <v>594913</v>
      </c>
      <c r="AK32" s="751">
        <v>594913</v>
      </c>
      <c r="AL32" s="751">
        <v>0</v>
      </c>
      <c r="AM32" s="751">
        <v>0</v>
      </c>
      <c r="AN32" s="751">
        <v>309547</v>
      </c>
      <c r="AO32" s="751">
        <v>0</v>
      </c>
      <c r="AP32" s="751">
        <v>309547</v>
      </c>
      <c r="AQ32" s="751">
        <v>0</v>
      </c>
      <c r="AR32" s="751">
        <v>0</v>
      </c>
      <c r="AS32" s="751">
        <v>0</v>
      </c>
      <c r="AT32" s="751">
        <v>0</v>
      </c>
      <c r="AU32" s="751">
        <v>0</v>
      </c>
      <c r="AV32" s="751">
        <v>0</v>
      </c>
      <c r="AW32" s="751">
        <v>0</v>
      </c>
      <c r="AX32" s="751">
        <v>0</v>
      </c>
      <c r="AY32" s="751">
        <v>0</v>
      </c>
      <c r="AZ32" s="751">
        <v>0</v>
      </c>
      <c r="BA32" s="751">
        <v>0</v>
      </c>
      <c r="BB32" s="751">
        <v>0</v>
      </c>
      <c r="BC32" s="751">
        <v>-41144754</v>
      </c>
      <c r="BD32" s="751">
        <v>-40321859</v>
      </c>
      <c r="BE32" s="751">
        <v>0</v>
      </c>
      <c r="BF32" s="751">
        <v>-822895</v>
      </c>
      <c r="BG32" s="751">
        <v>-82289508</v>
      </c>
      <c r="BH32" s="751">
        <v>25660416</v>
      </c>
      <c r="BI32" s="751">
        <v>26051667</v>
      </c>
      <c r="BJ32" s="751">
        <v>0</v>
      </c>
      <c r="BK32" s="751">
        <v>513208</v>
      </c>
      <c r="BL32" s="751">
        <v>52225291</v>
      </c>
      <c r="BM32" s="751">
        <v>3427343</v>
      </c>
      <c r="BN32" s="751">
        <v>0</v>
      </c>
      <c r="BO32" s="751">
        <v>69617</v>
      </c>
      <c r="BP32" s="751">
        <v>3496960</v>
      </c>
      <c r="BQ32" s="751">
        <v>6226993</v>
      </c>
      <c r="BR32" s="751">
        <v>0</v>
      </c>
      <c r="BS32" s="751">
        <v>127081</v>
      </c>
      <c r="BT32" s="751">
        <v>6354074</v>
      </c>
      <c r="BU32" s="751">
        <v>338484</v>
      </c>
      <c r="BV32" s="751">
        <v>0</v>
      </c>
      <c r="BW32" s="751">
        <v>6908</v>
      </c>
      <c r="BX32" s="751">
        <v>345392</v>
      </c>
      <c r="BY32" s="751">
        <v>983</v>
      </c>
      <c r="BZ32" s="751">
        <v>0</v>
      </c>
      <c r="CA32" s="751">
        <v>20</v>
      </c>
      <c r="CB32" s="751">
        <v>1003</v>
      </c>
      <c r="CC32" s="751">
        <v>0</v>
      </c>
      <c r="CD32" s="751">
        <v>0</v>
      </c>
      <c r="CE32" s="751">
        <v>0</v>
      </c>
      <c r="CF32" s="751">
        <v>0</v>
      </c>
      <c r="CG32" s="751">
        <v>24601</v>
      </c>
      <c r="CH32" s="751">
        <v>0</v>
      </c>
      <c r="CI32" s="751">
        <v>502</v>
      </c>
      <c r="CJ32" s="751">
        <v>25103</v>
      </c>
      <c r="CK32" s="751">
        <v>0</v>
      </c>
      <c r="CL32" s="751">
        <v>0</v>
      </c>
      <c r="CM32" s="751">
        <v>0</v>
      </c>
      <c r="CN32" s="751">
        <v>0</v>
      </c>
      <c r="CO32" s="751">
        <v>0</v>
      </c>
      <c r="CP32" s="751">
        <v>0</v>
      </c>
      <c r="CQ32" s="751">
        <v>0</v>
      </c>
      <c r="CR32" s="751">
        <v>0</v>
      </c>
      <c r="CS32" s="751">
        <v>773</v>
      </c>
      <c r="CT32" s="751">
        <v>0</v>
      </c>
      <c r="CU32" s="751">
        <v>16</v>
      </c>
      <c r="CV32" s="751">
        <v>789</v>
      </c>
      <c r="CW32" s="751">
        <v>10019177</v>
      </c>
      <c r="CX32" s="751">
        <v>0</v>
      </c>
      <c r="CY32" s="751">
        <v>204144</v>
      </c>
      <c r="CZ32" s="751">
        <v>10223321</v>
      </c>
      <c r="DA32" s="662" t="s">
        <v>1027</v>
      </c>
      <c r="DB32" s="324" t="s">
        <v>486</v>
      </c>
      <c r="DC32" s="663" t="s">
        <v>1916</v>
      </c>
      <c r="DD32" s="529" t="s">
        <v>1236</v>
      </c>
    </row>
    <row r="33" spans="1:108" ht="12.75" x14ac:dyDescent="0.2">
      <c r="A33" s="664">
        <v>26</v>
      </c>
      <c r="B33" s="665" t="s">
        <v>674</v>
      </c>
      <c r="C33" s="666" t="s">
        <v>486</v>
      </c>
      <c r="D33" s="667" t="s">
        <v>1202</v>
      </c>
      <c r="E33" s="668" t="s">
        <v>493</v>
      </c>
      <c r="F33" s="750">
        <v>69300252</v>
      </c>
      <c r="G33" s="751">
        <v>0</v>
      </c>
      <c r="H33" s="751">
        <v>519394</v>
      </c>
      <c r="I33" s="751">
        <v>148660</v>
      </c>
      <c r="J33" s="751">
        <v>0</v>
      </c>
      <c r="K33" s="751">
        <v>148660</v>
      </c>
      <c r="L33" s="751">
        <v>0</v>
      </c>
      <c r="M33" s="751">
        <v>0</v>
      </c>
      <c r="N33" s="751">
        <v>0</v>
      </c>
      <c r="O33" s="751">
        <v>0</v>
      </c>
      <c r="P33" s="751">
        <v>0</v>
      </c>
      <c r="Q33" s="751">
        <v>0</v>
      </c>
      <c r="R33" s="751">
        <v>68632198</v>
      </c>
      <c r="S33" s="749">
        <v>0.5</v>
      </c>
      <c r="T33" s="749">
        <v>0.49</v>
      </c>
      <c r="U33" s="749">
        <v>0</v>
      </c>
      <c r="V33" s="749">
        <v>0.01</v>
      </c>
      <c r="W33" s="749">
        <v>1</v>
      </c>
      <c r="X33" s="751">
        <v>34316099</v>
      </c>
      <c r="Y33" s="751">
        <v>33629777</v>
      </c>
      <c r="Z33" s="751">
        <v>0</v>
      </c>
      <c r="AA33" s="751">
        <v>686322</v>
      </c>
      <c r="AB33" s="751">
        <v>68632198</v>
      </c>
      <c r="AC33" s="751">
        <v>0</v>
      </c>
      <c r="AD33" s="751">
        <v>0</v>
      </c>
      <c r="AE33" s="751">
        <v>34316099</v>
      </c>
      <c r="AF33" s="751">
        <v>33629777</v>
      </c>
      <c r="AG33" s="751">
        <v>0</v>
      </c>
      <c r="AH33" s="751">
        <v>686322</v>
      </c>
      <c r="AI33" s="751">
        <v>68632198</v>
      </c>
      <c r="AJ33" s="751">
        <v>148660</v>
      </c>
      <c r="AK33" s="751">
        <v>148660</v>
      </c>
      <c r="AL33" s="751">
        <v>0</v>
      </c>
      <c r="AM33" s="751">
        <v>0</v>
      </c>
      <c r="AN33" s="751">
        <v>0</v>
      </c>
      <c r="AO33" s="751">
        <v>0</v>
      </c>
      <c r="AP33" s="751">
        <v>0</v>
      </c>
      <c r="AQ33" s="751">
        <v>0</v>
      </c>
      <c r="AR33" s="751">
        <v>0</v>
      </c>
      <c r="AS33" s="751">
        <v>0</v>
      </c>
      <c r="AT33" s="751">
        <v>0</v>
      </c>
      <c r="AU33" s="751">
        <v>0</v>
      </c>
      <c r="AV33" s="751">
        <v>0</v>
      </c>
      <c r="AW33" s="751">
        <v>0</v>
      </c>
      <c r="AX33" s="751">
        <v>0</v>
      </c>
      <c r="AY33" s="751">
        <v>0</v>
      </c>
      <c r="AZ33" s="751">
        <v>0</v>
      </c>
      <c r="BA33" s="751">
        <v>0</v>
      </c>
      <c r="BB33" s="751">
        <v>0</v>
      </c>
      <c r="BC33" s="751">
        <v>-11582447</v>
      </c>
      <c r="BD33" s="751">
        <v>-11641406</v>
      </c>
      <c r="BE33" s="751">
        <v>0</v>
      </c>
      <c r="BF33" s="751">
        <v>-234584</v>
      </c>
      <c r="BG33" s="751">
        <v>-23458437</v>
      </c>
      <c r="BH33" s="751">
        <v>22733652</v>
      </c>
      <c r="BI33" s="751">
        <v>22137031</v>
      </c>
      <c r="BJ33" s="751">
        <v>0</v>
      </c>
      <c r="BK33" s="751">
        <v>451738</v>
      </c>
      <c r="BL33" s="751">
        <v>45322421</v>
      </c>
      <c r="BM33" s="751">
        <v>1752253</v>
      </c>
      <c r="BN33" s="751">
        <v>0</v>
      </c>
      <c r="BO33" s="751">
        <v>35760</v>
      </c>
      <c r="BP33" s="751">
        <v>1788013</v>
      </c>
      <c r="BQ33" s="751">
        <v>786497</v>
      </c>
      <c r="BR33" s="751">
        <v>0</v>
      </c>
      <c r="BS33" s="751">
        <v>16051</v>
      </c>
      <c r="BT33" s="751">
        <v>802548</v>
      </c>
      <c r="BU33" s="751">
        <v>61008</v>
      </c>
      <c r="BV33" s="751">
        <v>0</v>
      </c>
      <c r="BW33" s="751">
        <v>1245</v>
      </c>
      <c r="BX33" s="751">
        <v>62253</v>
      </c>
      <c r="BY33" s="751">
        <v>2244</v>
      </c>
      <c r="BZ33" s="751">
        <v>0</v>
      </c>
      <c r="CA33" s="751">
        <v>46</v>
      </c>
      <c r="CB33" s="751">
        <v>2290</v>
      </c>
      <c r="CC33" s="751">
        <v>0</v>
      </c>
      <c r="CD33" s="751">
        <v>0</v>
      </c>
      <c r="CE33" s="751">
        <v>0</v>
      </c>
      <c r="CF33" s="751">
        <v>0</v>
      </c>
      <c r="CG33" s="751">
        <v>35471</v>
      </c>
      <c r="CH33" s="751">
        <v>0</v>
      </c>
      <c r="CI33" s="751">
        <v>724</v>
      </c>
      <c r="CJ33" s="751">
        <v>36195</v>
      </c>
      <c r="CK33" s="751">
        <v>0</v>
      </c>
      <c r="CL33" s="751">
        <v>0</v>
      </c>
      <c r="CM33" s="751">
        <v>0</v>
      </c>
      <c r="CN33" s="751">
        <v>0</v>
      </c>
      <c r="CO33" s="751">
        <v>0</v>
      </c>
      <c r="CP33" s="751">
        <v>0</v>
      </c>
      <c r="CQ33" s="751">
        <v>0</v>
      </c>
      <c r="CR33" s="751">
        <v>0</v>
      </c>
      <c r="CS33" s="751">
        <v>0</v>
      </c>
      <c r="CT33" s="751">
        <v>0</v>
      </c>
      <c r="CU33" s="751">
        <v>0</v>
      </c>
      <c r="CV33" s="751">
        <v>0</v>
      </c>
      <c r="CW33" s="751">
        <v>2637473</v>
      </c>
      <c r="CX33" s="751">
        <v>0</v>
      </c>
      <c r="CY33" s="751">
        <v>53826</v>
      </c>
      <c r="CZ33" s="751">
        <v>2691299</v>
      </c>
      <c r="DA33" s="662" t="s">
        <v>493</v>
      </c>
      <c r="DB33" s="324" t="s">
        <v>486</v>
      </c>
      <c r="DC33" s="663" t="s">
        <v>494</v>
      </c>
      <c r="DD33" s="529" t="s">
        <v>1237</v>
      </c>
    </row>
    <row r="34" spans="1:108" ht="12.75" x14ac:dyDescent="0.2">
      <c r="A34" s="664">
        <v>27</v>
      </c>
      <c r="B34" s="665" t="s">
        <v>676</v>
      </c>
      <c r="C34" s="666" t="s">
        <v>1217</v>
      </c>
      <c r="D34" s="667" t="s">
        <v>1218</v>
      </c>
      <c r="E34" s="668" t="s">
        <v>675</v>
      </c>
      <c r="F34" s="750">
        <v>134685620</v>
      </c>
      <c r="G34" s="751">
        <v>0</v>
      </c>
      <c r="H34" s="751">
        <v>725220</v>
      </c>
      <c r="I34" s="751">
        <v>716887</v>
      </c>
      <c r="J34" s="751">
        <v>0</v>
      </c>
      <c r="K34" s="751">
        <v>716887</v>
      </c>
      <c r="L34" s="751">
        <v>0</v>
      </c>
      <c r="M34" s="751">
        <v>0</v>
      </c>
      <c r="N34" s="751">
        <v>0</v>
      </c>
      <c r="O34" s="751">
        <v>0</v>
      </c>
      <c r="P34" s="751">
        <v>0</v>
      </c>
      <c r="Q34" s="751">
        <v>0</v>
      </c>
      <c r="R34" s="751">
        <v>133243513</v>
      </c>
      <c r="S34" s="749">
        <v>0.5</v>
      </c>
      <c r="T34" s="749">
        <v>0.49</v>
      </c>
      <c r="U34" s="749">
        <v>0</v>
      </c>
      <c r="V34" s="749">
        <v>0.01</v>
      </c>
      <c r="W34" s="749">
        <v>1</v>
      </c>
      <c r="X34" s="751">
        <v>66621757</v>
      </c>
      <c r="Y34" s="751">
        <v>65289321</v>
      </c>
      <c r="Z34" s="751">
        <v>0</v>
      </c>
      <c r="AA34" s="751">
        <v>1332435</v>
      </c>
      <c r="AB34" s="751">
        <v>133243513</v>
      </c>
      <c r="AC34" s="751">
        <v>0</v>
      </c>
      <c r="AD34" s="751">
        <v>0</v>
      </c>
      <c r="AE34" s="751">
        <v>66621757</v>
      </c>
      <c r="AF34" s="751">
        <v>65289321</v>
      </c>
      <c r="AG34" s="751">
        <v>0</v>
      </c>
      <c r="AH34" s="751">
        <v>1332435</v>
      </c>
      <c r="AI34" s="751">
        <v>133243513</v>
      </c>
      <c r="AJ34" s="751">
        <v>716887</v>
      </c>
      <c r="AK34" s="751">
        <v>716887</v>
      </c>
      <c r="AL34" s="751">
        <v>0</v>
      </c>
      <c r="AM34" s="751">
        <v>0</v>
      </c>
      <c r="AN34" s="751">
        <v>0</v>
      </c>
      <c r="AO34" s="751">
        <v>0</v>
      </c>
      <c r="AP34" s="751">
        <v>0</v>
      </c>
      <c r="AQ34" s="751">
        <v>0</v>
      </c>
      <c r="AR34" s="751">
        <v>0</v>
      </c>
      <c r="AS34" s="751">
        <v>0</v>
      </c>
      <c r="AT34" s="751">
        <v>0</v>
      </c>
      <c r="AU34" s="751">
        <v>0</v>
      </c>
      <c r="AV34" s="751">
        <v>0</v>
      </c>
      <c r="AW34" s="751">
        <v>0</v>
      </c>
      <c r="AX34" s="751">
        <v>0</v>
      </c>
      <c r="AY34" s="751">
        <v>0</v>
      </c>
      <c r="AZ34" s="751">
        <v>0</v>
      </c>
      <c r="BA34" s="751">
        <v>0</v>
      </c>
      <c r="BB34" s="751">
        <v>0</v>
      </c>
      <c r="BC34" s="751">
        <v>-24543880</v>
      </c>
      <c r="BD34" s="751">
        <v>-23663020</v>
      </c>
      <c r="BE34" s="751">
        <v>0</v>
      </c>
      <c r="BF34" s="751">
        <v>-486938</v>
      </c>
      <c r="BG34" s="751">
        <v>-48693838</v>
      </c>
      <c r="BH34" s="751">
        <v>42077877</v>
      </c>
      <c r="BI34" s="751">
        <v>42343188</v>
      </c>
      <c r="BJ34" s="751">
        <v>0</v>
      </c>
      <c r="BK34" s="751">
        <v>845497</v>
      </c>
      <c r="BL34" s="751">
        <v>85266562</v>
      </c>
      <c r="BM34" s="751">
        <v>3401848</v>
      </c>
      <c r="BN34" s="751">
        <v>0</v>
      </c>
      <c r="BO34" s="751">
        <v>69425</v>
      </c>
      <c r="BP34" s="751">
        <v>3471273</v>
      </c>
      <c r="BQ34" s="751">
        <v>9603696</v>
      </c>
      <c r="BR34" s="751">
        <v>0</v>
      </c>
      <c r="BS34" s="751">
        <v>195994</v>
      </c>
      <c r="BT34" s="751">
        <v>9799690</v>
      </c>
      <c r="BU34" s="751">
        <v>327475</v>
      </c>
      <c r="BV34" s="751">
        <v>0</v>
      </c>
      <c r="BW34" s="751">
        <v>6683</v>
      </c>
      <c r="BX34" s="751">
        <v>334158</v>
      </c>
      <c r="BY34" s="751">
        <v>224114</v>
      </c>
      <c r="BZ34" s="751">
        <v>0</v>
      </c>
      <c r="CA34" s="751">
        <v>4574</v>
      </c>
      <c r="CB34" s="751">
        <v>228688</v>
      </c>
      <c r="CC34" s="751">
        <v>0</v>
      </c>
      <c r="CD34" s="751">
        <v>0</v>
      </c>
      <c r="CE34" s="751">
        <v>0</v>
      </c>
      <c r="CF34" s="751">
        <v>0</v>
      </c>
      <c r="CG34" s="751">
        <v>26552</v>
      </c>
      <c r="CH34" s="751">
        <v>0</v>
      </c>
      <c r="CI34" s="751">
        <v>542</v>
      </c>
      <c r="CJ34" s="751">
        <v>27094</v>
      </c>
      <c r="CK34" s="751">
        <v>0</v>
      </c>
      <c r="CL34" s="751">
        <v>0</v>
      </c>
      <c r="CM34" s="751">
        <v>0</v>
      </c>
      <c r="CN34" s="751">
        <v>0</v>
      </c>
      <c r="CO34" s="751">
        <v>0</v>
      </c>
      <c r="CP34" s="751">
        <v>0</v>
      </c>
      <c r="CQ34" s="751">
        <v>0</v>
      </c>
      <c r="CR34" s="751">
        <v>0</v>
      </c>
      <c r="CS34" s="751">
        <v>0</v>
      </c>
      <c r="CT34" s="751">
        <v>0</v>
      </c>
      <c r="CU34" s="751">
        <v>0</v>
      </c>
      <c r="CV34" s="751">
        <v>0</v>
      </c>
      <c r="CW34" s="751">
        <v>13583685</v>
      </c>
      <c r="CX34" s="751">
        <v>0</v>
      </c>
      <c r="CY34" s="751">
        <v>277218</v>
      </c>
      <c r="CZ34" s="751">
        <v>13860903</v>
      </c>
      <c r="DA34" s="662" t="s">
        <v>675</v>
      </c>
      <c r="DB34" s="324" t="s">
        <v>570</v>
      </c>
      <c r="DC34" s="663" t="s">
        <v>575</v>
      </c>
      <c r="DD34" s="529" t="s">
        <v>1238</v>
      </c>
    </row>
    <row r="35" spans="1:108" ht="12.75" x14ac:dyDescent="0.2">
      <c r="A35" s="664">
        <v>28</v>
      </c>
      <c r="B35" s="665" t="s">
        <v>678</v>
      </c>
      <c r="C35" s="666" t="s">
        <v>1201</v>
      </c>
      <c r="D35" s="667" t="s">
        <v>1211</v>
      </c>
      <c r="E35" s="668" t="s">
        <v>677</v>
      </c>
      <c r="F35" s="750">
        <v>43283936</v>
      </c>
      <c r="G35" s="751">
        <v>130073</v>
      </c>
      <c r="H35" s="751">
        <v>0</v>
      </c>
      <c r="I35" s="751">
        <v>188574</v>
      </c>
      <c r="J35" s="751">
        <v>0</v>
      </c>
      <c r="K35" s="751">
        <v>188574</v>
      </c>
      <c r="L35" s="751">
        <v>0</v>
      </c>
      <c r="M35" s="751">
        <v>0</v>
      </c>
      <c r="N35" s="751">
        <v>194067</v>
      </c>
      <c r="O35" s="751">
        <v>82520</v>
      </c>
      <c r="P35" s="751">
        <v>111547</v>
      </c>
      <c r="Q35" s="751">
        <v>0</v>
      </c>
      <c r="R35" s="751">
        <v>43031368</v>
      </c>
      <c r="S35" s="749">
        <v>0.5</v>
      </c>
      <c r="T35" s="749">
        <v>0.4</v>
      </c>
      <c r="U35" s="749">
        <v>0.09</v>
      </c>
      <c r="V35" s="749">
        <v>0.01</v>
      </c>
      <c r="W35" s="749">
        <v>1</v>
      </c>
      <c r="X35" s="751">
        <v>21515684</v>
      </c>
      <c r="Y35" s="751">
        <v>17212547</v>
      </c>
      <c r="Z35" s="751">
        <v>3872823</v>
      </c>
      <c r="AA35" s="751">
        <v>430314</v>
      </c>
      <c r="AB35" s="751">
        <v>43031368</v>
      </c>
      <c r="AC35" s="751">
        <v>0</v>
      </c>
      <c r="AD35" s="751">
        <v>0</v>
      </c>
      <c r="AE35" s="751">
        <v>21515684</v>
      </c>
      <c r="AF35" s="751">
        <v>17212547</v>
      </c>
      <c r="AG35" s="751">
        <v>3872823</v>
      </c>
      <c r="AH35" s="751">
        <v>430314</v>
      </c>
      <c r="AI35" s="751">
        <v>43031368</v>
      </c>
      <c r="AJ35" s="751">
        <v>188574</v>
      </c>
      <c r="AK35" s="751">
        <v>188574</v>
      </c>
      <c r="AL35" s="751">
        <v>0</v>
      </c>
      <c r="AM35" s="751">
        <v>0</v>
      </c>
      <c r="AN35" s="751">
        <v>82520</v>
      </c>
      <c r="AO35" s="751">
        <v>111547</v>
      </c>
      <c r="AP35" s="751">
        <v>194067</v>
      </c>
      <c r="AQ35" s="751">
        <v>0</v>
      </c>
      <c r="AR35" s="751">
        <v>0</v>
      </c>
      <c r="AS35" s="751">
        <v>0</v>
      </c>
      <c r="AT35" s="751">
        <v>0</v>
      </c>
      <c r="AU35" s="751">
        <v>0</v>
      </c>
      <c r="AV35" s="751">
        <v>0</v>
      </c>
      <c r="AW35" s="751">
        <v>0</v>
      </c>
      <c r="AX35" s="751">
        <v>0</v>
      </c>
      <c r="AY35" s="751">
        <v>0</v>
      </c>
      <c r="AZ35" s="751">
        <v>0</v>
      </c>
      <c r="BA35" s="751">
        <v>0</v>
      </c>
      <c r="BB35" s="751">
        <v>0</v>
      </c>
      <c r="BC35" s="751">
        <v>-9210832</v>
      </c>
      <c r="BD35" s="751">
        <v>-7368666</v>
      </c>
      <c r="BE35" s="751">
        <v>-1657950</v>
      </c>
      <c r="BF35" s="751">
        <v>-184217</v>
      </c>
      <c r="BG35" s="751">
        <v>-18421664</v>
      </c>
      <c r="BH35" s="751">
        <v>12304852</v>
      </c>
      <c r="BI35" s="751">
        <v>10114975</v>
      </c>
      <c r="BJ35" s="751">
        <v>2326420</v>
      </c>
      <c r="BK35" s="751">
        <v>246097</v>
      </c>
      <c r="BL35" s="751">
        <v>24992345</v>
      </c>
      <c r="BM35" s="751">
        <v>901146</v>
      </c>
      <c r="BN35" s="751">
        <v>207602</v>
      </c>
      <c r="BO35" s="751">
        <v>22421</v>
      </c>
      <c r="BP35" s="751">
        <v>1131169</v>
      </c>
      <c r="BQ35" s="751">
        <v>1700180</v>
      </c>
      <c r="BR35" s="751">
        <v>382540</v>
      </c>
      <c r="BS35" s="751">
        <v>42504</v>
      </c>
      <c r="BT35" s="751">
        <v>2125224</v>
      </c>
      <c r="BU35" s="751">
        <v>117984</v>
      </c>
      <c r="BV35" s="751">
        <v>26546</v>
      </c>
      <c r="BW35" s="751">
        <v>2950</v>
      </c>
      <c r="BX35" s="751">
        <v>147480</v>
      </c>
      <c r="BY35" s="751">
        <v>0</v>
      </c>
      <c r="BZ35" s="751">
        <v>0</v>
      </c>
      <c r="CA35" s="751">
        <v>0</v>
      </c>
      <c r="CB35" s="751">
        <v>0</v>
      </c>
      <c r="CC35" s="751">
        <v>4051</v>
      </c>
      <c r="CD35" s="751">
        <v>911</v>
      </c>
      <c r="CE35" s="751">
        <v>101</v>
      </c>
      <c r="CF35" s="751">
        <v>5063</v>
      </c>
      <c r="CG35" s="751">
        <v>3270</v>
      </c>
      <c r="CH35" s="751">
        <v>736</v>
      </c>
      <c r="CI35" s="751">
        <v>82</v>
      </c>
      <c r="CJ35" s="751">
        <v>4088</v>
      </c>
      <c r="CK35" s="751">
        <v>0</v>
      </c>
      <c r="CL35" s="751">
        <v>0</v>
      </c>
      <c r="CM35" s="751">
        <v>0</v>
      </c>
      <c r="CN35" s="751">
        <v>0</v>
      </c>
      <c r="CO35" s="751">
        <v>0</v>
      </c>
      <c r="CP35" s="751">
        <v>0</v>
      </c>
      <c r="CQ35" s="751">
        <v>0</v>
      </c>
      <c r="CR35" s="751">
        <v>0</v>
      </c>
      <c r="CS35" s="751">
        <v>631</v>
      </c>
      <c r="CT35" s="751">
        <v>142</v>
      </c>
      <c r="CU35" s="751">
        <v>16</v>
      </c>
      <c r="CV35" s="751">
        <v>789</v>
      </c>
      <c r="CW35" s="751">
        <v>2727262</v>
      </c>
      <c r="CX35" s="751">
        <v>618477</v>
      </c>
      <c r="CY35" s="751">
        <v>68074</v>
      </c>
      <c r="CZ35" s="751">
        <v>3413813</v>
      </c>
      <c r="DA35" s="662" t="s">
        <v>677</v>
      </c>
      <c r="DB35" s="324" t="s">
        <v>528</v>
      </c>
      <c r="DC35" s="663" t="s">
        <v>1913</v>
      </c>
      <c r="DD35" s="529" t="s">
        <v>1239</v>
      </c>
    </row>
    <row r="36" spans="1:108" ht="12.75" x14ac:dyDescent="0.2">
      <c r="A36" s="664">
        <v>29</v>
      </c>
      <c r="B36" s="665" t="s">
        <v>680</v>
      </c>
      <c r="C36" s="666" t="s">
        <v>1201</v>
      </c>
      <c r="D36" s="667" t="s">
        <v>1211</v>
      </c>
      <c r="E36" s="668" t="s">
        <v>679</v>
      </c>
      <c r="F36" s="750">
        <v>32859090</v>
      </c>
      <c r="G36" s="751">
        <v>15063</v>
      </c>
      <c r="H36" s="751">
        <v>0</v>
      </c>
      <c r="I36" s="751">
        <v>167283</v>
      </c>
      <c r="J36" s="751">
        <v>0</v>
      </c>
      <c r="K36" s="751">
        <v>167283</v>
      </c>
      <c r="L36" s="751">
        <v>0</v>
      </c>
      <c r="M36" s="751">
        <v>0</v>
      </c>
      <c r="N36" s="751">
        <v>2511918</v>
      </c>
      <c r="O36" s="751">
        <v>2511918</v>
      </c>
      <c r="P36" s="751">
        <v>0</v>
      </c>
      <c r="Q36" s="751">
        <v>0</v>
      </c>
      <c r="R36" s="751">
        <v>30194952</v>
      </c>
      <c r="S36" s="749">
        <v>0.5</v>
      </c>
      <c r="T36" s="749">
        <v>0.4</v>
      </c>
      <c r="U36" s="749">
        <v>0.1</v>
      </c>
      <c r="V36" s="749">
        <v>0</v>
      </c>
      <c r="W36" s="749">
        <v>1</v>
      </c>
      <c r="X36" s="751">
        <v>15097476</v>
      </c>
      <c r="Y36" s="751">
        <v>12077981</v>
      </c>
      <c r="Z36" s="751">
        <v>3019495</v>
      </c>
      <c r="AA36" s="751">
        <v>0</v>
      </c>
      <c r="AB36" s="751">
        <v>30194952</v>
      </c>
      <c r="AC36" s="751">
        <v>0</v>
      </c>
      <c r="AD36" s="751">
        <v>0</v>
      </c>
      <c r="AE36" s="751">
        <v>15097476</v>
      </c>
      <c r="AF36" s="751">
        <v>12077981</v>
      </c>
      <c r="AG36" s="751">
        <v>3019495</v>
      </c>
      <c r="AH36" s="751">
        <v>0</v>
      </c>
      <c r="AI36" s="751">
        <v>30194952</v>
      </c>
      <c r="AJ36" s="751">
        <v>167283</v>
      </c>
      <c r="AK36" s="751">
        <v>167283</v>
      </c>
      <c r="AL36" s="751">
        <v>0</v>
      </c>
      <c r="AM36" s="751">
        <v>0</v>
      </c>
      <c r="AN36" s="751">
        <v>2511918</v>
      </c>
      <c r="AO36" s="751">
        <v>0</v>
      </c>
      <c r="AP36" s="751">
        <v>2511918</v>
      </c>
      <c r="AQ36" s="751">
        <v>0</v>
      </c>
      <c r="AR36" s="751">
        <v>0</v>
      </c>
      <c r="AS36" s="751">
        <v>0</v>
      </c>
      <c r="AT36" s="751">
        <v>0</v>
      </c>
      <c r="AU36" s="751">
        <v>0</v>
      </c>
      <c r="AV36" s="751">
        <v>0</v>
      </c>
      <c r="AW36" s="751">
        <v>0</v>
      </c>
      <c r="AX36" s="751">
        <v>0</v>
      </c>
      <c r="AY36" s="751">
        <v>0</v>
      </c>
      <c r="AZ36" s="751">
        <v>0</v>
      </c>
      <c r="BA36" s="751">
        <v>0</v>
      </c>
      <c r="BB36" s="751">
        <v>0</v>
      </c>
      <c r="BC36" s="751">
        <v>-7444485</v>
      </c>
      <c r="BD36" s="751">
        <v>-5969120</v>
      </c>
      <c r="BE36" s="751">
        <v>-1505436</v>
      </c>
      <c r="BF36" s="751">
        <v>0</v>
      </c>
      <c r="BG36" s="751">
        <v>-14919040</v>
      </c>
      <c r="BH36" s="751">
        <v>7652991</v>
      </c>
      <c r="BI36" s="751">
        <v>8788062</v>
      </c>
      <c r="BJ36" s="751">
        <v>1514059</v>
      </c>
      <c r="BK36" s="751">
        <v>0</v>
      </c>
      <c r="BL36" s="751">
        <v>17955113</v>
      </c>
      <c r="BM36" s="751">
        <v>760195</v>
      </c>
      <c r="BN36" s="751">
        <v>157328</v>
      </c>
      <c r="BO36" s="751">
        <v>0</v>
      </c>
      <c r="BP36" s="751">
        <v>917523</v>
      </c>
      <c r="BQ36" s="751">
        <v>1515751</v>
      </c>
      <c r="BR36" s="751">
        <v>378938</v>
      </c>
      <c r="BS36" s="751">
        <v>0</v>
      </c>
      <c r="BT36" s="751">
        <v>1894689</v>
      </c>
      <c r="BU36" s="751">
        <v>81761</v>
      </c>
      <c r="BV36" s="751">
        <v>20440</v>
      </c>
      <c r="BW36" s="751">
        <v>0</v>
      </c>
      <c r="BX36" s="751">
        <v>102201</v>
      </c>
      <c r="BY36" s="751">
        <v>0</v>
      </c>
      <c r="BZ36" s="751">
        <v>0</v>
      </c>
      <c r="CA36" s="751">
        <v>0</v>
      </c>
      <c r="CB36" s="751">
        <v>0</v>
      </c>
      <c r="CC36" s="751">
        <v>29643</v>
      </c>
      <c r="CD36" s="751">
        <v>7411</v>
      </c>
      <c r="CE36" s="751">
        <v>0</v>
      </c>
      <c r="CF36" s="751">
        <v>37054</v>
      </c>
      <c r="CG36" s="751">
        <v>11075</v>
      </c>
      <c r="CH36" s="751">
        <v>2769</v>
      </c>
      <c r="CI36" s="751">
        <v>0</v>
      </c>
      <c r="CJ36" s="751">
        <v>13844</v>
      </c>
      <c r="CK36" s="751">
        <v>0</v>
      </c>
      <c r="CL36" s="751">
        <v>0</v>
      </c>
      <c r="CM36" s="751">
        <v>0</v>
      </c>
      <c r="CN36" s="751">
        <v>0</v>
      </c>
      <c r="CO36" s="751">
        <v>0</v>
      </c>
      <c r="CP36" s="751">
        <v>0</v>
      </c>
      <c r="CQ36" s="751">
        <v>0</v>
      </c>
      <c r="CR36" s="751">
        <v>0</v>
      </c>
      <c r="CS36" s="751">
        <v>535</v>
      </c>
      <c r="CT36" s="751">
        <v>134</v>
      </c>
      <c r="CU36" s="751">
        <v>0</v>
      </c>
      <c r="CV36" s="751">
        <v>669</v>
      </c>
      <c r="CW36" s="751">
        <v>2398960</v>
      </c>
      <c r="CX36" s="751">
        <v>567020</v>
      </c>
      <c r="CY36" s="751">
        <v>0</v>
      </c>
      <c r="CZ36" s="751">
        <v>2965980</v>
      </c>
      <c r="DA36" s="662" t="s">
        <v>679</v>
      </c>
      <c r="DB36" s="324" t="s">
        <v>553</v>
      </c>
      <c r="DC36" s="663" t="s">
        <v>512</v>
      </c>
      <c r="DD36" s="529" t="s">
        <v>1240</v>
      </c>
    </row>
    <row r="37" spans="1:108" ht="12.75" x14ac:dyDescent="0.2">
      <c r="A37" s="664">
        <v>30</v>
      </c>
      <c r="B37" s="665" t="s">
        <v>682</v>
      </c>
      <c r="C37" s="666" t="s">
        <v>1213</v>
      </c>
      <c r="D37" s="667" t="s">
        <v>1214</v>
      </c>
      <c r="E37" s="668" t="s">
        <v>681</v>
      </c>
      <c r="F37" s="750">
        <v>132528726</v>
      </c>
      <c r="G37" s="751">
        <v>185389</v>
      </c>
      <c r="H37" s="751">
        <v>0</v>
      </c>
      <c r="I37" s="751">
        <v>417120</v>
      </c>
      <c r="J37" s="751">
        <v>0</v>
      </c>
      <c r="K37" s="751">
        <v>417120</v>
      </c>
      <c r="L37" s="751">
        <v>0</v>
      </c>
      <c r="M37" s="751">
        <v>0</v>
      </c>
      <c r="N37" s="751">
        <v>0</v>
      </c>
      <c r="O37" s="751">
        <v>0</v>
      </c>
      <c r="P37" s="751">
        <v>0</v>
      </c>
      <c r="Q37" s="751">
        <v>0</v>
      </c>
      <c r="R37" s="751">
        <v>132296995</v>
      </c>
      <c r="S37" s="749">
        <v>0.33</v>
      </c>
      <c r="T37" s="749">
        <v>0.3</v>
      </c>
      <c r="U37" s="749">
        <v>0.37</v>
      </c>
      <c r="V37" s="749">
        <v>0</v>
      </c>
      <c r="W37" s="749">
        <v>1</v>
      </c>
      <c r="X37" s="751">
        <v>43658008</v>
      </c>
      <c r="Y37" s="751">
        <v>39689099</v>
      </c>
      <c r="Z37" s="751">
        <v>48949888</v>
      </c>
      <c r="AA37" s="751">
        <v>0</v>
      </c>
      <c r="AB37" s="751">
        <v>132296995</v>
      </c>
      <c r="AC37" s="751">
        <v>0</v>
      </c>
      <c r="AD37" s="751">
        <v>0</v>
      </c>
      <c r="AE37" s="751">
        <v>43658008</v>
      </c>
      <c r="AF37" s="751">
        <v>39689099</v>
      </c>
      <c r="AG37" s="751">
        <v>48949888</v>
      </c>
      <c r="AH37" s="751">
        <v>0</v>
      </c>
      <c r="AI37" s="751">
        <v>132296995</v>
      </c>
      <c r="AJ37" s="751">
        <v>417120</v>
      </c>
      <c r="AK37" s="751">
        <v>417120</v>
      </c>
      <c r="AL37" s="751">
        <v>0</v>
      </c>
      <c r="AM37" s="751">
        <v>0</v>
      </c>
      <c r="AN37" s="751">
        <v>0</v>
      </c>
      <c r="AO37" s="751">
        <v>0</v>
      </c>
      <c r="AP37" s="751">
        <v>0</v>
      </c>
      <c r="AQ37" s="751">
        <v>0</v>
      </c>
      <c r="AR37" s="751">
        <v>0</v>
      </c>
      <c r="AS37" s="751">
        <v>0</v>
      </c>
      <c r="AT37" s="751">
        <v>0</v>
      </c>
      <c r="AU37" s="751">
        <v>0</v>
      </c>
      <c r="AV37" s="751">
        <v>0</v>
      </c>
      <c r="AW37" s="751">
        <v>0</v>
      </c>
      <c r="AX37" s="751">
        <v>0</v>
      </c>
      <c r="AY37" s="751">
        <v>0</v>
      </c>
      <c r="AZ37" s="751">
        <v>0</v>
      </c>
      <c r="BA37" s="751">
        <v>0</v>
      </c>
      <c r="BB37" s="751">
        <v>0</v>
      </c>
      <c r="BC37" s="751">
        <v>-19664149</v>
      </c>
      <c r="BD37" s="751">
        <v>-18226137</v>
      </c>
      <c r="BE37" s="751">
        <v>-22033429</v>
      </c>
      <c r="BF37" s="751">
        <v>0</v>
      </c>
      <c r="BG37" s="751">
        <v>-59923715</v>
      </c>
      <c r="BH37" s="751">
        <v>23993859</v>
      </c>
      <c r="BI37" s="751">
        <v>21880082</v>
      </c>
      <c r="BJ37" s="751">
        <v>26916459</v>
      </c>
      <c r="BK37" s="751">
        <v>0</v>
      </c>
      <c r="BL37" s="751">
        <v>72790400</v>
      </c>
      <c r="BM37" s="751">
        <v>2067969</v>
      </c>
      <c r="BN37" s="751">
        <v>2550495</v>
      </c>
      <c r="BO37" s="751">
        <v>0</v>
      </c>
      <c r="BP37" s="751">
        <v>4618464</v>
      </c>
      <c r="BQ37" s="751">
        <v>2327145</v>
      </c>
      <c r="BR37" s="751">
        <v>2870147</v>
      </c>
      <c r="BS37" s="751">
        <v>0</v>
      </c>
      <c r="BT37" s="751">
        <v>5197292</v>
      </c>
      <c r="BU37" s="751">
        <v>142720</v>
      </c>
      <c r="BV37" s="751">
        <v>176021</v>
      </c>
      <c r="BW37" s="751">
        <v>0</v>
      </c>
      <c r="BX37" s="751">
        <v>318741</v>
      </c>
      <c r="BY37" s="751">
        <v>0</v>
      </c>
      <c r="BZ37" s="751">
        <v>0</v>
      </c>
      <c r="CA37" s="751">
        <v>0</v>
      </c>
      <c r="CB37" s="751">
        <v>0</v>
      </c>
      <c r="CC37" s="751">
        <v>0</v>
      </c>
      <c r="CD37" s="751">
        <v>0</v>
      </c>
      <c r="CE37" s="751">
        <v>0</v>
      </c>
      <c r="CF37" s="751">
        <v>0</v>
      </c>
      <c r="CG37" s="751">
        <v>26326</v>
      </c>
      <c r="CH37" s="751">
        <v>32468</v>
      </c>
      <c r="CI37" s="751">
        <v>0</v>
      </c>
      <c r="CJ37" s="751">
        <v>58794</v>
      </c>
      <c r="CK37" s="751">
        <v>0</v>
      </c>
      <c r="CL37" s="751">
        <v>0</v>
      </c>
      <c r="CM37" s="751">
        <v>0</v>
      </c>
      <c r="CN37" s="751">
        <v>0</v>
      </c>
      <c r="CO37" s="751">
        <v>0</v>
      </c>
      <c r="CP37" s="751">
        <v>0</v>
      </c>
      <c r="CQ37" s="751">
        <v>0</v>
      </c>
      <c r="CR37" s="751">
        <v>0</v>
      </c>
      <c r="CS37" s="751">
        <v>0</v>
      </c>
      <c r="CT37" s="751">
        <v>0</v>
      </c>
      <c r="CU37" s="751">
        <v>0</v>
      </c>
      <c r="CV37" s="751">
        <v>0</v>
      </c>
      <c r="CW37" s="751">
        <v>4564160</v>
      </c>
      <c r="CX37" s="751">
        <v>5629131</v>
      </c>
      <c r="CY37" s="751">
        <v>0</v>
      </c>
      <c r="CZ37" s="751">
        <v>10193291</v>
      </c>
      <c r="DA37" s="662" t="s">
        <v>681</v>
      </c>
      <c r="DB37" s="324" t="s">
        <v>576</v>
      </c>
      <c r="DC37" s="669" t="s">
        <v>485</v>
      </c>
      <c r="DD37" s="529" t="s">
        <v>1241</v>
      </c>
    </row>
    <row r="38" spans="1:108" ht="12.75" x14ac:dyDescent="0.2">
      <c r="A38" s="664">
        <v>31</v>
      </c>
      <c r="B38" s="665" t="s">
        <v>684</v>
      </c>
      <c r="C38" s="666" t="s">
        <v>1201</v>
      </c>
      <c r="D38" s="667" t="s">
        <v>1211</v>
      </c>
      <c r="E38" s="668" t="s">
        <v>683</v>
      </c>
      <c r="F38" s="750">
        <v>27046322</v>
      </c>
      <c r="G38" s="751">
        <v>0</v>
      </c>
      <c r="H38" s="751">
        <v>24794</v>
      </c>
      <c r="I38" s="751">
        <v>101784</v>
      </c>
      <c r="J38" s="751">
        <v>0</v>
      </c>
      <c r="K38" s="751">
        <v>101784</v>
      </c>
      <c r="L38" s="751">
        <v>0</v>
      </c>
      <c r="M38" s="751">
        <v>0</v>
      </c>
      <c r="N38" s="751">
        <v>0</v>
      </c>
      <c r="O38" s="751">
        <v>0</v>
      </c>
      <c r="P38" s="751">
        <v>0</v>
      </c>
      <c r="Q38" s="751">
        <v>0</v>
      </c>
      <c r="R38" s="751">
        <v>26919744</v>
      </c>
      <c r="S38" s="749">
        <v>0.5</v>
      </c>
      <c r="T38" s="749">
        <v>0.4</v>
      </c>
      <c r="U38" s="749">
        <v>0.09</v>
      </c>
      <c r="V38" s="749">
        <v>0.01</v>
      </c>
      <c r="W38" s="749">
        <v>1</v>
      </c>
      <c r="X38" s="751">
        <v>13459872</v>
      </c>
      <c r="Y38" s="751">
        <v>10767898</v>
      </c>
      <c r="Z38" s="751">
        <v>2422777</v>
      </c>
      <c r="AA38" s="751">
        <v>269197</v>
      </c>
      <c r="AB38" s="751">
        <v>26919744</v>
      </c>
      <c r="AC38" s="751">
        <v>0</v>
      </c>
      <c r="AD38" s="751">
        <v>0</v>
      </c>
      <c r="AE38" s="751">
        <v>13459872</v>
      </c>
      <c r="AF38" s="751">
        <v>10767898</v>
      </c>
      <c r="AG38" s="751">
        <v>2422777</v>
      </c>
      <c r="AH38" s="751">
        <v>269197</v>
      </c>
      <c r="AI38" s="751">
        <v>26919744</v>
      </c>
      <c r="AJ38" s="751">
        <v>101784</v>
      </c>
      <c r="AK38" s="751">
        <v>101784</v>
      </c>
      <c r="AL38" s="751">
        <v>0</v>
      </c>
      <c r="AM38" s="751">
        <v>0</v>
      </c>
      <c r="AN38" s="751">
        <v>0</v>
      </c>
      <c r="AO38" s="751">
        <v>0</v>
      </c>
      <c r="AP38" s="751">
        <v>0</v>
      </c>
      <c r="AQ38" s="751">
        <v>0</v>
      </c>
      <c r="AR38" s="751">
        <v>0</v>
      </c>
      <c r="AS38" s="751">
        <v>0</v>
      </c>
      <c r="AT38" s="751">
        <v>0</v>
      </c>
      <c r="AU38" s="751">
        <v>0</v>
      </c>
      <c r="AV38" s="751">
        <v>0</v>
      </c>
      <c r="AW38" s="751">
        <v>0</v>
      </c>
      <c r="AX38" s="751">
        <v>0</v>
      </c>
      <c r="AY38" s="751">
        <v>0</v>
      </c>
      <c r="AZ38" s="751">
        <v>0</v>
      </c>
      <c r="BA38" s="751">
        <v>0</v>
      </c>
      <c r="BB38" s="751">
        <v>0</v>
      </c>
      <c r="BC38" s="751">
        <v>-6428174</v>
      </c>
      <c r="BD38" s="751">
        <v>-5142539</v>
      </c>
      <c r="BE38" s="751">
        <v>-1157071</v>
      </c>
      <c r="BF38" s="751">
        <v>-128563</v>
      </c>
      <c r="BG38" s="751">
        <v>-12856347</v>
      </c>
      <c r="BH38" s="751">
        <v>7031698</v>
      </c>
      <c r="BI38" s="751">
        <v>5727143</v>
      </c>
      <c r="BJ38" s="751">
        <v>1265706</v>
      </c>
      <c r="BK38" s="751">
        <v>140634</v>
      </c>
      <c r="BL38" s="751">
        <v>14165181</v>
      </c>
      <c r="BM38" s="751">
        <v>561053</v>
      </c>
      <c r="BN38" s="751">
        <v>126237</v>
      </c>
      <c r="BO38" s="751">
        <v>14026</v>
      </c>
      <c r="BP38" s="751">
        <v>701316</v>
      </c>
      <c r="BQ38" s="751">
        <v>895546</v>
      </c>
      <c r="BR38" s="751">
        <v>201498</v>
      </c>
      <c r="BS38" s="751">
        <v>22389</v>
      </c>
      <c r="BT38" s="751">
        <v>1119433</v>
      </c>
      <c r="BU38" s="751">
        <v>73761</v>
      </c>
      <c r="BV38" s="751">
        <v>16596</v>
      </c>
      <c r="BW38" s="751">
        <v>1844</v>
      </c>
      <c r="BX38" s="751">
        <v>92201</v>
      </c>
      <c r="BY38" s="751">
        <v>0</v>
      </c>
      <c r="BZ38" s="751">
        <v>0</v>
      </c>
      <c r="CA38" s="751">
        <v>0</v>
      </c>
      <c r="CB38" s="751">
        <v>0</v>
      </c>
      <c r="CC38" s="751">
        <v>0</v>
      </c>
      <c r="CD38" s="751">
        <v>0</v>
      </c>
      <c r="CE38" s="751">
        <v>0</v>
      </c>
      <c r="CF38" s="751">
        <v>0</v>
      </c>
      <c r="CG38" s="751">
        <v>419</v>
      </c>
      <c r="CH38" s="751">
        <v>94</v>
      </c>
      <c r="CI38" s="751">
        <v>10</v>
      </c>
      <c r="CJ38" s="751">
        <v>523</v>
      </c>
      <c r="CK38" s="751">
        <v>0</v>
      </c>
      <c r="CL38" s="751">
        <v>0</v>
      </c>
      <c r="CM38" s="751">
        <v>0</v>
      </c>
      <c r="CN38" s="751">
        <v>0</v>
      </c>
      <c r="CO38" s="751">
        <v>0</v>
      </c>
      <c r="CP38" s="751">
        <v>0</v>
      </c>
      <c r="CQ38" s="751">
        <v>0</v>
      </c>
      <c r="CR38" s="751">
        <v>0</v>
      </c>
      <c r="CS38" s="751">
        <v>0</v>
      </c>
      <c r="CT38" s="751">
        <v>0</v>
      </c>
      <c r="CU38" s="751">
        <v>0</v>
      </c>
      <c r="CV38" s="751">
        <v>0</v>
      </c>
      <c r="CW38" s="751">
        <v>1530779</v>
      </c>
      <c r="CX38" s="751">
        <v>344425</v>
      </c>
      <c r="CY38" s="751">
        <v>38269</v>
      </c>
      <c r="CZ38" s="751">
        <v>1913473</v>
      </c>
      <c r="DA38" s="662" t="s">
        <v>683</v>
      </c>
      <c r="DB38" s="324" t="s">
        <v>528</v>
      </c>
      <c r="DC38" s="663" t="s">
        <v>1913</v>
      </c>
      <c r="DD38" s="529" t="s">
        <v>1242</v>
      </c>
    </row>
    <row r="39" spans="1:108" ht="12.75" x14ac:dyDescent="0.2">
      <c r="A39" s="664">
        <v>32</v>
      </c>
      <c r="B39" s="665" t="s">
        <v>685</v>
      </c>
      <c r="C39" s="666" t="s">
        <v>486</v>
      </c>
      <c r="D39" s="667" t="s">
        <v>1202</v>
      </c>
      <c r="E39" s="668" t="s">
        <v>824</v>
      </c>
      <c r="F39" s="750">
        <v>123176548</v>
      </c>
      <c r="G39" s="751">
        <v>855091</v>
      </c>
      <c r="H39" s="751">
        <v>0</v>
      </c>
      <c r="I39" s="751">
        <v>441307</v>
      </c>
      <c r="J39" s="751">
        <v>0</v>
      </c>
      <c r="K39" s="751">
        <v>441307</v>
      </c>
      <c r="L39" s="751">
        <v>0</v>
      </c>
      <c r="M39" s="751">
        <v>0</v>
      </c>
      <c r="N39" s="751">
        <v>0</v>
      </c>
      <c r="O39" s="751">
        <v>0</v>
      </c>
      <c r="P39" s="751">
        <v>0</v>
      </c>
      <c r="Q39" s="751">
        <v>0</v>
      </c>
      <c r="R39" s="751">
        <v>123590332</v>
      </c>
      <c r="S39" s="749">
        <v>0.5</v>
      </c>
      <c r="T39" s="749">
        <v>0.49</v>
      </c>
      <c r="U39" s="749">
        <v>0</v>
      </c>
      <c r="V39" s="749">
        <v>0.01</v>
      </c>
      <c r="W39" s="749">
        <v>1</v>
      </c>
      <c r="X39" s="751">
        <v>61795166</v>
      </c>
      <c r="Y39" s="751">
        <v>60559263</v>
      </c>
      <c r="Z39" s="751">
        <v>0</v>
      </c>
      <c r="AA39" s="751">
        <v>1235903</v>
      </c>
      <c r="AB39" s="751">
        <v>123590332</v>
      </c>
      <c r="AC39" s="751">
        <v>0</v>
      </c>
      <c r="AD39" s="751">
        <v>0</v>
      </c>
      <c r="AE39" s="751">
        <v>61795166</v>
      </c>
      <c r="AF39" s="751">
        <v>60559263</v>
      </c>
      <c r="AG39" s="751">
        <v>0</v>
      </c>
      <c r="AH39" s="751">
        <v>1235903</v>
      </c>
      <c r="AI39" s="751">
        <v>123590332</v>
      </c>
      <c r="AJ39" s="751">
        <v>441307</v>
      </c>
      <c r="AK39" s="751">
        <v>441307</v>
      </c>
      <c r="AL39" s="751">
        <v>0</v>
      </c>
      <c r="AM39" s="751">
        <v>0</v>
      </c>
      <c r="AN39" s="751">
        <v>0</v>
      </c>
      <c r="AO39" s="751">
        <v>0</v>
      </c>
      <c r="AP39" s="751">
        <v>0</v>
      </c>
      <c r="AQ39" s="751">
        <v>0</v>
      </c>
      <c r="AR39" s="751">
        <v>0</v>
      </c>
      <c r="AS39" s="751">
        <v>0</v>
      </c>
      <c r="AT39" s="751">
        <v>0</v>
      </c>
      <c r="AU39" s="751">
        <v>0</v>
      </c>
      <c r="AV39" s="751">
        <v>0</v>
      </c>
      <c r="AW39" s="751">
        <v>0</v>
      </c>
      <c r="AX39" s="751">
        <v>0</v>
      </c>
      <c r="AY39" s="751">
        <v>0</v>
      </c>
      <c r="AZ39" s="751">
        <v>0</v>
      </c>
      <c r="BA39" s="751">
        <v>0</v>
      </c>
      <c r="BB39" s="751">
        <v>0</v>
      </c>
      <c r="BC39" s="751">
        <v>-35796339</v>
      </c>
      <c r="BD39" s="751">
        <v>-35080412</v>
      </c>
      <c r="BE39" s="751">
        <v>0</v>
      </c>
      <c r="BF39" s="751">
        <v>-715927</v>
      </c>
      <c r="BG39" s="751">
        <v>-71592677</v>
      </c>
      <c r="BH39" s="751">
        <v>25998828</v>
      </c>
      <c r="BI39" s="751">
        <v>25920158</v>
      </c>
      <c r="BJ39" s="751">
        <v>0</v>
      </c>
      <c r="BK39" s="751">
        <v>519976</v>
      </c>
      <c r="BL39" s="751">
        <v>52438962</v>
      </c>
      <c r="BM39" s="751">
        <v>3155392</v>
      </c>
      <c r="BN39" s="751">
        <v>0</v>
      </c>
      <c r="BO39" s="751">
        <v>64396</v>
      </c>
      <c r="BP39" s="751">
        <v>3219788</v>
      </c>
      <c r="BQ39" s="751">
        <v>4171969</v>
      </c>
      <c r="BR39" s="751">
        <v>0</v>
      </c>
      <c r="BS39" s="751">
        <v>85142</v>
      </c>
      <c r="BT39" s="751">
        <v>4257111</v>
      </c>
      <c r="BU39" s="751">
        <v>316630</v>
      </c>
      <c r="BV39" s="751">
        <v>0</v>
      </c>
      <c r="BW39" s="751">
        <v>6462</v>
      </c>
      <c r="BX39" s="751">
        <v>323092</v>
      </c>
      <c r="BY39" s="751">
        <v>22671</v>
      </c>
      <c r="BZ39" s="751">
        <v>0</v>
      </c>
      <c r="CA39" s="751">
        <v>463</v>
      </c>
      <c r="CB39" s="751">
        <v>23134</v>
      </c>
      <c r="CC39" s="751">
        <v>0</v>
      </c>
      <c r="CD39" s="751">
        <v>0</v>
      </c>
      <c r="CE39" s="751">
        <v>0</v>
      </c>
      <c r="CF39" s="751">
        <v>0</v>
      </c>
      <c r="CG39" s="751">
        <v>105965</v>
      </c>
      <c r="CH39" s="751">
        <v>0</v>
      </c>
      <c r="CI39" s="751">
        <v>2163</v>
      </c>
      <c r="CJ39" s="751">
        <v>108128</v>
      </c>
      <c r="CK39" s="751">
        <v>0</v>
      </c>
      <c r="CL39" s="751">
        <v>0</v>
      </c>
      <c r="CM39" s="751">
        <v>0</v>
      </c>
      <c r="CN39" s="751">
        <v>0</v>
      </c>
      <c r="CO39" s="751">
        <v>0</v>
      </c>
      <c r="CP39" s="751">
        <v>0</v>
      </c>
      <c r="CQ39" s="751">
        <v>0</v>
      </c>
      <c r="CR39" s="751">
        <v>0</v>
      </c>
      <c r="CS39" s="751">
        <v>0</v>
      </c>
      <c r="CT39" s="751">
        <v>0</v>
      </c>
      <c r="CU39" s="751">
        <v>0</v>
      </c>
      <c r="CV39" s="751">
        <v>0</v>
      </c>
      <c r="CW39" s="751">
        <v>7772627</v>
      </c>
      <c r="CX39" s="751">
        <v>0</v>
      </c>
      <c r="CY39" s="751">
        <v>158626</v>
      </c>
      <c r="CZ39" s="751">
        <v>7931253</v>
      </c>
      <c r="DA39" s="662" t="s">
        <v>824</v>
      </c>
      <c r="DB39" s="324" t="s">
        <v>486</v>
      </c>
      <c r="DC39" s="663" t="s">
        <v>524</v>
      </c>
      <c r="DD39" s="529" t="s">
        <v>1243</v>
      </c>
    </row>
    <row r="40" spans="1:108" ht="12.75" x14ac:dyDescent="0.2">
      <c r="A40" s="664">
        <v>33</v>
      </c>
      <c r="B40" s="665" t="s">
        <v>687</v>
      </c>
      <c r="C40" s="666" t="s">
        <v>486</v>
      </c>
      <c r="D40" s="667" t="s">
        <v>1224</v>
      </c>
      <c r="E40" s="668" t="s">
        <v>488</v>
      </c>
      <c r="F40" s="750">
        <v>220789252</v>
      </c>
      <c r="G40" s="751">
        <v>0</v>
      </c>
      <c r="H40" s="751">
        <v>1725017</v>
      </c>
      <c r="I40" s="751">
        <v>697900</v>
      </c>
      <c r="J40" s="751">
        <v>0</v>
      </c>
      <c r="K40" s="751">
        <v>697900</v>
      </c>
      <c r="L40" s="751">
        <v>0</v>
      </c>
      <c r="M40" s="751">
        <v>8158717</v>
      </c>
      <c r="N40" s="751">
        <v>169882</v>
      </c>
      <c r="O40" s="751">
        <v>169882</v>
      </c>
      <c r="P40" s="751">
        <v>0</v>
      </c>
      <c r="Q40" s="751">
        <v>0</v>
      </c>
      <c r="R40" s="751">
        <v>210037736</v>
      </c>
      <c r="S40" s="749">
        <v>0</v>
      </c>
      <c r="T40" s="749">
        <v>0.94</v>
      </c>
      <c r="U40" s="749">
        <v>0.05</v>
      </c>
      <c r="V40" s="749">
        <v>0.01</v>
      </c>
      <c r="W40" s="749">
        <v>1</v>
      </c>
      <c r="X40" s="751">
        <v>0</v>
      </c>
      <c r="Y40" s="751">
        <v>197435472</v>
      </c>
      <c r="Z40" s="751">
        <v>10501887</v>
      </c>
      <c r="AA40" s="751">
        <v>2100377</v>
      </c>
      <c r="AB40" s="751">
        <v>210037736</v>
      </c>
      <c r="AC40" s="751">
        <v>0</v>
      </c>
      <c r="AD40" s="751">
        <v>0</v>
      </c>
      <c r="AE40" s="751">
        <v>0</v>
      </c>
      <c r="AF40" s="751">
        <v>197435472</v>
      </c>
      <c r="AG40" s="751">
        <v>10501887</v>
      </c>
      <c r="AH40" s="751">
        <v>2100377</v>
      </c>
      <c r="AI40" s="751">
        <v>210037736</v>
      </c>
      <c r="AJ40" s="751">
        <v>697900</v>
      </c>
      <c r="AK40" s="751">
        <v>697900</v>
      </c>
      <c r="AL40" s="751">
        <v>8158717</v>
      </c>
      <c r="AM40" s="751">
        <v>8158717</v>
      </c>
      <c r="AN40" s="751">
        <v>169882</v>
      </c>
      <c r="AO40" s="751">
        <v>0</v>
      </c>
      <c r="AP40" s="751">
        <v>169882</v>
      </c>
      <c r="AQ40" s="751">
        <v>0</v>
      </c>
      <c r="AR40" s="751">
        <v>0</v>
      </c>
      <c r="AS40" s="751">
        <v>0</v>
      </c>
      <c r="AT40" s="751">
        <v>0</v>
      </c>
      <c r="AU40" s="751">
        <v>0</v>
      </c>
      <c r="AV40" s="751">
        <v>0</v>
      </c>
      <c r="AW40" s="751">
        <v>0</v>
      </c>
      <c r="AX40" s="751">
        <v>0</v>
      </c>
      <c r="AY40" s="751">
        <v>0</v>
      </c>
      <c r="AZ40" s="751">
        <v>0</v>
      </c>
      <c r="BA40" s="751">
        <v>0</v>
      </c>
      <c r="BB40" s="751">
        <v>0</v>
      </c>
      <c r="BC40" s="751">
        <v>0</v>
      </c>
      <c r="BD40" s="751">
        <v>-84946087</v>
      </c>
      <c r="BE40" s="751">
        <v>-4518409</v>
      </c>
      <c r="BF40" s="751">
        <v>-903682</v>
      </c>
      <c r="BG40" s="751">
        <v>-90368178</v>
      </c>
      <c r="BH40" s="751">
        <v>0</v>
      </c>
      <c r="BI40" s="751">
        <v>121515884</v>
      </c>
      <c r="BJ40" s="751">
        <v>5983478</v>
      </c>
      <c r="BK40" s="751">
        <v>1196695</v>
      </c>
      <c r="BL40" s="751">
        <v>128696057</v>
      </c>
      <c r="BM40" s="751">
        <v>10721174</v>
      </c>
      <c r="BN40" s="751">
        <v>547193</v>
      </c>
      <c r="BO40" s="751">
        <v>109438</v>
      </c>
      <c r="BP40" s="751">
        <v>11377805</v>
      </c>
      <c r="BQ40" s="751">
        <v>11013104</v>
      </c>
      <c r="BR40" s="751">
        <v>570274</v>
      </c>
      <c r="BS40" s="751">
        <v>114055</v>
      </c>
      <c r="BT40" s="751">
        <v>11697433</v>
      </c>
      <c r="BU40" s="751">
        <v>858069</v>
      </c>
      <c r="BV40" s="751">
        <v>42196</v>
      </c>
      <c r="BW40" s="751">
        <v>8439</v>
      </c>
      <c r="BX40" s="751">
        <v>908704</v>
      </c>
      <c r="BY40" s="751">
        <v>18103</v>
      </c>
      <c r="BZ40" s="751">
        <v>511</v>
      </c>
      <c r="CA40" s="751">
        <v>102</v>
      </c>
      <c r="CB40" s="751">
        <v>18716</v>
      </c>
      <c r="CC40" s="751">
        <v>0</v>
      </c>
      <c r="CD40" s="751">
        <v>0</v>
      </c>
      <c r="CE40" s="751">
        <v>0</v>
      </c>
      <c r="CF40" s="751">
        <v>0</v>
      </c>
      <c r="CG40" s="751">
        <v>59054</v>
      </c>
      <c r="CH40" s="751">
        <v>3028</v>
      </c>
      <c r="CI40" s="751">
        <v>606</v>
      </c>
      <c r="CJ40" s="751">
        <v>62688</v>
      </c>
      <c r="CK40" s="751">
        <v>1180600</v>
      </c>
      <c r="CL40" s="751">
        <v>0</v>
      </c>
      <c r="CM40" s="751">
        <v>0</v>
      </c>
      <c r="CN40" s="751">
        <v>1180600</v>
      </c>
      <c r="CO40" s="751">
        <v>0</v>
      </c>
      <c r="CP40" s="751">
        <v>0</v>
      </c>
      <c r="CQ40" s="751">
        <v>0</v>
      </c>
      <c r="CR40" s="751">
        <v>0</v>
      </c>
      <c r="CS40" s="751">
        <v>1483</v>
      </c>
      <c r="CT40" s="751">
        <v>79</v>
      </c>
      <c r="CU40" s="751">
        <v>16</v>
      </c>
      <c r="CV40" s="751">
        <v>1578</v>
      </c>
      <c r="CW40" s="751">
        <v>23851587</v>
      </c>
      <c r="CX40" s="751">
        <v>1163281</v>
      </c>
      <c r="CY40" s="751">
        <v>232656</v>
      </c>
      <c r="CZ40" s="751">
        <v>25247524</v>
      </c>
      <c r="DA40" s="662" t="s">
        <v>488</v>
      </c>
      <c r="DB40" s="324" t="s">
        <v>1918</v>
      </c>
      <c r="DC40" s="663" t="s">
        <v>487</v>
      </c>
      <c r="DD40" s="529" t="s">
        <v>1244</v>
      </c>
    </row>
    <row r="41" spans="1:108" ht="12.75" x14ac:dyDescent="0.2">
      <c r="A41" s="664">
        <v>34</v>
      </c>
      <c r="B41" s="665" t="s">
        <v>689</v>
      </c>
      <c r="C41" s="666" t="s">
        <v>1201</v>
      </c>
      <c r="D41" s="667" t="s">
        <v>1211</v>
      </c>
      <c r="E41" s="668" t="s">
        <v>688</v>
      </c>
      <c r="F41" s="750">
        <v>31627090</v>
      </c>
      <c r="G41" s="751">
        <v>0</v>
      </c>
      <c r="H41" s="751">
        <v>456992</v>
      </c>
      <c r="I41" s="751">
        <v>137422</v>
      </c>
      <c r="J41" s="751">
        <v>0</v>
      </c>
      <c r="K41" s="751">
        <v>137422</v>
      </c>
      <c r="L41" s="751">
        <v>0</v>
      </c>
      <c r="M41" s="751">
        <v>0</v>
      </c>
      <c r="N41" s="751">
        <v>154612</v>
      </c>
      <c r="O41" s="751">
        <v>154567</v>
      </c>
      <c r="P41" s="751">
        <v>45</v>
      </c>
      <c r="Q41" s="751">
        <v>0</v>
      </c>
      <c r="R41" s="751">
        <v>30878064</v>
      </c>
      <c r="S41" s="749">
        <v>0.5</v>
      </c>
      <c r="T41" s="749">
        <v>0.4</v>
      </c>
      <c r="U41" s="749">
        <v>0.1</v>
      </c>
      <c r="V41" s="749">
        <v>0</v>
      </c>
      <c r="W41" s="749">
        <v>1</v>
      </c>
      <c r="X41" s="751">
        <v>15439032</v>
      </c>
      <c r="Y41" s="751">
        <v>12351226</v>
      </c>
      <c r="Z41" s="751">
        <v>3087806</v>
      </c>
      <c r="AA41" s="751">
        <v>0</v>
      </c>
      <c r="AB41" s="751">
        <v>30878064</v>
      </c>
      <c r="AC41" s="751">
        <v>0</v>
      </c>
      <c r="AD41" s="751">
        <v>0</v>
      </c>
      <c r="AE41" s="751">
        <v>15439032</v>
      </c>
      <c r="AF41" s="751">
        <v>12351226</v>
      </c>
      <c r="AG41" s="751">
        <v>3087806</v>
      </c>
      <c r="AH41" s="751">
        <v>0</v>
      </c>
      <c r="AI41" s="751">
        <v>30878064</v>
      </c>
      <c r="AJ41" s="751">
        <v>137422</v>
      </c>
      <c r="AK41" s="751">
        <v>137422</v>
      </c>
      <c r="AL41" s="751">
        <v>0</v>
      </c>
      <c r="AM41" s="751">
        <v>0</v>
      </c>
      <c r="AN41" s="751">
        <v>154567</v>
      </c>
      <c r="AO41" s="751">
        <v>45</v>
      </c>
      <c r="AP41" s="751">
        <v>154612</v>
      </c>
      <c r="AQ41" s="751">
        <v>0</v>
      </c>
      <c r="AR41" s="751">
        <v>0</v>
      </c>
      <c r="AS41" s="751">
        <v>0</v>
      </c>
      <c r="AT41" s="751">
        <v>0</v>
      </c>
      <c r="AU41" s="751">
        <v>0</v>
      </c>
      <c r="AV41" s="751">
        <v>0</v>
      </c>
      <c r="AW41" s="751">
        <v>0</v>
      </c>
      <c r="AX41" s="751">
        <v>0</v>
      </c>
      <c r="AY41" s="751">
        <v>0</v>
      </c>
      <c r="AZ41" s="751">
        <v>0</v>
      </c>
      <c r="BA41" s="751">
        <v>0</v>
      </c>
      <c r="BB41" s="751">
        <v>0</v>
      </c>
      <c r="BC41" s="751">
        <v>-6146814</v>
      </c>
      <c r="BD41" s="751">
        <v>-5154541</v>
      </c>
      <c r="BE41" s="751">
        <v>-1519139</v>
      </c>
      <c r="BF41" s="751">
        <v>0</v>
      </c>
      <c r="BG41" s="751">
        <v>-12820494</v>
      </c>
      <c r="BH41" s="751">
        <v>9292218</v>
      </c>
      <c r="BI41" s="751">
        <v>7488674</v>
      </c>
      <c r="BJ41" s="751">
        <v>1568712</v>
      </c>
      <c r="BK41" s="751">
        <v>0</v>
      </c>
      <c r="BL41" s="751">
        <v>18349604</v>
      </c>
      <c r="BM41" s="751">
        <v>651604</v>
      </c>
      <c r="BN41" s="751">
        <v>160890</v>
      </c>
      <c r="BO41" s="751">
        <v>0</v>
      </c>
      <c r="BP41" s="751">
        <v>812494</v>
      </c>
      <c r="BQ41" s="751">
        <v>1253014</v>
      </c>
      <c r="BR41" s="751">
        <v>313253</v>
      </c>
      <c r="BS41" s="751">
        <v>0</v>
      </c>
      <c r="BT41" s="751">
        <v>1566267</v>
      </c>
      <c r="BU41" s="751">
        <v>65763</v>
      </c>
      <c r="BV41" s="751">
        <v>16441</v>
      </c>
      <c r="BW41" s="751">
        <v>0</v>
      </c>
      <c r="BX41" s="751">
        <v>82204</v>
      </c>
      <c r="BY41" s="751">
        <v>1695</v>
      </c>
      <c r="BZ41" s="751">
        <v>424</v>
      </c>
      <c r="CA41" s="751">
        <v>0</v>
      </c>
      <c r="CB41" s="751">
        <v>2119</v>
      </c>
      <c r="CC41" s="751">
        <v>2312</v>
      </c>
      <c r="CD41" s="751">
        <v>578</v>
      </c>
      <c r="CE41" s="751">
        <v>0</v>
      </c>
      <c r="CF41" s="751">
        <v>2890</v>
      </c>
      <c r="CG41" s="751">
        <v>5731</v>
      </c>
      <c r="CH41" s="751">
        <v>1433</v>
      </c>
      <c r="CI41" s="751">
        <v>0</v>
      </c>
      <c r="CJ41" s="751">
        <v>7164</v>
      </c>
      <c r="CK41" s="751">
        <v>0</v>
      </c>
      <c r="CL41" s="751">
        <v>0</v>
      </c>
      <c r="CM41" s="751">
        <v>0</v>
      </c>
      <c r="CN41" s="751">
        <v>0</v>
      </c>
      <c r="CO41" s="751">
        <v>0</v>
      </c>
      <c r="CP41" s="751">
        <v>0</v>
      </c>
      <c r="CQ41" s="751">
        <v>0</v>
      </c>
      <c r="CR41" s="751">
        <v>0</v>
      </c>
      <c r="CS41" s="751">
        <v>0</v>
      </c>
      <c r="CT41" s="751">
        <v>0</v>
      </c>
      <c r="CU41" s="751">
        <v>0</v>
      </c>
      <c r="CV41" s="751">
        <v>0</v>
      </c>
      <c r="CW41" s="751">
        <v>1980119</v>
      </c>
      <c r="CX41" s="751">
        <v>493019</v>
      </c>
      <c r="CY41" s="751">
        <v>0</v>
      </c>
      <c r="CZ41" s="751">
        <v>2473138</v>
      </c>
      <c r="DA41" s="662" t="s">
        <v>688</v>
      </c>
      <c r="DB41" s="324" t="s">
        <v>553</v>
      </c>
      <c r="DC41" s="663" t="s">
        <v>512</v>
      </c>
      <c r="DD41" s="529" t="s">
        <v>1245</v>
      </c>
    </row>
    <row r="42" spans="1:108" ht="14.25" x14ac:dyDescent="0.2">
      <c r="A42" s="664">
        <v>35</v>
      </c>
      <c r="B42" s="665" t="s">
        <v>691</v>
      </c>
      <c r="C42" s="666" t="s">
        <v>1213</v>
      </c>
      <c r="D42" s="667" t="s">
        <v>1214</v>
      </c>
      <c r="E42" s="668" t="s">
        <v>1919</v>
      </c>
      <c r="F42" s="750">
        <v>96938814</v>
      </c>
      <c r="G42" s="751">
        <v>162551</v>
      </c>
      <c r="H42" s="751">
        <v>0</v>
      </c>
      <c r="I42" s="751">
        <v>324201</v>
      </c>
      <c r="J42" s="751">
        <v>0</v>
      </c>
      <c r="K42" s="751">
        <v>324201</v>
      </c>
      <c r="L42" s="751">
        <v>0</v>
      </c>
      <c r="M42" s="751">
        <v>0</v>
      </c>
      <c r="N42" s="751">
        <v>0</v>
      </c>
      <c r="O42" s="751">
        <v>0</v>
      </c>
      <c r="P42" s="751">
        <v>0</v>
      </c>
      <c r="Q42" s="751">
        <v>0</v>
      </c>
      <c r="R42" s="751">
        <v>96777164</v>
      </c>
      <c r="S42" s="749">
        <v>0.33</v>
      </c>
      <c r="T42" s="749">
        <v>0.3</v>
      </c>
      <c r="U42" s="749">
        <v>0.37</v>
      </c>
      <c r="V42" s="749">
        <v>0</v>
      </c>
      <c r="W42" s="749">
        <v>1</v>
      </c>
      <c r="X42" s="751">
        <v>31936464</v>
      </c>
      <c r="Y42" s="751">
        <v>29033149</v>
      </c>
      <c r="Z42" s="751">
        <v>35807551</v>
      </c>
      <c r="AA42" s="751">
        <v>0</v>
      </c>
      <c r="AB42" s="751">
        <v>96777164</v>
      </c>
      <c r="AC42" s="751">
        <v>0</v>
      </c>
      <c r="AD42" s="751">
        <v>0</v>
      </c>
      <c r="AE42" s="751">
        <v>31936464</v>
      </c>
      <c r="AF42" s="751">
        <v>29033149</v>
      </c>
      <c r="AG42" s="751">
        <v>35807551</v>
      </c>
      <c r="AH42" s="751">
        <v>0</v>
      </c>
      <c r="AI42" s="751">
        <v>96777164</v>
      </c>
      <c r="AJ42" s="751">
        <v>324201</v>
      </c>
      <c r="AK42" s="751">
        <v>324201</v>
      </c>
      <c r="AL42" s="751">
        <v>0</v>
      </c>
      <c r="AM42" s="751">
        <v>0</v>
      </c>
      <c r="AN42" s="751">
        <v>0</v>
      </c>
      <c r="AO42" s="751">
        <v>0</v>
      </c>
      <c r="AP42" s="751">
        <v>0</v>
      </c>
      <c r="AQ42" s="751">
        <v>0</v>
      </c>
      <c r="AR42" s="751">
        <v>0</v>
      </c>
      <c r="AS42" s="751">
        <v>0</v>
      </c>
      <c r="AT42" s="751">
        <v>0</v>
      </c>
      <c r="AU42" s="751">
        <v>0</v>
      </c>
      <c r="AV42" s="751">
        <v>0</v>
      </c>
      <c r="AW42" s="751">
        <v>0</v>
      </c>
      <c r="AX42" s="751">
        <v>0</v>
      </c>
      <c r="AY42" s="751">
        <v>0</v>
      </c>
      <c r="AZ42" s="751">
        <v>0</v>
      </c>
      <c r="BA42" s="751">
        <v>0</v>
      </c>
      <c r="BB42" s="751">
        <v>0</v>
      </c>
      <c r="BC42" s="751">
        <v>-22888047</v>
      </c>
      <c r="BD42" s="751">
        <v>-21016993</v>
      </c>
      <c r="BE42" s="751">
        <v>-25653808</v>
      </c>
      <c r="BF42" s="751">
        <v>0</v>
      </c>
      <c r="BG42" s="751">
        <v>-69558847</v>
      </c>
      <c r="BH42" s="751">
        <v>9048417</v>
      </c>
      <c r="BI42" s="751">
        <v>8340357</v>
      </c>
      <c r="BJ42" s="751">
        <v>10153743</v>
      </c>
      <c r="BK42" s="751">
        <v>0</v>
      </c>
      <c r="BL42" s="751">
        <v>27542518</v>
      </c>
      <c r="BM42" s="751">
        <v>1512749</v>
      </c>
      <c r="BN42" s="751">
        <v>1865724</v>
      </c>
      <c r="BO42" s="751">
        <v>0</v>
      </c>
      <c r="BP42" s="751">
        <v>3378473</v>
      </c>
      <c r="BQ42" s="751">
        <v>1935030</v>
      </c>
      <c r="BR42" s="751">
        <v>2386538</v>
      </c>
      <c r="BS42" s="751">
        <v>0</v>
      </c>
      <c r="BT42" s="751">
        <v>4321568</v>
      </c>
      <c r="BU42" s="751">
        <v>94550</v>
      </c>
      <c r="BV42" s="751">
        <v>116611</v>
      </c>
      <c r="BW42" s="751">
        <v>0</v>
      </c>
      <c r="BX42" s="751">
        <v>211161</v>
      </c>
      <c r="BY42" s="751">
        <v>0</v>
      </c>
      <c r="BZ42" s="751">
        <v>0</v>
      </c>
      <c r="CA42" s="751">
        <v>0</v>
      </c>
      <c r="CB42" s="751">
        <v>0</v>
      </c>
      <c r="CC42" s="751">
        <v>0</v>
      </c>
      <c r="CD42" s="751">
        <v>0</v>
      </c>
      <c r="CE42" s="751">
        <v>0</v>
      </c>
      <c r="CF42" s="751">
        <v>0</v>
      </c>
      <c r="CG42" s="751">
        <v>23827</v>
      </c>
      <c r="CH42" s="751">
        <v>29387</v>
      </c>
      <c r="CI42" s="751">
        <v>0</v>
      </c>
      <c r="CJ42" s="751">
        <v>53214</v>
      </c>
      <c r="CK42" s="751">
        <v>0</v>
      </c>
      <c r="CL42" s="751">
        <v>0</v>
      </c>
      <c r="CM42" s="751">
        <v>0</v>
      </c>
      <c r="CN42" s="751">
        <v>0</v>
      </c>
      <c r="CO42" s="751">
        <v>0</v>
      </c>
      <c r="CP42" s="751">
        <v>0</v>
      </c>
      <c r="CQ42" s="751">
        <v>0</v>
      </c>
      <c r="CR42" s="751">
        <v>0</v>
      </c>
      <c r="CS42" s="751">
        <v>0</v>
      </c>
      <c r="CT42" s="751">
        <v>0</v>
      </c>
      <c r="CU42" s="751">
        <v>0</v>
      </c>
      <c r="CV42" s="751">
        <v>0</v>
      </c>
      <c r="CW42" s="751">
        <v>3566156</v>
      </c>
      <c r="CX42" s="751">
        <v>4398260</v>
      </c>
      <c r="CY42" s="751">
        <v>0</v>
      </c>
      <c r="CZ42" s="751">
        <v>7964416</v>
      </c>
      <c r="DA42" s="662" t="s">
        <v>690</v>
      </c>
      <c r="DB42" s="324" t="s">
        <v>576</v>
      </c>
      <c r="DC42" s="669" t="s">
        <v>485</v>
      </c>
      <c r="DD42" s="529" t="s">
        <v>1246</v>
      </c>
    </row>
    <row r="43" spans="1:108" ht="12.75" x14ac:dyDescent="0.2">
      <c r="A43" s="664">
        <v>36</v>
      </c>
      <c r="B43" s="665" t="s">
        <v>693</v>
      </c>
      <c r="C43" s="666" t="s">
        <v>1201</v>
      </c>
      <c r="D43" s="667" t="s">
        <v>1228</v>
      </c>
      <c r="E43" s="668" t="s">
        <v>692</v>
      </c>
      <c r="F43" s="750">
        <v>25884177</v>
      </c>
      <c r="G43" s="751">
        <v>0</v>
      </c>
      <c r="H43" s="751">
        <v>40706</v>
      </c>
      <c r="I43" s="751">
        <v>127106</v>
      </c>
      <c r="J43" s="751">
        <v>0</v>
      </c>
      <c r="K43" s="751">
        <v>127106</v>
      </c>
      <c r="L43" s="751">
        <v>0</v>
      </c>
      <c r="M43" s="751">
        <v>0</v>
      </c>
      <c r="N43" s="751">
        <v>0</v>
      </c>
      <c r="O43" s="751">
        <v>0</v>
      </c>
      <c r="P43" s="751">
        <v>0</v>
      </c>
      <c r="Q43" s="751">
        <v>0</v>
      </c>
      <c r="R43" s="751">
        <v>25716365</v>
      </c>
      <c r="S43" s="749">
        <v>0.5</v>
      </c>
      <c r="T43" s="749">
        <v>0.4</v>
      </c>
      <c r="U43" s="749">
        <v>0.09</v>
      </c>
      <c r="V43" s="749">
        <v>0.01</v>
      </c>
      <c r="W43" s="749">
        <v>1</v>
      </c>
      <c r="X43" s="751">
        <v>12858182</v>
      </c>
      <c r="Y43" s="751">
        <v>10286546</v>
      </c>
      <c r="Z43" s="751">
        <v>2314473</v>
      </c>
      <c r="AA43" s="751">
        <v>257164</v>
      </c>
      <c r="AB43" s="751">
        <v>25716365</v>
      </c>
      <c r="AC43" s="751">
        <v>0</v>
      </c>
      <c r="AD43" s="751">
        <v>0</v>
      </c>
      <c r="AE43" s="751">
        <v>12858182</v>
      </c>
      <c r="AF43" s="751">
        <v>10286546</v>
      </c>
      <c r="AG43" s="751">
        <v>2314473</v>
      </c>
      <c r="AH43" s="751">
        <v>257164</v>
      </c>
      <c r="AI43" s="751">
        <v>25716365</v>
      </c>
      <c r="AJ43" s="751">
        <v>127106</v>
      </c>
      <c r="AK43" s="751">
        <v>127106</v>
      </c>
      <c r="AL43" s="751">
        <v>0</v>
      </c>
      <c r="AM43" s="751">
        <v>0</v>
      </c>
      <c r="AN43" s="751">
        <v>0</v>
      </c>
      <c r="AO43" s="751">
        <v>0</v>
      </c>
      <c r="AP43" s="751">
        <v>0</v>
      </c>
      <c r="AQ43" s="751">
        <v>0</v>
      </c>
      <c r="AR43" s="751">
        <v>0</v>
      </c>
      <c r="AS43" s="751">
        <v>0</v>
      </c>
      <c r="AT43" s="751">
        <v>0</v>
      </c>
      <c r="AU43" s="751">
        <v>0</v>
      </c>
      <c r="AV43" s="751">
        <v>0</v>
      </c>
      <c r="AW43" s="751">
        <v>0</v>
      </c>
      <c r="AX43" s="751">
        <v>0</v>
      </c>
      <c r="AY43" s="751">
        <v>0</v>
      </c>
      <c r="AZ43" s="751">
        <v>0</v>
      </c>
      <c r="BA43" s="751">
        <v>0</v>
      </c>
      <c r="BB43" s="751">
        <v>0</v>
      </c>
      <c r="BC43" s="751">
        <v>-4896354</v>
      </c>
      <c r="BD43" s="751">
        <v>-4378270</v>
      </c>
      <c r="BE43" s="751">
        <v>721278</v>
      </c>
      <c r="BF43" s="751">
        <v>-86397</v>
      </c>
      <c r="BG43" s="751">
        <v>-8639744</v>
      </c>
      <c r="BH43" s="751">
        <v>7961828</v>
      </c>
      <c r="BI43" s="751">
        <v>6035382</v>
      </c>
      <c r="BJ43" s="751">
        <v>3035751</v>
      </c>
      <c r="BK43" s="751">
        <v>170767</v>
      </c>
      <c r="BL43" s="751">
        <v>17203727</v>
      </c>
      <c r="BM43" s="751">
        <v>535972</v>
      </c>
      <c r="BN43" s="751">
        <v>120594</v>
      </c>
      <c r="BO43" s="751">
        <v>13399</v>
      </c>
      <c r="BP43" s="751">
        <v>669965</v>
      </c>
      <c r="BQ43" s="751">
        <v>1275107</v>
      </c>
      <c r="BR43" s="751">
        <v>286899</v>
      </c>
      <c r="BS43" s="751">
        <v>31878</v>
      </c>
      <c r="BT43" s="751">
        <v>1593884</v>
      </c>
      <c r="BU43" s="751">
        <v>0</v>
      </c>
      <c r="BV43" s="751">
        <v>0</v>
      </c>
      <c r="BW43" s="751">
        <v>0</v>
      </c>
      <c r="BX43" s="751">
        <v>0</v>
      </c>
      <c r="BY43" s="751">
        <v>0</v>
      </c>
      <c r="BZ43" s="751">
        <v>0</v>
      </c>
      <c r="CA43" s="751">
        <v>0</v>
      </c>
      <c r="CB43" s="751">
        <v>0</v>
      </c>
      <c r="CC43" s="751">
        <v>307</v>
      </c>
      <c r="CD43" s="751">
        <v>69</v>
      </c>
      <c r="CE43" s="751">
        <v>8</v>
      </c>
      <c r="CF43" s="751">
        <v>384</v>
      </c>
      <c r="CG43" s="751">
        <v>10424</v>
      </c>
      <c r="CH43" s="751">
        <v>2346</v>
      </c>
      <c r="CI43" s="751">
        <v>261</v>
      </c>
      <c r="CJ43" s="751">
        <v>13031</v>
      </c>
      <c r="CK43" s="751">
        <v>0</v>
      </c>
      <c r="CL43" s="751">
        <v>0</v>
      </c>
      <c r="CM43" s="751">
        <v>0</v>
      </c>
      <c r="CN43" s="751">
        <v>0</v>
      </c>
      <c r="CO43" s="751">
        <v>0</v>
      </c>
      <c r="CP43" s="751">
        <v>0</v>
      </c>
      <c r="CQ43" s="751">
        <v>0</v>
      </c>
      <c r="CR43" s="751">
        <v>0</v>
      </c>
      <c r="CS43" s="751">
        <v>0</v>
      </c>
      <c r="CT43" s="751">
        <v>0</v>
      </c>
      <c r="CU43" s="751">
        <v>0</v>
      </c>
      <c r="CV43" s="751">
        <v>0</v>
      </c>
      <c r="CW43" s="751">
        <v>1821810</v>
      </c>
      <c r="CX43" s="751">
        <v>409908</v>
      </c>
      <c r="CY43" s="751">
        <v>45546</v>
      </c>
      <c r="CZ43" s="751">
        <v>2277264</v>
      </c>
      <c r="DA43" s="662" t="s">
        <v>692</v>
      </c>
      <c r="DB43" s="324" t="s">
        <v>535</v>
      </c>
      <c r="DC43" s="663" t="s">
        <v>534</v>
      </c>
      <c r="DD43" s="529" t="s">
        <v>1247</v>
      </c>
    </row>
    <row r="44" spans="1:108" ht="12.75" x14ac:dyDescent="0.2">
      <c r="A44" s="664">
        <v>37</v>
      </c>
      <c r="B44" s="665" t="s">
        <v>695</v>
      </c>
      <c r="C44" s="666" t="s">
        <v>1201</v>
      </c>
      <c r="D44" s="667" t="s">
        <v>1211</v>
      </c>
      <c r="E44" s="668" t="s">
        <v>694</v>
      </c>
      <c r="F44" s="750">
        <v>39276581</v>
      </c>
      <c r="G44" s="751">
        <v>0</v>
      </c>
      <c r="H44" s="751">
        <v>557556</v>
      </c>
      <c r="I44" s="751">
        <v>106699</v>
      </c>
      <c r="J44" s="751">
        <v>0</v>
      </c>
      <c r="K44" s="751">
        <v>106699</v>
      </c>
      <c r="L44" s="751">
        <v>0</v>
      </c>
      <c r="M44" s="751">
        <v>0</v>
      </c>
      <c r="N44" s="751">
        <v>0</v>
      </c>
      <c r="O44" s="751">
        <v>0</v>
      </c>
      <c r="P44" s="751">
        <v>0</v>
      </c>
      <c r="Q44" s="751">
        <v>0</v>
      </c>
      <c r="R44" s="751">
        <v>38612326</v>
      </c>
      <c r="S44" s="749">
        <v>0.5</v>
      </c>
      <c r="T44" s="749">
        <v>0.4</v>
      </c>
      <c r="U44" s="749">
        <v>0.1</v>
      </c>
      <c r="V44" s="749">
        <v>0</v>
      </c>
      <c r="W44" s="749">
        <v>1</v>
      </c>
      <c r="X44" s="751">
        <v>19306163</v>
      </c>
      <c r="Y44" s="751">
        <v>15444930</v>
      </c>
      <c r="Z44" s="751">
        <v>3861233</v>
      </c>
      <c r="AA44" s="751">
        <v>0</v>
      </c>
      <c r="AB44" s="751">
        <v>38612326</v>
      </c>
      <c r="AC44" s="751">
        <v>0</v>
      </c>
      <c r="AD44" s="751">
        <v>0</v>
      </c>
      <c r="AE44" s="751">
        <v>19306163</v>
      </c>
      <c r="AF44" s="751">
        <v>15444930</v>
      </c>
      <c r="AG44" s="751">
        <v>3861233</v>
      </c>
      <c r="AH44" s="751">
        <v>0</v>
      </c>
      <c r="AI44" s="751">
        <v>38612326</v>
      </c>
      <c r="AJ44" s="751">
        <v>106699</v>
      </c>
      <c r="AK44" s="751">
        <v>106699</v>
      </c>
      <c r="AL44" s="751">
        <v>0</v>
      </c>
      <c r="AM44" s="751">
        <v>0</v>
      </c>
      <c r="AN44" s="751">
        <v>0</v>
      </c>
      <c r="AO44" s="751">
        <v>0</v>
      </c>
      <c r="AP44" s="751">
        <v>0</v>
      </c>
      <c r="AQ44" s="751">
        <v>0</v>
      </c>
      <c r="AR44" s="751">
        <v>0</v>
      </c>
      <c r="AS44" s="751">
        <v>0</v>
      </c>
      <c r="AT44" s="751">
        <v>0</v>
      </c>
      <c r="AU44" s="751">
        <v>0</v>
      </c>
      <c r="AV44" s="751">
        <v>0</v>
      </c>
      <c r="AW44" s="751">
        <v>0</v>
      </c>
      <c r="AX44" s="751">
        <v>0</v>
      </c>
      <c r="AY44" s="751">
        <v>0</v>
      </c>
      <c r="AZ44" s="751">
        <v>0</v>
      </c>
      <c r="BA44" s="751">
        <v>0</v>
      </c>
      <c r="BB44" s="751">
        <v>0</v>
      </c>
      <c r="BC44" s="751">
        <v>-8459582</v>
      </c>
      <c r="BD44" s="751">
        <v>-6773352</v>
      </c>
      <c r="BE44" s="751">
        <v>-1705184</v>
      </c>
      <c r="BF44" s="751">
        <v>0</v>
      </c>
      <c r="BG44" s="751">
        <v>-16938117</v>
      </c>
      <c r="BH44" s="751">
        <v>10846581</v>
      </c>
      <c r="BI44" s="751">
        <v>8778277</v>
      </c>
      <c r="BJ44" s="751">
        <v>2156049</v>
      </c>
      <c r="BK44" s="751">
        <v>0</v>
      </c>
      <c r="BL44" s="751">
        <v>21780908</v>
      </c>
      <c r="BM44" s="751">
        <v>804746</v>
      </c>
      <c r="BN44" s="751">
        <v>201186</v>
      </c>
      <c r="BO44" s="751">
        <v>0</v>
      </c>
      <c r="BP44" s="751">
        <v>1005932</v>
      </c>
      <c r="BQ44" s="751">
        <v>948702</v>
      </c>
      <c r="BR44" s="751">
        <v>237175</v>
      </c>
      <c r="BS44" s="751">
        <v>0</v>
      </c>
      <c r="BT44" s="751">
        <v>1185877</v>
      </c>
      <c r="BU44" s="751">
        <v>63155</v>
      </c>
      <c r="BV44" s="751">
        <v>15789</v>
      </c>
      <c r="BW44" s="751">
        <v>0</v>
      </c>
      <c r="BX44" s="751">
        <v>78944</v>
      </c>
      <c r="BY44" s="751">
        <v>0</v>
      </c>
      <c r="BZ44" s="751">
        <v>0</v>
      </c>
      <c r="CA44" s="751">
        <v>0</v>
      </c>
      <c r="CB44" s="751">
        <v>0</v>
      </c>
      <c r="CC44" s="751">
        <v>0</v>
      </c>
      <c r="CD44" s="751">
        <v>0</v>
      </c>
      <c r="CE44" s="751">
        <v>0</v>
      </c>
      <c r="CF44" s="751">
        <v>0</v>
      </c>
      <c r="CG44" s="751">
        <v>7509</v>
      </c>
      <c r="CH44" s="751">
        <v>1877</v>
      </c>
      <c r="CI44" s="751">
        <v>0</v>
      </c>
      <c r="CJ44" s="751">
        <v>9386</v>
      </c>
      <c r="CK44" s="751">
        <v>0</v>
      </c>
      <c r="CL44" s="751">
        <v>0</v>
      </c>
      <c r="CM44" s="751">
        <v>0</v>
      </c>
      <c r="CN44" s="751">
        <v>0</v>
      </c>
      <c r="CO44" s="751">
        <v>0</v>
      </c>
      <c r="CP44" s="751">
        <v>0</v>
      </c>
      <c r="CQ44" s="751">
        <v>0</v>
      </c>
      <c r="CR44" s="751">
        <v>0</v>
      </c>
      <c r="CS44" s="751">
        <v>0</v>
      </c>
      <c r="CT44" s="751">
        <v>0</v>
      </c>
      <c r="CU44" s="751">
        <v>0</v>
      </c>
      <c r="CV44" s="751">
        <v>0</v>
      </c>
      <c r="CW44" s="751">
        <v>1824112</v>
      </c>
      <c r="CX44" s="751">
        <v>456027</v>
      </c>
      <c r="CY44" s="751">
        <v>0</v>
      </c>
      <c r="CZ44" s="751">
        <v>2280139</v>
      </c>
      <c r="DA44" s="662" t="s">
        <v>694</v>
      </c>
      <c r="DB44" s="324" t="s">
        <v>536</v>
      </c>
      <c r="DC44" s="663" t="s">
        <v>512</v>
      </c>
      <c r="DD44" s="529" t="s">
        <v>1248</v>
      </c>
    </row>
    <row r="45" spans="1:108" ht="12.75" x14ac:dyDescent="0.2">
      <c r="A45" s="664">
        <v>38</v>
      </c>
      <c r="B45" s="665" t="s">
        <v>697</v>
      </c>
      <c r="C45" s="666" t="s">
        <v>1201</v>
      </c>
      <c r="D45" s="667" t="s">
        <v>1206</v>
      </c>
      <c r="E45" s="668" t="s">
        <v>696</v>
      </c>
      <c r="F45" s="750">
        <v>29195492</v>
      </c>
      <c r="G45" s="751">
        <v>65893</v>
      </c>
      <c r="H45" s="751">
        <v>0</v>
      </c>
      <c r="I45" s="751">
        <v>101530</v>
      </c>
      <c r="J45" s="751">
        <v>0</v>
      </c>
      <c r="K45" s="751">
        <v>101530</v>
      </c>
      <c r="L45" s="751">
        <v>0</v>
      </c>
      <c r="M45" s="751">
        <v>0</v>
      </c>
      <c r="N45" s="751">
        <v>0</v>
      </c>
      <c r="O45" s="751">
        <v>0</v>
      </c>
      <c r="P45" s="751">
        <v>0</v>
      </c>
      <c r="Q45" s="751">
        <v>0</v>
      </c>
      <c r="R45" s="751">
        <v>29159855</v>
      </c>
      <c r="S45" s="749">
        <v>0.5</v>
      </c>
      <c r="T45" s="749">
        <v>0.4</v>
      </c>
      <c r="U45" s="749">
        <v>0.09</v>
      </c>
      <c r="V45" s="749">
        <v>0.01</v>
      </c>
      <c r="W45" s="749">
        <v>1</v>
      </c>
      <c r="X45" s="751">
        <v>14579927</v>
      </c>
      <c r="Y45" s="751">
        <v>11663942</v>
      </c>
      <c r="Z45" s="751">
        <v>2624387</v>
      </c>
      <c r="AA45" s="751">
        <v>291599</v>
      </c>
      <c r="AB45" s="751">
        <v>29159855</v>
      </c>
      <c r="AC45" s="751">
        <v>110000</v>
      </c>
      <c r="AD45" s="751">
        <v>110000</v>
      </c>
      <c r="AE45" s="751">
        <v>14469927</v>
      </c>
      <c r="AF45" s="751">
        <v>11663942</v>
      </c>
      <c r="AG45" s="751">
        <v>2624387</v>
      </c>
      <c r="AH45" s="751">
        <v>291599</v>
      </c>
      <c r="AI45" s="751">
        <v>29049855</v>
      </c>
      <c r="AJ45" s="751">
        <v>101530</v>
      </c>
      <c r="AK45" s="751">
        <v>101530</v>
      </c>
      <c r="AL45" s="751">
        <v>0</v>
      </c>
      <c r="AM45" s="751">
        <v>0</v>
      </c>
      <c r="AN45" s="751">
        <v>0</v>
      </c>
      <c r="AO45" s="751">
        <v>0</v>
      </c>
      <c r="AP45" s="751">
        <v>0</v>
      </c>
      <c r="AQ45" s="751">
        <v>0</v>
      </c>
      <c r="AR45" s="751">
        <v>0</v>
      </c>
      <c r="AS45" s="751">
        <v>0</v>
      </c>
      <c r="AT45" s="751">
        <v>0</v>
      </c>
      <c r="AU45" s="751">
        <v>110000</v>
      </c>
      <c r="AV45" s="751">
        <v>0</v>
      </c>
      <c r="AW45" s="751">
        <v>0</v>
      </c>
      <c r="AX45" s="751">
        <v>110000</v>
      </c>
      <c r="AY45" s="751">
        <v>0</v>
      </c>
      <c r="AZ45" s="751">
        <v>0</v>
      </c>
      <c r="BA45" s="751">
        <v>0</v>
      </c>
      <c r="BB45" s="751">
        <v>0</v>
      </c>
      <c r="BC45" s="751">
        <v>-8509853</v>
      </c>
      <c r="BD45" s="751">
        <v>-6807882</v>
      </c>
      <c r="BE45" s="751">
        <v>-1531773</v>
      </c>
      <c r="BF45" s="751">
        <v>-170197</v>
      </c>
      <c r="BG45" s="751">
        <v>-17019705</v>
      </c>
      <c r="BH45" s="751">
        <v>5960074</v>
      </c>
      <c r="BI45" s="751">
        <v>5067590</v>
      </c>
      <c r="BJ45" s="751">
        <v>1092614</v>
      </c>
      <c r="BK45" s="751">
        <v>121402</v>
      </c>
      <c r="BL45" s="751">
        <v>12241680</v>
      </c>
      <c r="BM45" s="751">
        <v>613472</v>
      </c>
      <c r="BN45" s="751">
        <v>136742</v>
      </c>
      <c r="BO45" s="751">
        <v>15194</v>
      </c>
      <c r="BP45" s="751">
        <v>765408</v>
      </c>
      <c r="BQ45" s="751">
        <v>871849</v>
      </c>
      <c r="BR45" s="751">
        <v>196166</v>
      </c>
      <c r="BS45" s="751">
        <v>21796</v>
      </c>
      <c r="BT45" s="751">
        <v>1089811</v>
      </c>
      <c r="BU45" s="751">
        <v>46430</v>
      </c>
      <c r="BV45" s="751">
        <v>10447</v>
      </c>
      <c r="BW45" s="751">
        <v>1161</v>
      </c>
      <c r="BX45" s="751">
        <v>58038</v>
      </c>
      <c r="BY45" s="751">
        <v>0</v>
      </c>
      <c r="BZ45" s="751">
        <v>0</v>
      </c>
      <c r="CA45" s="751">
        <v>0</v>
      </c>
      <c r="CB45" s="751">
        <v>0</v>
      </c>
      <c r="CC45" s="751">
        <v>1061</v>
      </c>
      <c r="CD45" s="751">
        <v>239</v>
      </c>
      <c r="CE45" s="751">
        <v>27</v>
      </c>
      <c r="CF45" s="751">
        <v>1327</v>
      </c>
      <c r="CG45" s="751">
        <v>3335</v>
      </c>
      <c r="CH45" s="751">
        <v>751</v>
      </c>
      <c r="CI45" s="751">
        <v>83</v>
      </c>
      <c r="CJ45" s="751">
        <v>4169</v>
      </c>
      <c r="CK45" s="751">
        <v>0</v>
      </c>
      <c r="CL45" s="751">
        <v>0</v>
      </c>
      <c r="CM45" s="751">
        <v>0</v>
      </c>
      <c r="CN45" s="751">
        <v>0</v>
      </c>
      <c r="CO45" s="751">
        <v>0</v>
      </c>
      <c r="CP45" s="751">
        <v>0</v>
      </c>
      <c r="CQ45" s="751">
        <v>0</v>
      </c>
      <c r="CR45" s="751">
        <v>0</v>
      </c>
      <c r="CS45" s="751">
        <v>0</v>
      </c>
      <c r="CT45" s="751">
        <v>0</v>
      </c>
      <c r="CU45" s="751">
        <v>0</v>
      </c>
      <c r="CV45" s="751">
        <v>0</v>
      </c>
      <c r="CW45" s="751">
        <v>1536147</v>
      </c>
      <c r="CX45" s="751">
        <v>344345</v>
      </c>
      <c r="CY45" s="751">
        <v>38261</v>
      </c>
      <c r="CZ45" s="751">
        <v>1918753</v>
      </c>
      <c r="DA45" s="662" t="s">
        <v>696</v>
      </c>
      <c r="DB45" s="324" t="s">
        <v>559</v>
      </c>
      <c r="DC45" s="663" t="s">
        <v>558</v>
      </c>
      <c r="DD45" s="529" t="s">
        <v>1249</v>
      </c>
    </row>
    <row r="46" spans="1:108" ht="12.75" x14ac:dyDescent="0.2">
      <c r="A46" s="664">
        <v>39</v>
      </c>
      <c r="B46" s="665" t="s">
        <v>1048</v>
      </c>
      <c r="C46" s="666" t="s">
        <v>486</v>
      </c>
      <c r="D46" s="667" t="s">
        <v>1202</v>
      </c>
      <c r="E46" s="668" t="s">
        <v>1250</v>
      </c>
      <c r="F46" s="750">
        <v>163679347</v>
      </c>
      <c r="G46" s="751">
        <v>215372</v>
      </c>
      <c r="H46" s="751">
        <v>0</v>
      </c>
      <c r="I46" s="751">
        <v>650486</v>
      </c>
      <c r="J46" s="751">
        <v>0</v>
      </c>
      <c r="K46" s="751">
        <v>650486</v>
      </c>
      <c r="L46" s="751">
        <v>0</v>
      </c>
      <c r="M46" s="751">
        <v>2197257</v>
      </c>
      <c r="N46" s="751">
        <v>235520</v>
      </c>
      <c r="O46" s="751">
        <v>235520</v>
      </c>
      <c r="P46" s="751">
        <v>0</v>
      </c>
      <c r="Q46" s="751">
        <v>0</v>
      </c>
      <c r="R46" s="751">
        <v>160811456</v>
      </c>
      <c r="S46" s="749">
        <v>0.5</v>
      </c>
      <c r="T46" s="749">
        <v>0.49</v>
      </c>
      <c r="U46" s="749">
        <v>0</v>
      </c>
      <c r="V46" s="749">
        <v>0.01</v>
      </c>
      <c r="W46" s="749">
        <v>1</v>
      </c>
      <c r="X46" s="751">
        <v>80405728</v>
      </c>
      <c r="Y46" s="751">
        <v>78797613</v>
      </c>
      <c r="Z46" s="751">
        <v>0</v>
      </c>
      <c r="AA46" s="751">
        <v>1608115</v>
      </c>
      <c r="AB46" s="751">
        <v>160811456</v>
      </c>
      <c r="AC46" s="751">
        <v>0</v>
      </c>
      <c r="AD46" s="751">
        <v>0</v>
      </c>
      <c r="AE46" s="751">
        <v>80405728</v>
      </c>
      <c r="AF46" s="751">
        <v>78797613</v>
      </c>
      <c r="AG46" s="751">
        <v>0</v>
      </c>
      <c r="AH46" s="751">
        <v>1608115</v>
      </c>
      <c r="AI46" s="751">
        <v>160811456</v>
      </c>
      <c r="AJ46" s="751">
        <v>650486</v>
      </c>
      <c r="AK46" s="751">
        <v>650486</v>
      </c>
      <c r="AL46" s="751">
        <v>2197257</v>
      </c>
      <c r="AM46" s="751">
        <v>2197257</v>
      </c>
      <c r="AN46" s="751">
        <v>235520</v>
      </c>
      <c r="AO46" s="751">
        <v>0</v>
      </c>
      <c r="AP46" s="751">
        <v>235520</v>
      </c>
      <c r="AQ46" s="751">
        <v>0</v>
      </c>
      <c r="AR46" s="751">
        <v>0</v>
      </c>
      <c r="AS46" s="751">
        <v>0</v>
      </c>
      <c r="AT46" s="751">
        <v>0</v>
      </c>
      <c r="AU46" s="751">
        <v>0</v>
      </c>
      <c r="AV46" s="751">
        <v>0</v>
      </c>
      <c r="AW46" s="751">
        <v>0</v>
      </c>
      <c r="AX46" s="751">
        <v>0</v>
      </c>
      <c r="AY46" s="751">
        <v>0</v>
      </c>
      <c r="AZ46" s="751">
        <v>0</v>
      </c>
      <c r="BA46" s="751">
        <v>0</v>
      </c>
      <c r="BB46" s="751">
        <v>0</v>
      </c>
      <c r="BC46" s="751">
        <v>-42149625</v>
      </c>
      <c r="BD46" s="751">
        <v>-42581800</v>
      </c>
      <c r="BE46" s="751">
        <v>0</v>
      </c>
      <c r="BF46" s="751">
        <v>-855873</v>
      </c>
      <c r="BG46" s="751">
        <v>-85587298</v>
      </c>
      <c r="BH46" s="751">
        <v>38256103</v>
      </c>
      <c r="BI46" s="751">
        <v>39299076</v>
      </c>
      <c r="BJ46" s="751">
        <v>0</v>
      </c>
      <c r="BK46" s="751">
        <v>752242</v>
      </c>
      <c r="BL46" s="751">
        <v>78307421</v>
      </c>
      <c r="BM46" s="751">
        <v>4232445</v>
      </c>
      <c r="BN46" s="751">
        <v>0</v>
      </c>
      <c r="BO46" s="751">
        <v>83790</v>
      </c>
      <c r="BP46" s="751">
        <v>4316235</v>
      </c>
      <c r="BQ46" s="751">
        <v>5841913</v>
      </c>
      <c r="BR46" s="751">
        <v>0</v>
      </c>
      <c r="BS46" s="751">
        <v>119141</v>
      </c>
      <c r="BT46" s="751">
        <v>5961054</v>
      </c>
      <c r="BU46" s="751">
        <v>469690</v>
      </c>
      <c r="BV46" s="751">
        <v>0</v>
      </c>
      <c r="BW46" s="751">
        <v>9446</v>
      </c>
      <c r="BX46" s="751">
        <v>479136</v>
      </c>
      <c r="BY46" s="751">
        <v>30252</v>
      </c>
      <c r="BZ46" s="751">
        <v>0</v>
      </c>
      <c r="CA46" s="751">
        <v>617</v>
      </c>
      <c r="CB46" s="751">
        <v>30869</v>
      </c>
      <c r="CC46" s="751">
        <v>37725</v>
      </c>
      <c r="CD46" s="751">
        <v>0</v>
      </c>
      <c r="CE46" s="751">
        <v>770</v>
      </c>
      <c r="CF46" s="751">
        <v>38495</v>
      </c>
      <c r="CG46" s="751">
        <v>41677</v>
      </c>
      <c r="CH46" s="751">
        <v>0</v>
      </c>
      <c r="CI46" s="751">
        <v>851</v>
      </c>
      <c r="CJ46" s="751">
        <v>42528</v>
      </c>
      <c r="CK46" s="751">
        <v>0</v>
      </c>
      <c r="CL46" s="751">
        <v>0</v>
      </c>
      <c r="CM46" s="751">
        <v>0</v>
      </c>
      <c r="CN46" s="751">
        <v>0</v>
      </c>
      <c r="CO46" s="751">
        <v>0</v>
      </c>
      <c r="CP46" s="751">
        <v>0</v>
      </c>
      <c r="CQ46" s="751">
        <v>0</v>
      </c>
      <c r="CR46" s="751">
        <v>0</v>
      </c>
      <c r="CS46" s="751">
        <v>773</v>
      </c>
      <c r="CT46" s="751">
        <v>0</v>
      </c>
      <c r="CU46" s="751">
        <v>16</v>
      </c>
      <c r="CV46" s="751">
        <v>789</v>
      </c>
      <c r="CW46" s="751">
        <v>10654475</v>
      </c>
      <c r="CX46" s="751">
        <v>0</v>
      </c>
      <c r="CY46" s="751">
        <v>214631</v>
      </c>
      <c r="CZ46" s="751">
        <v>10869106</v>
      </c>
      <c r="DA46" s="662" t="s">
        <v>1251</v>
      </c>
      <c r="DB46" s="324" t="s">
        <v>486</v>
      </c>
      <c r="DC46" s="663" t="s">
        <v>500</v>
      </c>
      <c r="DD46" s="529" t="s">
        <v>1252</v>
      </c>
    </row>
    <row r="47" spans="1:108" ht="12.75" x14ac:dyDescent="0.2">
      <c r="A47" s="664">
        <v>40</v>
      </c>
      <c r="B47" s="665" t="s">
        <v>699</v>
      </c>
      <c r="C47" s="666" t="s">
        <v>1201</v>
      </c>
      <c r="D47" s="667" t="s">
        <v>1204</v>
      </c>
      <c r="E47" s="668" t="s">
        <v>698</v>
      </c>
      <c r="F47" s="750">
        <v>28309580</v>
      </c>
      <c r="G47" s="751">
        <v>0</v>
      </c>
      <c r="H47" s="751">
        <v>67447</v>
      </c>
      <c r="I47" s="751">
        <v>188180</v>
      </c>
      <c r="J47" s="751">
        <v>0</v>
      </c>
      <c r="K47" s="751">
        <v>188180</v>
      </c>
      <c r="L47" s="751">
        <v>0</v>
      </c>
      <c r="M47" s="751">
        <v>0</v>
      </c>
      <c r="N47" s="751">
        <v>249834</v>
      </c>
      <c r="O47" s="751">
        <v>249834</v>
      </c>
      <c r="P47" s="751">
        <v>0</v>
      </c>
      <c r="Q47" s="751">
        <v>0</v>
      </c>
      <c r="R47" s="751">
        <v>27804119</v>
      </c>
      <c r="S47" s="749">
        <v>0.5</v>
      </c>
      <c r="T47" s="749">
        <v>0.4</v>
      </c>
      <c r="U47" s="749">
        <v>0.09</v>
      </c>
      <c r="V47" s="749">
        <v>0.01</v>
      </c>
      <c r="W47" s="749">
        <v>1</v>
      </c>
      <c r="X47" s="751">
        <v>13902059</v>
      </c>
      <c r="Y47" s="751">
        <v>11121648</v>
      </c>
      <c r="Z47" s="751">
        <v>2502371</v>
      </c>
      <c r="AA47" s="751">
        <v>278041</v>
      </c>
      <c r="AB47" s="751">
        <v>27804119</v>
      </c>
      <c r="AC47" s="751">
        <v>0</v>
      </c>
      <c r="AD47" s="751">
        <v>0</v>
      </c>
      <c r="AE47" s="751">
        <v>13902059</v>
      </c>
      <c r="AF47" s="751">
        <v>11121648</v>
      </c>
      <c r="AG47" s="751">
        <v>2502371</v>
      </c>
      <c r="AH47" s="751">
        <v>278041</v>
      </c>
      <c r="AI47" s="751">
        <v>27804119</v>
      </c>
      <c r="AJ47" s="751">
        <v>188180</v>
      </c>
      <c r="AK47" s="751">
        <v>188180</v>
      </c>
      <c r="AL47" s="751">
        <v>0</v>
      </c>
      <c r="AM47" s="751">
        <v>0</v>
      </c>
      <c r="AN47" s="751">
        <v>249834</v>
      </c>
      <c r="AO47" s="751">
        <v>0</v>
      </c>
      <c r="AP47" s="751">
        <v>249834</v>
      </c>
      <c r="AQ47" s="751">
        <v>0</v>
      </c>
      <c r="AR47" s="751">
        <v>0</v>
      </c>
      <c r="AS47" s="751">
        <v>0</v>
      </c>
      <c r="AT47" s="751">
        <v>0</v>
      </c>
      <c r="AU47" s="751">
        <v>0</v>
      </c>
      <c r="AV47" s="751">
        <v>0</v>
      </c>
      <c r="AW47" s="751">
        <v>0</v>
      </c>
      <c r="AX47" s="751">
        <v>0</v>
      </c>
      <c r="AY47" s="751">
        <v>0</v>
      </c>
      <c r="AZ47" s="751">
        <v>0</v>
      </c>
      <c r="BA47" s="751">
        <v>0</v>
      </c>
      <c r="BB47" s="751">
        <v>0</v>
      </c>
      <c r="BC47" s="751">
        <v>-6132220</v>
      </c>
      <c r="BD47" s="751">
        <v>-5203331</v>
      </c>
      <c r="BE47" s="751">
        <v>-1211250</v>
      </c>
      <c r="BF47" s="751">
        <v>-130910</v>
      </c>
      <c r="BG47" s="751">
        <v>-12677710</v>
      </c>
      <c r="BH47" s="751">
        <v>7769840</v>
      </c>
      <c r="BI47" s="751">
        <v>6356331</v>
      </c>
      <c r="BJ47" s="751">
        <v>1291121</v>
      </c>
      <c r="BK47" s="751">
        <v>147131</v>
      </c>
      <c r="BL47" s="751">
        <v>15564423</v>
      </c>
      <c r="BM47" s="751">
        <v>592502</v>
      </c>
      <c r="BN47" s="751">
        <v>130384</v>
      </c>
      <c r="BO47" s="751">
        <v>14487</v>
      </c>
      <c r="BP47" s="751">
        <v>737373</v>
      </c>
      <c r="BQ47" s="751">
        <v>1149413</v>
      </c>
      <c r="BR47" s="751">
        <v>258618</v>
      </c>
      <c r="BS47" s="751">
        <v>28735</v>
      </c>
      <c r="BT47" s="751">
        <v>1436766</v>
      </c>
      <c r="BU47" s="751">
        <v>48291</v>
      </c>
      <c r="BV47" s="751">
        <v>10866</v>
      </c>
      <c r="BW47" s="751">
        <v>1207</v>
      </c>
      <c r="BX47" s="751">
        <v>60364</v>
      </c>
      <c r="BY47" s="751">
        <v>7234</v>
      </c>
      <c r="BZ47" s="751">
        <v>1628</v>
      </c>
      <c r="CA47" s="751">
        <v>181</v>
      </c>
      <c r="CB47" s="751">
        <v>9043</v>
      </c>
      <c r="CC47" s="751">
        <v>496</v>
      </c>
      <c r="CD47" s="751">
        <v>112</v>
      </c>
      <c r="CE47" s="751">
        <v>12</v>
      </c>
      <c r="CF47" s="751">
        <v>620</v>
      </c>
      <c r="CG47" s="751">
        <v>5882</v>
      </c>
      <c r="CH47" s="751">
        <v>1323</v>
      </c>
      <c r="CI47" s="751">
        <v>147</v>
      </c>
      <c r="CJ47" s="751">
        <v>7352</v>
      </c>
      <c r="CK47" s="751">
        <v>0</v>
      </c>
      <c r="CL47" s="751">
        <v>0</v>
      </c>
      <c r="CM47" s="751">
        <v>0</v>
      </c>
      <c r="CN47" s="751">
        <v>0</v>
      </c>
      <c r="CO47" s="751">
        <v>0</v>
      </c>
      <c r="CP47" s="751">
        <v>0</v>
      </c>
      <c r="CQ47" s="751">
        <v>0</v>
      </c>
      <c r="CR47" s="751">
        <v>0</v>
      </c>
      <c r="CS47" s="751">
        <v>0</v>
      </c>
      <c r="CT47" s="751">
        <v>0</v>
      </c>
      <c r="CU47" s="751">
        <v>0</v>
      </c>
      <c r="CV47" s="751">
        <v>0</v>
      </c>
      <c r="CW47" s="751">
        <v>1803818</v>
      </c>
      <c r="CX47" s="751">
        <v>402931</v>
      </c>
      <c r="CY47" s="751">
        <v>44769</v>
      </c>
      <c r="CZ47" s="751">
        <v>2251518</v>
      </c>
      <c r="DA47" s="662" t="s">
        <v>698</v>
      </c>
      <c r="DB47" s="324" t="s">
        <v>547</v>
      </c>
      <c r="DC47" s="663" t="s">
        <v>545</v>
      </c>
      <c r="DD47" s="529" t="s">
        <v>1253</v>
      </c>
    </row>
    <row r="48" spans="1:108" ht="12.75" x14ac:dyDescent="0.2">
      <c r="A48" s="664">
        <v>41</v>
      </c>
      <c r="B48" s="665" t="s">
        <v>701</v>
      </c>
      <c r="C48" s="666" t="s">
        <v>1217</v>
      </c>
      <c r="D48" s="667" t="s">
        <v>1204</v>
      </c>
      <c r="E48" s="668" t="s">
        <v>700</v>
      </c>
      <c r="F48" s="750">
        <v>50867506</v>
      </c>
      <c r="G48" s="751">
        <v>0</v>
      </c>
      <c r="H48" s="751">
        <v>267626</v>
      </c>
      <c r="I48" s="751">
        <v>236737</v>
      </c>
      <c r="J48" s="751">
        <v>0</v>
      </c>
      <c r="K48" s="751">
        <v>236737</v>
      </c>
      <c r="L48" s="751">
        <v>0</v>
      </c>
      <c r="M48" s="751">
        <v>0</v>
      </c>
      <c r="N48" s="751">
        <v>0</v>
      </c>
      <c r="O48" s="751">
        <v>0</v>
      </c>
      <c r="P48" s="751">
        <v>0</v>
      </c>
      <c r="Q48" s="751">
        <v>0</v>
      </c>
      <c r="R48" s="751">
        <v>50363143</v>
      </c>
      <c r="S48" s="749">
        <v>0</v>
      </c>
      <c r="T48" s="749">
        <v>0.99</v>
      </c>
      <c r="U48" s="749">
        <v>0</v>
      </c>
      <c r="V48" s="749">
        <v>0.01</v>
      </c>
      <c r="W48" s="749">
        <v>1</v>
      </c>
      <c r="X48" s="751">
        <v>0</v>
      </c>
      <c r="Y48" s="751">
        <v>49859512</v>
      </c>
      <c r="Z48" s="751">
        <v>0</v>
      </c>
      <c r="AA48" s="751">
        <v>503631</v>
      </c>
      <c r="AB48" s="751">
        <v>50363143</v>
      </c>
      <c r="AC48" s="751">
        <v>0</v>
      </c>
      <c r="AD48" s="751">
        <v>0</v>
      </c>
      <c r="AE48" s="751">
        <v>0</v>
      </c>
      <c r="AF48" s="751">
        <v>49859512</v>
      </c>
      <c r="AG48" s="751">
        <v>0</v>
      </c>
      <c r="AH48" s="751">
        <v>503631</v>
      </c>
      <c r="AI48" s="751">
        <v>50363143</v>
      </c>
      <c r="AJ48" s="751">
        <v>236737</v>
      </c>
      <c r="AK48" s="751">
        <v>236737</v>
      </c>
      <c r="AL48" s="751">
        <v>0</v>
      </c>
      <c r="AM48" s="751">
        <v>0</v>
      </c>
      <c r="AN48" s="751">
        <v>0</v>
      </c>
      <c r="AO48" s="751">
        <v>0</v>
      </c>
      <c r="AP48" s="751">
        <v>0</v>
      </c>
      <c r="AQ48" s="751">
        <v>0</v>
      </c>
      <c r="AR48" s="751">
        <v>0</v>
      </c>
      <c r="AS48" s="751">
        <v>0</v>
      </c>
      <c r="AT48" s="751">
        <v>0</v>
      </c>
      <c r="AU48" s="751">
        <v>0</v>
      </c>
      <c r="AV48" s="751">
        <v>0</v>
      </c>
      <c r="AW48" s="751">
        <v>0</v>
      </c>
      <c r="AX48" s="751">
        <v>0</v>
      </c>
      <c r="AY48" s="751">
        <v>0</v>
      </c>
      <c r="AZ48" s="751">
        <v>0</v>
      </c>
      <c r="BA48" s="751">
        <v>0</v>
      </c>
      <c r="BB48" s="751">
        <v>0</v>
      </c>
      <c r="BC48" s="751">
        <v>0</v>
      </c>
      <c r="BD48" s="751">
        <v>-24892432</v>
      </c>
      <c r="BE48" s="751">
        <v>0</v>
      </c>
      <c r="BF48" s="751">
        <v>-251439</v>
      </c>
      <c r="BG48" s="751">
        <v>-25143871</v>
      </c>
      <c r="BH48" s="751">
        <v>0</v>
      </c>
      <c r="BI48" s="751">
        <v>25203817</v>
      </c>
      <c r="BJ48" s="751">
        <v>0</v>
      </c>
      <c r="BK48" s="751">
        <v>252192</v>
      </c>
      <c r="BL48" s="751">
        <v>25456009</v>
      </c>
      <c r="BM48" s="751">
        <v>2597890</v>
      </c>
      <c r="BN48" s="751">
        <v>0</v>
      </c>
      <c r="BO48" s="751">
        <v>26241</v>
      </c>
      <c r="BP48" s="751">
        <v>2624131</v>
      </c>
      <c r="BQ48" s="751">
        <v>6336766</v>
      </c>
      <c r="BR48" s="751">
        <v>0</v>
      </c>
      <c r="BS48" s="751">
        <v>64008</v>
      </c>
      <c r="BT48" s="751">
        <v>6400774</v>
      </c>
      <c r="BU48" s="751">
        <v>291796</v>
      </c>
      <c r="BV48" s="751">
        <v>0</v>
      </c>
      <c r="BW48" s="751">
        <v>2947</v>
      </c>
      <c r="BX48" s="751">
        <v>294743</v>
      </c>
      <c r="BY48" s="751">
        <v>3937</v>
      </c>
      <c r="BZ48" s="751">
        <v>0</v>
      </c>
      <c r="CA48" s="751">
        <v>40</v>
      </c>
      <c r="CB48" s="751">
        <v>3977</v>
      </c>
      <c r="CC48" s="751">
        <v>1680</v>
      </c>
      <c r="CD48" s="751">
        <v>0</v>
      </c>
      <c r="CE48" s="751">
        <v>17</v>
      </c>
      <c r="CF48" s="751">
        <v>1697</v>
      </c>
      <c r="CG48" s="751">
        <v>15850</v>
      </c>
      <c r="CH48" s="751">
        <v>0</v>
      </c>
      <c r="CI48" s="751">
        <v>160</v>
      </c>
      <c r="CJ48" s="751">
        <v>16010</v>
      </c>
      <c r="CK48" s="751">
        <v>0</v>
      </c>
      <c r="CL48" s="751">
        <v>0</v>
      </c>
      <c r="CM48" s="751">
        <v>0</v>
      </c>
      <c r="CN48" s="751">
        <v>0</v>
      </c>
      <c r="CO48" s="751">
        <v>0</v>
      </c>
      <c r="CP48" s="751">
        <v>0</v>
      </c>
      <c r="CQ48" s="751">
        <v>0</v>
      </c>
      <c r="CR48" s="751">
        <v>0</v>
      </c>
      <c r="CS48" s="751">
        <v>0</v>
      </c>
      <c r="CT48" s="751">
        <v>0</v>
      </c>
      <c r="CU48" s="751">
        <v>0</v>
      </c>
      <c r="CV48" s="751">
        <v>0</v>
      </c>
      <c r="CW48" s="751">
        <v>9247919</v>
      </c>
      <c r="CX48" s="751">
        <v>0</v>
      </c>
      <c r="CY48" s="751">
        <v>93413</v>
      </c>
      <c r="CZ48" s="751">
        <v>9341332</v>
      </c>
      <c r="DA48" s="662" t="s">
        <v>700</v>
      </c>
      <c r="DB48" s="324" t="s">
        <v>570</v>
      </c>
      <c r="DC48" s="663" t="s">
        <v>1915</v>
      </c>
      <c r="DD48" s="529" t="s">
        <v>1254</v>
      </c>
    </row>
    <row r="49" spans="1:108" ht="12.75" x14ac:dyDescent="0.2">
      <c r="A49" s="664">
        <v>42</v>
      </c>
      <c r="B49" s="665" t="s">
        <v>703</v>
      </c>
      <c r="C49" s="666" t="s">
        <v>1217</v>
      </c>
      <c r="D49" s="667" t="s">
        <v>1218</v>
      </c>
      <c r="E49" s="668" t="s">
        <v>702</v>
      </c>
      <c r="F49" s="750">
        <v>53953847</v>
      </c>
      <c r="G49" s="751">
        <v>0</v>
      </c>
      <c r="H49" s="751">
        <v>36639</v>
      </c>
      <c r="I49" s="751">
        <v>348021</v>
      </c>
      <c r="J49" s="751">
        <v>0</v>
      </c>
      <c r="K49" s="751">
        <v>348021</v>
      </c>
      <c r="L49" s="751">
        <v>0</v>
      </c>
      <c r="M49" s="751">
        <v>0</v>
      </c>
      <c r="N49" s="751">
        <v>454894</v>
      </c>
      <c r="O49" s="751">
        <v>454894</v>
      </c>
      <c r="P49" s="751">
        <v>0</v>
      </c>
      <c r="Q49" s="751">
        <v>0</v>
      </c>
      <c r="R49" s="751">
        <v>53114293</v>
      </c>
      <c r="S49" s="749">
        <v>0.5</v>
      </c>
      <c r="T49" s="749">
        <v>0.49</v>
      </c>
      <c r="U49" s="749">
        <v>0</v>
      </c>
      <c r="V49" s="749">
        <v>0.01</v>
      </c>
      <c r="W49" s="749">
        <v>1</v>
      </c>
      <c r="X49" s="751">
        <v>26557146</v>
      </c>
      <c r="Y49" s="751">
        <v>26026004</v>
      </c>
      <c r="Z49" s="751">
        <v>0</v>
      </c>
      <c r="AA49" s="751">
        <v>531143</v>
      </c>
      <c r="AB49" s="751">
        <v>53114293</v>
      </c>
      <c r="AC49" s="751">
        <v>0</v>
      </c>
      <c r="AD49" s="751">
        <v>0</v>
      </c>
      <c r="AE49" s="751">
        <v>26557146</v>
      </c>
      <c r="AF49" s="751">
        <v>26026004</v>
      </c>
      <c r="AG49" s="751">
        <v>0</v>
      </c>
      <c r="AH49" s="751">
        <v>531143</v>
      </c>
      <c r="AI49" s="751">
        <v>53114293</v>
      </c>
      <c r="AJ49" s="751">
        <v>348021</v>
      </c>
      <c r="AK49" s="751">
        <v>348021</v>
      </c>
      <c r="AL49" s="751">
        <v>0</v>
      </c>
      <c r="AM49" s="751">
        <v>0</v>
      </c>
      <c r="AN49" s="751">
        <v>454894</v>
      </c>
      <c r="AO49" s="751">
        <v>0</v>
      </c>
      <c r="AP49" s="751">
        <v>454894</v>
      </c>
      <c r="AQ49" s="751">
        <v>0</v>
      </c>
      <c r="AR49" s="751">
        <v>0</v>
      </c>
      <c r="AS49" s="751">
        <v>0</v>
      </c>
      <c r="AT49" s="751">
        <v>0</v>
      </c>
      <c r="AU49" s="751">
        <v>0</v>
      </c>
      <c r="AV49" s="751">
        <v>0</v>
      </c>
      <c r="AW49" s="751">
        <v>0</v>
      </c>
      <c r="AX49" s="751">
        <v>0</v>
      </c>
      <c r="AY49" s="751">
        <v>0</v>
      </c>
      <c r="AZ49" s="751">
        <v>0</v>
      </c>
      <c r="BA49" s="751">
        <v>0</v>
      </c>
      <c r="BB49" s="751">
        <v>0</v>
      </c>
      <c r="BC49" s="751">
        <v>-10623137</v>
      </c>
      <c r="BD49" s="751">
        <v>-8349146</v>
      </c>
      <c r="BE49" s="751">
        <v>0</v>
      </c>
      <c r="BF49" s="751">
        <v>-191639</v>
      </c>
      <c r="BG49" s="751">
        <v>-19163922</v>
      </c>
      <c r="BH49" s="751">
        <v>15934009</v>
      </c>
      <c r="BI49" s="751">
        <v>18479773</v>
      </c>
      <c r="BJ49" s="751">
        <v>0</v>
      </c>
      <c r="BK49" s="751">
        <v>339504</v>
      </c>
      <c r="BL49" s="751">
        <v>34753286</v>
      </c>
      <c r="BM49" s="751">
        <v>1379766</v>
      </c>
      <c r="BN49" s="751">
        <v>0</v>
      </c>
      <c r="BO49" s="751">
        <v>27675</v>
      </c>
      <c r="BP49" s="751">
        <v>1407441</v>
      </c>
      <c r="BQ49" s="751">
        <v>4066337</v>
      </c>
      <c r="BR49" s="751">
        <v>0</v>
      </c>
      <c r="BS49" s="751">
        <v>82986</v>
      </c>
      <c r="BT49" s="751">
        <v>4149323</v>
      </c>
      <c r="BU49" s="751">
        <v>150612</v>
      </c>
      <c r="BV49" s="751">
        <v>0</v>
      </c>
      <c r="BW49" s="751">
        <v>3074</v>
      </c>
      <c r="BX49" s="751">
        <v>153686</v>
      </c>
      <c r="BY49" s="751">
        <v>0</v>
      </c>
      <c r="BZ49" s="751">
        <v>0</v>
      </c>
      <c r="CA49" s="751">
        <v>0</v>
      </c>
      <c r="CB49" s="751">
        <v>0</v>
      </c>
      <c r="CC49" s="751">
        <v>3985</v>
      </c>
      <c r="CD49" s="751">
        <v>0</v>
      </c>
      <c r="CE49" s="751">
        <v>81</v>
      </c>
      <c r="CF49" s="751">
        <v>4066</v>
      </c>
      <c r="CG49" s="751">
        <v>24751</v>
      </c>
      <c r="CH49" s="751">
        <v>0</v>
      </c>
      <c r="CI49" s="751">
        <v>505</v>
      </c>
      <c r="CJ49" s="751">
        <v>25256</v>
      </c>
      <c r="CK49" s="751">
        <v>0</v>
      </c>
      <c r="CL49" s="751">
        <v>0</v>
      </c>
      <c r="CM49" s="751">
        <v>0</v>
      </c>
      <c r="CN49" s="751">
        <v>0</v>
      </c>
      <c r="CO49" s="751">
        <v>0</v>
      </c>
      <c r="CP49" s="751">
        <v>0</v>
      </c>
      <c r="CQ49" s="751">
        <v>0</v>
      </c>
      <c r="CR49" s="751">
        <v>0</v>
      </c>
      <c r="CS49" s="751">
        <v>0</v>
      </c>
      <c r="CT49" s="751">
        <v>0</v>
      </c>
      <c r="CU49" s="751">
        <v>0</v>
      </c>
      <c r="CV49" s="751">
        <v>0</v>
      </c>
      <c r="CW49" s="751">
        <v>5625451</v>
      </c>
      <c r="CX49" s="751">
        <v>0</v>
      </c>
      <c r="CY49" s="751">
        <v>114321</v>
      </c>
      <c r="CZ49" s="751">
        <v>5739772</v>
      </c>
      <c r="DA49" s="662" t="s">
        <v>702</v>
      </c>
      <c r="DB49" s="324" t="s">
        <v>570</v>
      </c>
      <c r="DC49" s="663" t="s">
        <v>575</v>
      </c>
      <c r="DD49" s="529" t="s">
        <v>1255</v>
      </c>
    </row>
    <row r="50" spans="1:108" ht="12.75" x14ac:dyDescent="0.2">
      <c r="A50" s="664">
        <v>43</v>
      </c>
      <c r="B50" s="665" t="s">
        <v>705</v>
      </c>
      <c r="C50" s="666" t="s">
        <v>1201</v>
      </c>
      <c r="D50" s="667" t="s">
        <v>1211</v>
      </c>
      <c r="E50" s="668" t="s">
        <v>704</v>
      </c>
      <c r="F50" s="750">
        <v>108087776</v>
      </c>
      <c r="G50" s="751">
        <v>0</v>
      </c>
      <c r="H50" s="751">
        <v>72224</v>
      </c>
      <c r="I50" s="751">
        <v>238545</v>
      </c>
      <c r="J50" s="751">
        <v>0</v>
      </c>
      <c r="K50" s="751">
        <v>238545</v>
      </c>
      <c r="L50" s="751">
        <v>0</v>
      </c>
      <c r="M50" s="751">
        <v>0</v>
      </c>
      <c r="N50" s="751">
        <v>0</v>
      </c>
      <c r="O50" s="751">
        <v>0</v>
      </c>
      <c r="P50" s="751">
        <v>0</v>
      </c>
      <c r="Q50" s="751">
        <v>0</v>
      </c>
      <c r="R50" s="751">
        <v>107777007</v>
      </c>
      <c r="S50" s="749">
        <v>0.5</v>
      </c>
      <c r="T50" s="749">
        <v>0.4</v>
      </c>
      <c r="U50" s="749">
        <v>0.09</v>
      </c>
      <c r="V50" s="749">
        <v>0.01</v>
      </c>
      <c r="W50" s="749">
        <v>1</v>
      </c>
      <c r="X50" s="751">
        <v>53888503</v>
      </c>
      <c r="Y50" s="751">
        <v>43110803</v>
      </c>
      <c r="Z50" s="751">
        <v>9699931</v>
      </c>
      <c r="AA50" s="751">
        <v>1077770</v>
      </c>
      <c r="AB50" s="751">
        <v>107777007</v>
      </c>
      <c r="AC50" s="751">
        <v>0</v>
      </c>
      <c r="AD50" s="751">
        <v>0</v>
      </c>
      <c r="AE50" s="751">
        <v>53888503</v>
      </c>
      <c r="AF50" s="751">
        <v>43110803</v>
      </c>
      <c r="AG50" s="751">
        <v>9699931</v>
      </c>
      <c r="AH50" s="751">
        <v>1077770</v>
      </c>
      <c r="AI50" s="751">
        <v>107777007</v>
      </c>
      <c r="AJ50" s="751">
        <v>238545</v>
      </c>
      <c r="AK50" s="751">
        <v>238545</v>
      </c>
      <c r="AL50" s="751">
        <v>0</v>
      </c>
      <c r="AM50" s="751">
        <v>0</v>
      </c>
      <c r="AN50" s="751">
        <v>0</v>
      </c>
      <c r="AO50" s="751">
        <v>0</v>
      </c>
      <c r="AP50" s="751">
        <v>0</v>
      </c>
      <c r="AQ50" s="751">
        <v>0</v>
      </c>
      <c r="AR50" s="751">
        <v>0</v>
      </c>
      <c r="AS50" s="751">
        <v>0</v>
      </c>
      <c r="AT50" s="751">
        <v>0</v>
      </c>
      <c r="AU50" s="751">
        <v>0</v>
      </c>
      <c r="AV50" s="751">
        <v>0</v>
      </c>
      <c r="AW50" s="751">
        <v>0</v>
      </c>
      <c r="AX50" s="751">
        <v>0</v>
      </c>
      <c r="AY50" s="751">
        <v>0</v>
      </c>
      <c r="AZ50" s="751">
        <v>0</v>
      </c>
      <c r="BA50" s="751">
        <v>0</v>
      </c>
      <c r="BB50" s="751">
        <v>0</v>
      </c>
      <c r="BC50" s="751">
        <v>-31446253</v>
      </c>
      <c r="BD50" s="751">
        <v>-25157002</v>
      </c>
      <c r="BE50" s="751">
        <v>-5660325</v>
      </c>
      <c r="BF50" s="751">
        <v>-628925</v>
      </c>
      <c r="BG50" s="751">
        <v>-62892505</v>
      </c>
      <c r="BH50" s="751">
        <v>22442251</v>
      </c>
      <c r="BI50" s="751">
        <v>18192346</v>
      </c>
      <c r="BJ50" s="751">
        <v>4039606</v>
      </c>
      <c r="BK50" s="751">
        <v>448845</v>
      </c>
      <c r="BL50" s="751">
        <v>45123047</v>
      </c>
      <c r="BM50" s="751">
        <v>2246254</v>
      </c>
      <c r="BN50" s="751">
        <v>505407</v>
      </c>
      <c r="BO50" s="751">
        <v>56156</v>
      </c>
      <c r="BP50" s="751">
        <v>2807817</v>
      </c>
      <c r="BQ50" s="751">
        <v>894243</v>
      </c>
      <c r="BR50" s="751">
        <v>201205</v>
      </c>
      <c r="BS50" s="751">
        <v>22356</v>
      </c>
      <c r="BT50" s="751">
        <v>1117804</v>
      </c>
      <c r="BU50" s="751">
        <v>128876</v>
      </c>
      <c r="BV50" s="751">
        <v>28997</v>
      </c>
      <c r="BW50" s="751">
        <v>3222</v>
      </c>
      <c r="BX50" s="751">
        <v>161095</v>
      </c>
      <c r="BY50" s="751">
        <v>2104</v>
      </c>
      <c r="BZ50" s="751">
        <v>473</v>
      </c>
      <c r="CA50" s="751">
        <v>53</v>
      </c>
      <c r="CB50" s="751">
        <v>2630</v>
      </c>
      <c r="CC50" s="751">
        <v>0</v>
      </c>
      <c r="CD50" s="751">
        <v>0</v>
      </c>
      <c r="CE50" s="751">
        <v>0</v>
      </c>
      <c r="CF50" s="751">
        <v>0</v>
      </c>
      <c r="CG50" s="751">
        <v>4629</v>
      </c>
      <c r="CH50" s="751">
        <v>1042</v>
      </c>
      <c r="CI50" s="751">
        <v>116</v>
      </c>
      <c r="CJ50" s="751">
        <v>5787</v>
      </c>
      <c r="CK50" s="751">
        <v>0</v>
      </c>
      <c r="CL50" s="751">
        <v>0</v>
      </c>
      <c r="CM50" s="751">
        <v>0</v>
      </c>
      <c r="CN50" s="751">
        <v>0</v>
      </c>
      <c r="CO50" s="751">
        <v>0</v>
      </c>
      <c r="CP50" s="751">
        <v>0</v>
      </c>
      <c r="CQ50" s="751">
        <v>0</v>
      </c>
      <c r="CR50" s="751">
        <v>0</v>
      </c>
      <c r="CS50" s="751">
        <v>0</v>
      </c>
      <c r="CT50" s="751">
        <v>0</v>
      </c>
      <c r="CU50" s="751">
        <v>0</v>
      </c>
      <c r="CV50" s="751">
        <v>0</v>
      </c>
      <c r="CW50" s="751">
        <v>3276106</v>
      </c>
      <c r="CX50" s="751">
        <v>737124</v>
      </c>
      <c r="CY50" s="751">
        <v>81903</v>
      </c>
      <c r="CZ50" s="751">
        <v>4095133</v>
      </c>
      <c r="DA50" s="662" t="s">
        <v>704</v>
      </c>
      <c r="DB50" s="324" t="s">
        <v>503</v>
      </c>
      <c r="DC50" s="663" t="s">
        <v>502</v>
      </c>
      <c r="DD50" s="529" t="s">
        <v>1256</v>
      </c>
    </row>
    <row r="51" spans="1:108" ht="12.75" x14ac:dyDescent="0.2">
      <c r="A51" s="664">
        <v>44</v>
      </c>
      <c r="B51" s="665" t="s">
        <v>707</v>
      </c>
      <c r="C51" s="666" t="s">
        <v>1257</v>
      </c>
      <c r="D51" s="667" t="s">
        <v>1214</v>
      </c>
      <c r="E51" s="668" t="s">
        <v>706</v>
      </c>
      <c r="F51" s="750">
        <v>644654081</v>
      </c>
      <c r="G51" s="751">
        <v>1894641</v>
      </c>
      <c r="H51" s="751">
        <v>0</v>
      </c>
      <c r="I51" s="751">
        <v>1288622</v>
      </c>
      <c r="J51" s="751">
        <v>0</v>
      </c>
      <c r="K51" s="751">
        <v>1288622</v>
      </c>
      <c r="L51" s="751">
        <v>0</v>
      </c>
      <c r="M51" s="751">
        <v>0</v>
      </c>
      <c r="N51" s="751">
        <v>0</v>
      </c>
      <c r="O51" s="751">
        <v>0</v>
      </c>
      <c r="P51" s="751">
        <v>0</v>
      </c>
      <c r="Q51" s="751">
        <v>0</v>
      </c>
      <c r="R51" s="751">
        <v>645260100</v>
      </c>
      <c r="S51" s="749">
        <v>0.33</v>
      </c>
      <c r="T51" s="749">
        <v>0.3</v>
      </c>
      <c r="U51" s="749">
        <v>0.37</v>
      </c>
      <c r="V51" s="749">
        <v>0</v>
      </c>
      <c r="W51" s="749">
        <v>1</v>
      </c>
      <c r="X51" s="751">
        <v>212935833</v>
      </c>
      <c r="Y51" s="751">
        <v>193578030</v>
      </c>
      <c r="Z51" s="751">
        <v>238746237</v>
      </c>
      <c r="AA51" s="751">
        <v>0</v>
      </c>
      <c r="AB51" s="751">
        <v>645260100</v>
      </c>
      <c r="AC51" s="751">
        <v>0</v>
      </c>
      <c r="AD51" s="751">
        <v>0</v>
      </c>
      <c r="AE51" s="751">
        <v>212935833</v>
      </c>
      <c r="AF51" s="751">
        <v>193578030</v>
      </c>
      <c r="AG51" s="751">
        <v>238746237</v>
      </c>
      <c r="AH51" s="751">
        <v>0</v>
      </c>
      <c r="AI51" s="751">
        <v>645260100</v>
      </c>
      <c r="AJ51" s="751">
        <v>1288622</v>
      </c>
      <c r="AK51" s="751">
        <v>1288622</v>
      </c>
      <c r="AL51" s="751">
        <v>0</v>
      </c>
      <c r="AM51" s="751">
        <v>0</v>
      </c>
      <c r="AN51" s="751">
        <v>0</v>
      </c>
      <c r="AO51" s="751">
        <v>0</v>
      </c>
      <c r="AP51" s="751">
        <v>0</v>
      </c>
      <c r="AQ51" s="751">
        <v>0</v>
      </c>
      <c r="AR51" s="751">
        <v>0</v>
      </c>
      <c r="AS51" s="751">
        <v>0</v>
      </c>
      <c r="AT51" s="751">
        <v>0</v>
      </c>
      <c r="AU51" s="751">
        <v>0</v>
      </c>
      <c r="AV51" s="751">
        <v>0</v>
      </c>
      <c r="AW51" s="751">
        <v>0</v>
      </c>
      <c r="AX51" s="751">
        <v>0</v>
      </c>
      <c r="AY51" s="751">
        <v>0</v>
      </c>
      <c r="AZ51" s="751">
        <v>0</v>
      </c>
      <c r="BA51" s="751">
        <v>0</v>
      </c>
      <c r="BB51" s="751">
        <v>0</v>
      </c>
      <c r="BC51" s="751">
        <v>-70670249</v>
      </c>
      <c r="BD51" s="751">
        <v>-63808854</v>
      </c>
      <c r="BE51" s="751">
        <v>-79254148</v>
      </c>
      <c r="BF51" s="751">
        <v>0</v>
      </c>
      <c r="BG51" s="751">
        <v>-213733251</v>
      </c>
      <c r="BH51" s="751">
        <v>142265584</v>
      </c>
      <c r="BI51" s="751">
        <v>131057798</v>
      </c>
      <c r="BJ51" s="751">
        <v>159492089</v>
      </c>
      <c r="BK51" s="751">
        <v>0</v>
      </c>
      <c r="BL51" s="751">
        <v>432815471</v>
      </c>
      <c r="BM51" s="751">
        <v>10086230</v>
      </c>
      <c r="BN51" s="751">
        <v>12439684</v>
      </c>
      <c r="BO51" s="751">
        <v>0</v>
      </c>
      <c r="BP51" s="751">
        <v>22525914</v>
      </c>
      <c r="BQ51" s="751">
        <v>1518719</v>
      </c>
      <c r="BR51" s="751">
        <v>1873087</v>
      </c>
      <c r="BS51" s="751">
        <v>0</v>
      </c>
      <c r="BT51" s="751">
        <v>3391806</v>
      </c>
      <c r="BU51" s="751">
        <v>368760</v>
      </c>
      <c r="BV51" s="751">
        <v>454804</v>
      </c>
      <c r="BW51" s="751">
        <v>0</v>
      </c>
      <c r="BX51" s="751">
        <v>823564</v>
      </c>
      <c r="BY51" s="751">
        <v>0</v>
      </c>
      <c r="BZ51" s="751">
        <v>0</v>
      </c>
      <c r="CA51" s="751">
        <v>0</v>
      </c>
      <c r="CB51" s="751">
        <v>0</v>
      </c>
      <c r="CC51" s="751">
        <v>0</v>
      </c>
      <c r="CD51" s="751">
        <v>0</v>
      </c>
      <c r="CE51" s="751">
        <v>0</v>
      </c>
      <c r="CF51" s="751">
        <v>0</v>
      </c>
      <c r="CG51" s="751">
        <v>39855</v>
      </c>
      <c r="CH51" s="751">
        <v>49153</v>
      </c>
      <c r="CI51" s="751">
        <v>0</v>
      </c>
      <c r="CJ51" s="751">
        <v>89008</v>
      </c>
      <c r="CK51" s="751">
        <v>0</v>
      </c>
      <c r="CL51" s="751">
        <v>0</v>
      </c>
      <c r="CM51" s="751">
        <v>0</v>
      </c>
      <c r="CN51" s="751">
        <v>0</v>
      </c>
      <c r="CO51" s="751">
        <v>0</v>
      </c>
      <c r="CP51" s="751">
        <v>0</v>
      </c>
      <c r="CQ51" s="751">
        <v>0</v>
      </c>
      <c r="CR51" s="751">
        <v>0</v>
      </c>
      <c r="CS51" s="751">
        <v>473</v>
      </c>
      <c r="CT51" s="751">
        <v>584</v>
      </c>
      <c r="CU51" s="751">
        <v>0</v>
      </c>
      <c r="CV51" s="751">
        <v>1057</v>
      </c>
      <c r="CW51" s="751">
        <v>12014037</v>
      </c>
      <c r="CX51" s="751">
        <v>14817312</v>
      </c>
      <c r="CY51" s="751">
        <v>0</v>
      </c>
      <c r="CZ51" s="751">
        <v>26831349</v>
      </c>
      <c r="DA51" s="662" t="s">
        <v>706</v>
      </c>
      <c r="DB51" s="324" t="s">
        <v>576</v>
      </c>
      <c r="DC51" s="669" t="s">
        <v>485</v>
      </c>
      <c r="DD51" s="529" t="s">
        <v>1258</v>
      </c>
    </row>
    <row r="52" spans="1:108" ht="12.75" x14ac:dyDescent="0.2">
      <c r="A52" s="664">
        <v>45</v>
      </c>
      <c r="B52" s="665" t="s">
        <v>709</v>
      </c>
      <c r="C52" s="666" t="s">
        <v>1201</v>
      </c>
      <c r="D52" s="667" t="s">
        <v>1228</v>
      </c>
      <c r="E52" s="668" t="s">
        <v>708</v>
      </c>
      <c r="F52" s="750">
        <v>35658186</v>
      </c>
      <c r="G52" s="751">
        <v>93561</v>
      </c>
      <c r="H52" s="751">
        <v>0</v>
      </c>
      <c r="I52" s="751">
        <v>134196</v>
      </c>
      <c r="J52" s="751">
        <v>0</v>
      </c>
      <c r="K52" s="751">
        <v>134196</v>
      </c>
      <c r="L52" s="751">
        <v>0</v>
      </c>
      <c r="M52" s="751">
        <v>0</v>
      </c>
      <c r="N52" s="751">
        <v>0</v>
      </c>
      <c r="O52" s="751">
        <v>0</v>
      </c>
      <c r="P52" s="751">
        <v>0</v>
      </c>
      <c r="Q52" s="751">
        <v>0</v>
      </c>
      <c r="R52" s="751">
        <v>35617551</v>
      </c>
      <c r="S52" s="749">
        <v>0.5</v>
      </c>
      <c r="T52" s="749">
        <v>0.4</v>
      </c>
      <c r="U52" s="749">
        <v>0.09</v>
      </c>
      <c r="V52" s="749">
        <v>0.01</v>
      </c>
      <c r="W52" s="749">
        <v>1</v>
      </c>
      <c r="X52" s="751">
        <v>17808775</v>
      </c>
      <c r="Y52" s="751">
        <v>14247020</v>
      </c>
      <c r="Z52" s="751">
        <v>3205580</v>
      </c>
      <c r="AA52" s="751">
        <v>356176</v>
      </c>
      <c r="AB52" s="751">
        <v>35617551</v>
      </c>
      <c r="AC52" s="751">
        <v>0</v>
      </c>
      <c r="AD52" s="751">
        <v>0</v>
      </c>
      <c r="AE52" s="751">
        <v>17808775</v>
      </c>
      <c r="AF52" s="751">
        <v>14247020</v>
      </c>
      <c r="AG52" s="751">
        <v>3205580</v>
      </c>
      <c r="AH52" s="751">
        <v>356176</v>
      </c>
      <c r="AI52" s="751">
        <v>35617551</v>
      </c>
      <c r="AJ52" s="751">
        <v>134196</v>
      </c>
      <c r="AK52" s="751">
        <v>134196</v>
      </c>
      <c r="AL52" s="751">
        <v>0</v>
      </c>
      <c r="AM52" s="751">
        <v>0</v>
      </c>
      <c r="AN52" s="751">
        <v>0</v>
      </c>
      <c r="AO52" s="751">
        <v>0</v>
      </c>
      <c r="AP52" s="751">
        <v>0</v>
      </c>
      <c r="AQ52" s="751">
        <v>0</v>
      </c>
      <c r="AR52" s="751">
        <v>0</v>
      </c>
      <c r="AS52" s="751">
        <v>0</v>
      </c>
      <c r="AT52" s="751">
        <v>0</v>
      </c>
      <c r="AU52" s="751">
        <v>0</v>
      </c>
      <c r="AV52" s="751">
        <v>0</v>
      </c>
      <c r="AW52" s="751">
        <v>0</v>
      </c>
      <c r="AX52" s="751">
        <v>0</v>
      </c>
      <c r="AY52" s="751">
        <v>0</v>
      </c>
      <c r="AZ52" s="751">
        <v>0</v>
      </c>
      <c r="BA52" s="751">
        <v>0</v>
      </c>
      <c r="BB52" s="751">
        <v>0</v>
      </c>
      <c r="BC52" s="751">
        <v>-7452475</v>
      </c>
      <c r="BD52" s="751">
        <v>-5804347</v>
      </c>
      <c r="BE52" s="751">
        <v>-1108936</v>
      </c>
      <c r="BF52" s="751">
        <v>-145109</v>
      </c>
      <c r="BG52" s="751">
        <v>-14510866</v>
      </c>
      <c r="BH52" s="751">
        <v>10356300</v>
      </c>
      <c r="BI52" s="751">
        <v>8576869</v>
      </c>
      <c r="BJ52" s="751">
        <v>2096644</v>
      </c>
      <c r="BK52" s="751">
        <v>211067</v>
      </c>
      <c r="BL52" s="751">
        <v>21240881</v>
      </c>
      <c r="BM52" s="751">
        <v>742330</v>
      </c>
      <c r="BN52" s="751">
        <v>167024</v>
      </c>
      <c r="BO52" s="751">
        <v>18558</v>
      </c>
      <c r="BP52" s="751">
        <v>927912</v>
      </c>
      <c r="BQ52" s="751">
        <v>1353679</v>
      </c>
      <c r="BR52" s="751">
        <v>304578</v>
      </c>
      <c r="BS52" s="751">
        <v>33842</v>
      </c>
      <c r="BT52" s="751">
        <v>1692099</v>
      </c>
      <c r="BU52" s="751">
        <v>68628</v>
      </c>
      <c r="BV52" s="751">
        <v>15441</v>
      </c>
      <c r="BW52" s="751">
        <v>1716</v>
      </c>
      <c r="BX52" s="751">
        <v>85785</v>
      </c>
      <c r="BY52" s="751">
        <v>0</v>
      </c>
      <c r="BZ52" s="751">
        <v>0</v>
      </c>
      <c r="CA52" s="751">
        <v>0</v>
      </c>
      <c r="CB52" s="751">
        <v>0</v>
      </c>
      <c r="CC52" s="751">
        <v>0</v>
      </c>
      <c r="CD52" s="751">
        <v>0</v>
      </c>
      <c r="CE52" s="751">
        <v>0</v>
      </c>
      <c r="CF52" s="751">
        <v>0</v>
      </c>
      <c r="CG52" s="751">
        <v>2599</v>
      </c>
      <c r="CH52" s="751">
        <v>585</v>
      </c>
      <c r="CI52" s="751">
        <v>65</v>
      </c>
      <c r="CJ52" s="751">
        <v>3249</v>
      </c>
      <c r="CK52" s="751">
        <v>0</v>
      </c>
      <c r="CL52" s="751">
        <v>0</v>
      </c>
      <c r="CM52" s="751">
        <v>0</v>
      </c>
      <c r="CN52" s="751">
        <v>0</v>
      </c>
      <c r="CO52" s="751">
        <v>0</v>
      </c>
      <c r="CP52" s="751">
        <v>0</v>
      </c>
      <c r="CQ52" s="751">
        <v>0</v>
      </c>
      <c r="CR52" s="751">
        <v>0</v>
      </c>
      <c r="CS52" s="751">
        <v>0</v>
      </c>
      <c r="CT52" s="751">
        <v>0</v>
      </c>
      <c r="CU52" s="751">
        <v>0</v>
      </c>
      <c r="CV52" s="751">
        <v>0</v>
      </c>
      <c r="CW52" s="751">
        <v>2167236</v>
      </c>
      <c r="CX52" s="751">
        <v>487628</v>
      </c>
      <c r="CY52" s="751">
        <v>54181</v>
      </c>
      <c r="CZ52" s="751">
        <v>2709045</v>
      </c>
      <c r="DA52" s="662" t="s">
        <v>708</v>
      </c>
      <c r="DB52" s="324" t="s">
        <v>564</v>
      </c>
      <c r="DC52" s="663" t="s">
        <v>1917</v>
      </c>
      <c r="DD52" s="529" t="s">
        <v>1259</v>
      </c>
    </row>
    <row r="53" spans="1:108" ht="12.75" x14ac:dyDescent="0.2">
      <c r="A53" s="664">
        <v>46</v>
      </c>
      <c r="B53" s="665" t="s">
        <v>711</v>
      </c>
      <c r="C53" s="666" t="s">
        <v>1201</v>
      </c>
      <c r="D53" s="667" t="s">
        <v>1202</v>
      </c>
      <c r="E53" s="668" t="s">
        <v>710</v>
      </c>
      <c r="F53" s="750">
        <v>49214849</v>
      </c>
      <c r="G53" s="751">
        <v>0</v>
      </c>
      <c r="H53" s="751">
        <v>998273</v>
      </c>
      <c r="I53" s="751">
        <v>233413</v>
      </c>
      <c r="J53" s="751">
        <v>0</v>
      </c>
      <c r="K53" s="751">
        <v>233413</v>
      </c>
      <c r="L53" s="751">
        <v>0</v>
      </c>
      <c r="M53" s="751">
        <v>0</v>
      </c>
      <c r="N53" s="751">
        <v>289809</v>
      </c>
      <c r="O53" s="751">
        <v>289809</v>
      </c>
      <c r="P53" s="751">
        <v>0</v>
      </c>
      <c r="Q53" s="751">
        <v>0</v>
      </c>
      <c r="R53" s="751">
        <v>47693354</v>
      </c>
      <c r="S53" s="749">
        <v>0.5</v>
      </c>
      <c r="T53" s="749">
        <v>0.4</v>
      </c>
      <c r="U53" s="749">
        <v>0.09</v>
      </c>
      <c r="V53" s="749">
        <v>0.01</v>
      </c>
      <c r="W53" s="749">
        <v>1</v>
      </c>
      <c r="X53" s="751">
        <v>23846676</v>
      </c>
      <c r="Y53" s="751">
        <v>19077342</v>
      </c>
      <c r="Z53" s="751">
        <v>4292402</v>
      </c>
      <c r="AA53" s="751">
        <v>476934</v>
      </c>
      <c r="AB53" s="751">
        <v>47693354</v>
      </c>
      <c r="AC53" s="751">
        <v>0</v>
      </c>
      <c r="AD53" s="751">
        <v>0</v>
      </c>
      <c r="AE53" s="751">
        <v>23846676</v>
      </c>
      <c r="AF53" s="751">
        <v>19077342</v>
      </c>
      <c r="AG53" s="751">
        <v>4292402</v>
      </c>
      <c r="AH53" s="751">
        <v>476934</v>
      </c>
      <c r="AI53" s="751">
        <v>47693354</v>
      </c>
      <c r="AJ53" s="751">
        <v>233413</v>
      </c>
      <c r="AK53" s="751">
        <v>233413</v>
      </c>
      <c r="AL53" s="751">
        <v>0</v>
      </c>
      <c r="AM53" s="751">
        <v>0</v>
      </c>
      <c r="AN53" s="751">
        <v>289809</v>
      </c>
      <c r="AO53" s="751">
        <v>0</v>
      </c>
      <c r="AP53" s="751">
        <v>289809</v>
      </c>
      <c r="AQ53" s="751">
        <v>0</v>
      </c>
      <c r="AR53" s="751">
        <v>0</v>
      </c>
      <c r="AS53" s="751">
        <v>0</v>
      </c>
      <c r="AT53" s="751">
        <v>0</v>
      </c>
      <c r="AU53" s="751">
        <v>0</v>
      </c>
      <c r="AV53" s="751">
        <v>0</v>
      </c>
      <c r="AW53" s="751">
        <v>0</v>
      </c>
      <c r="AX53" s="751">
        <v>0</v>
      </c>
      <c r="AY53" s="751">
        <v>0</v>
      </c>
      <c r="AZ53" s="751">
        <v>0</v>
      </c>
      <c r="BA53" s="751">
        <v>0</v>
      </c>
      <c r="BB53" s="751">
        <v>0</v>
      </c>
      <c r="BC53" s="751">
        <v>-17511638</v>
      </c>
      <c r="BD53" s="751">
        <v>-14009311</v>
      </c>
      <c r="BE53" s="751">
        <v>-3152095</v>
      </c>
      <c r="BF53" s="751">
        <v>-350233</v>
      </c>
      <c r="BG53" s="751">
        <v>-35023277</v>
      </c>
      <c r="BH53" s="751">
        <v>6335038</v>
      </c>
      <c r="BI53" s="751">
        <v>5591253</v>
      </c>
      <c r="BJ53" s="751">
        <v>1140307</v>
      </c>
      <c r="BK53" s="751">
        <v>126701</v>
      </c>
      <c r="BL53" s="751">
        <v>13193299</v>
      </c>
      <c r="BM53" s="751">
        <v>1009110</v>
      </c>
      <c r="BN53" s="751">
        <v>223652</v>
      </c>
      <c r="BO53" s="751">
        <v>24850</v>
      </c>
      <c r="BP53" s="751">
        <v>1257612</v>
      </c>
      <c r="BQ53" s="751">
        <v>1809241</v>
      </c>
      <c r="BR53" s="751">
        <v>407079</v>
      </c>
      <c r="BS53" s="751">
        <v>45231</v>
      </c>
      <c r="BT53" s="751">
        <v>2261551</v>
      </c>
      <c r="BU53" s="751">
        <v>102345</v>
      </c>
      <c r="BV53" s="751">
        <v>23028</v>
      </c>
      <c r="BW53" s="751">
        <v>2559</v>
      </c>
      <c r="BX53" s="751">
        <v>127932</v>
      </c>
      <c r="BY53" s="751">
        <v>0</v>
      </c>
      <c r="BZ53" s="751">
        <v>0</v>
      </c>
      <c r="CA53" s="751">
        <v>0</v>
      </c>
      <c r="CB53" s="751">
        <v>0</v>
      </c>
      <c r="CC53" s="751">
        <v>5091</v>
      </c>
      <c r="CD53" s="751">
        <v>1145</v>
      </c>
      <c r="CE53" s="751">
        <v>127</v>
      </c>
      <c r="CF53" s="751">
        <v>6363</v>
      </c>
      <c r="CG53" s="751">
        <v>29428</v>
      </c>
      <c r="CH53" s="751">
        <v>6622</v>
      </c>
      <c r="CI53" s="751">
        <v>736</v>
      </c>
      <c r="CJ53" s="751">
        <v>36786</v>
      </c>
      <c r="CK53" s="751">
        <v>0</v>
      </c>
      <c r="CL53" s="751">
        <v>0</v>
      </c>
      <c r="CM53" s="751">
        <v>0</v>
      </c>
      <c r="CN53" s="751">
        <v>0</v>
      </c>
      <c r="CO53" s="751">
        <v>0</v>
      </c>
      <c r="CP53" s="751">
        <v>0</v>
      </c>
      <c r="CQ53" s="751">
        <v>0</v>
      </c>
      <c r="CR53" s="751">
        <v>0</v>
      </c>
      <c r="CS53" s="751">
        <v>0</v>
      </c>
      <c r="CT53" s="751">
        <v>0</v>
      </c>
      <c r="CU53" s="751">
        <v>0</v>
      </c>
      <c r="CV53" s="751">
        <v>0</v>
      </c>
      <c r="CW53" s="751">
        <v>2955215</v>
      </c>
      <c r="CX53" s="751">
        <v>661526</v>
      </c>
      <c r="CY53" s="751">
        <v>73503</v>
      </c>
      <c r="CZ53" s="751">
        <v>3690244</v>
      </c>
      <c r="DA53" s="662" t="s">
        <v>710</v>
      </c>
      <c r="DB53" s="324" t="s">
        <v>543</v>
      </c>
      <c r="DC53" s="663" t="s">
        <v>542</v>
      </c>
      <c r="DD53" s="529" t="s">
        <v>1260</v>
      </c>
    </row>
    <row r="54" spans="1:108" ht="14.25" x14ac:dyDescent="0.2">
      <c r="A54" s="664">
        <v>47</v>
      </c>
      <c r="B54" s="665" t="s">
        <v>713</v>
      </c>
      <c r="C54" s="666" t="s">
        <v>1201</v>
      </c>
      <c r="D54" s="667" t="s">
        <v>1204</v>
      </c>
      <c r="E54" s="668" t="s">
        <v>1863</v>
      </c>
      <c r="F54" s="750">
        <v>44363512</v>
      </c>
      <c r="G54" s="751">
        <v>0</v>
      </c>
      <c r="H54" s="751">
        <v>268224</v>
      </c>
      <c r="I54" s="751">
        <v>177333</v>
      </c>
      <c r="J54" s="751">
        <v>0</v>
      </c>
      <c r="K54" s="751">
        <v>177333</v>
      </c>
      <c r="L54" s="751">
        <v>0</v>
      </c>
      <c r="M54" s="751">
        <v>0</v>
      </c>
      <c r="N54" s="751">
        <v>378052</v>
      </c>
      <c r="O54" s="751">
        <v>378052</v>
      </c>
      <c r="P54" s="751">
        <v>0</v>
      </c>
      <c r="Q54" s="751">
        <v>0</v>
      </c>
      <c r="R54" s="751">
        <v>43539903</v>
      </c>
      <c r="S54" s="749">
        <v>0.5</v>
      </c>
      <c r="T54" s="749">
        <v>0.4</v>
      </c>
      <c r="U54" s="749">
        <v>0.1</v>
      </c>
      <c r="V54" s="749">
        <v>0</v>
      </c>
      <c r="W54" s="749">
        <v>1</v>
      </c>
      <c r="X54" s="751">
        <v>21769952</v>
      </c>
      <c r="Y54" s="751">
        <v>17415961</v>
      </c>
      <c r="Z54" s="751">
        <v>4353990</v>
      </c>
      <c r="AA54" s="751">
        <v>0</v>
      </c>
      <c r="AB54" s="751">
        <v>43539903</v>
      </c>
      <c r="AC54" s="751">
        <v>307797</v>
      </c>
      <c r="AD54" s="751">
        <v>307797</v>
      </c>
      <c r="AE54" s="751">
        <v>21462155</v>
      </c>
      <c r="AF54" s="751">
        <v>17415961</v>
      </c>
      <c r="AG54" s="751">
        <v>4353990</v>
      </c>
      <c r="AH54" s="751">
        <v>0</v>
      </c>
      <c r="AI54" s="751">
        <v>43232106</v>
      </c>
      <c r="AJ54" s="751">
        <v>177333</v>
      </c>
      <c r="AK54" s="751">
        <v>177333</v>
      </c>
      <c r="AL54" s="751">
        <v>0</v>
      </c>
      <c r="AM54" s="751">
        <v>0</v>
      </c>
      <c r="AN54" s="751">
        <v>378052</v>
      </c>
      <c r="AO54" s="751">
        <v>0</v>
      </c>
      <c r="AP54" s="751">
        <v>378052</v>
      </c>
      <c r="AQ54" s="751">
        <v>0</v>
      </c>
      <c r="AR54" s="751">
        <v>0</v>
      </c>
      <c r="AS54" s="751">
        <v>0</v>
      </c>
      <c r="AT54" s="751">
        <v>0</v>
      </c>
      <c r="AU54" s="751">
        <v>307797</v>
      </c>
      <c r="AV54" s="751">
        <v>0</v>
      </c>
      <c r="AW54" s="751">
        <v>0</v>
      </c>
      <c r="AX54" s="751">
        <v>307797</v>
      </c>
      <c r="AY54" s="751">
        <v>0</v>
      </c>
      <c r="AZ54" s="751">
        <v>0</v>
      </c>
      <c r="BA54" s="751">
        <v>0</v>
      </c>
      <c r="BB54" s="751">
        <v>0</v>
      </c>
      <c r="BC54" s="751">
        <v>-11828272</v>
      </c>
      <c r="BD54" s="751">
        <v>-9462618</v>
      </c>
      <c r="BE54" s="751">
        <v>-2365654</v>
      </c>
      <c r="BF54" s="751">
        <v>0</v>
      </c>
      <c r="BG54" s="751">
        <v>-23656544</v>
      </c>
      <c r="BH54" s="751">
        <v>9633883</v>
      </c>
      <c r="BI54" s="751">
        <v>8816525</v>
      </c>
      <c r="BJ54" s="751">
        <v>1988336</v>
      </c>
      <c r="BK54" s="751">
        <v>0</v>
      </c>
      <c r="BL54" s="751">
        <v>20438744</v>
      </c>
      <c r="BM54" s="751">
        <v>943180</v>
      </c>
      <c r="BN54" s="751">
        <v>226861</v>
      </c>
      <c r="BO54" s="751">
        <v>0</v>
      </c>
      <c r="BP54" s="751">
        <v>1170041</v>
      </c>
      <c r="BQ54" s="751">
        <v>1375132</v>
      </c>
      <c r="BR54" s="751">
        <v>331927</v>
      </c>
      <c r="BS54" s="751">
        <v>0</v>
      </c>
      <c r="BT54" s="751">
        <v>1707059</v>
      </c>
      <c r="BU54" s="751">
        <v>89506</v>
      </c>
      <c r="BV54" s="751">
        <v>21149</v>
      </c>
      <c r="BW54" s="751">
        <v>0</v>
      </c>
      <c r="BX54" s="751">
        <v>110655</v>
      </c>
      <c r="BY54" s="751">
        <v>13006</v>
      </c>
      <c r="BZ54" s="751">
        <v>2758</v>
      </c>
      <c r="CA54" s="751">
        <v>0</v>
      </c>
      <c r="CB54" s="751">
        <v>15764</v>
      </c>
      <c r="CC54" s="751">
        <v>9460</v>
      </c>
      <c r="CD54" s="751">
        <v>2365</v>
      </c>
      <c r="CE54" s="751">
        <v>0</v>
      </c>
      <c r="CF54" s="751">
        <v>11825</v>
      </c>
      <c r="CG54" s="751">
        <v>4209</v>
      </c>
      <c r="CH54" s="751">
        <v>1052</v>
      </c>
      <c r="CI54" s="751">
        <v>0</v>
      </c>
      <c r="CJ54" s="751">
        <v>5261</v>
      </c>
      <c r="CK54" s="751">
        <v>0</v>
      </c>
      <c r="CL54" s="751">
        <v>0</v>
      </c>
      <c r="CM54" s="751">
        <v>0</v>
      </c>
      <c r="CN54" s="751">
        <v>0</v>
      </c>
      <c r="CO54" s="751">
        <v>0</v>
      </c>
      <c r="CP54" s="751">
        <v>0</v>
      </c>
      <c r="CQ54" s="751">
        <v>0</v>
      </c>
      <c r="CR54" s="751">
        <v>0</v>
      </c>
      <c r="CS54" s="751">
        <v>631</v>
      </c>
      <c r="CT54" s="751">
        <v>158</v>
      </c>
      <c r="CU54" s="751">
        <v>0</v>
      </c>
      <c r="CV54" s="751">
        <v>789</v>
      </c>
      <c r="CW54" s="751">
        <v>2435124</v>
      </c>
      <c r="CX54" s="751">
        <v>586270</v>
      </c>
      <c r="CY54" s="751">
        <v>0</v>
      </c>
      <c r="CZ54" s="751">
        <v>3021394</v>
      </c>
      <c r="DA54" s="662" t="s">
        <v>712</v>
      </c>
      <c r="DB54" s="324" t="s">
        <v>513</v>
      </c>
      <c r="DC54" s="663" t="s">
        <v>512</v>
      </c>
      <c r="DD54" s="529" t="s">
        <v>1261</v>
      </c>
    </row>
    <row r="55" spans="1:108" ht="12.75" x14ac:dyDescent="0.2">
      <c r="A55" s="664">
        <v>48</v>
      </c>
      <c r="B55" s="665" t="s">
        <v>715</v>
      </c>
      <c r="C55" s="666" t="s">
        <v>1201</v>
      </c>
      <c r="D55" s="667" t="s">
        <v>1211</v>
      </c>
      <c r="E55" s="668" t="s">
        <v>714</v>
      </c>
      <c r="F55" s="750">
        <v>14648947</v>
      </c>
      <c r="G55" s="751">
        <v>13067</v>
      </c>
      <c r="H55" s="751">
        <v>0</v>
      </c>
      <c r="I55" s="751">
        <v>75184</v>
      </c>
      <c r="J55" s="751">
        <v>0</v>
      </c>
      <c r="K55" s="751">
        <v>75184</v>
      </c>
      <c r="L55" s="751">
        <v>0</v>
      </c>
      <c r="M55" s="751">
        <v>0</v>
      </c>
      <c r="N55" s="751">
        <v>0</v>
      </c>
      <c r="O55" s="751">
        <v>0</v>
      </c>
      <c r="P55" s="751">
        <v>0</v>
      </c>
      <c r="Q55" s="751">
        <v>0</v>
      </c>
      <c r="R55" s="751">
        <v>14586830</v>
      </c>
      <c r="S55" s="749">
        <v>0.5</v>
      </c>
      <c r="T55" s="749">
        <v>0.4</v>
      </c>
      <c r="U55" s="749">
        <v>0.09</v>
      </c>
      <c r="V55" s="749">
        <v>0.01</v>
      </c>
      <c r="W55" s="749">
        <v>1</v>
      </c>
      <c r="X55" s="751">
        <v>7293415</v>
      </c>
      <c r="Y55" s="751">
        <v>5834732</v>
      </c>
      <c r="Z55" s="751">
        <v>1312815</v>
      </c>
      <c r="AA55" s="751">
        <v>145868</v>
      </c>
      <c r="AB55" s="751">
        <v>14586830</v>
      </c>
      <c r="AC55" s="751">
        <v>0</v>
      </c>
      <c r="AD55" s="751">
        <v>0</v>
      </c>
      <c r="AE55" s="751">
        <v>7293415</v>
      </c>
      <c r="AF55" s="751">
        <v>5834732</v>
      </c>
      <c r="AG55" s="751">
        <v>1312815</v>
      </c>
      <c r="AH55" s="751">
        <v>145868</v>
      </c>
      <c r="AI55" s="751">
        <v>14586830</v>
      </c>
      <c r="AJ55" s="751">
        <v>75184</v>
      </c>
      <c r="AK55" s="751">
        <v>75184</v>
      </c>
      <c r="AL55" s="751">
        <v>0</v>
      </c>
      <c r="AM55" s="751">
        <v>0</v>
      </c>
      <c r="AN55" s="751">
        <v>0</v>
      </c>
      <c r="AO55" s="751">
        <v>0</v>
      </c>
      <c r="AP55" s="751">
        <v>0</v>
      </c>
      <c r="AQ55" s="751">
        <v>0</v>
      </c>
      <c r="AR55" s="751">
        <v>0</v>
      </c>
      <c r="AS55" s="751">
        <v>0</v>
      </c>
      <c r="AT55" s="751">
        <v>0</v>
      </c>
      <c r="AU55" s="751">
        <v>0</v>
      </c>
      <c r="AV55" s="751">
        <v>0</v>
      </c>
      <c r="AW55" s="751">
        <v>0</v>
      </c>
      <c r="AX55" s="751">
        <v>0</v>
      </c>
      <c r="AY55" s="751">
        <v>0</v>
      </c>
      <c r="AZ55" s="751">
        <v>0</v>
      </c>
      <c r="BA55" s="751">
        <v>0</v>
      </c>
      <c r="BB55" s="751">
        <v>0</v>
      </c>
      <c r="BC55" s="751">
        <v>-4316347</v>
      </c>
      <c r="BD55" s="751">
        <v>-3453078</v>
      </c>
      <c r="BE55" s="751">
        <v>-776943</v>
      </c>
      <c r="BF55" s="751">
        <v>-86327</v>
      </c>
      <c r="BG55" s="751">
        <v>-8632695</v>
      </c>
      <c r="BH55" s="751">
        <v>2977068</v>
      </c>
      <c r="BI55" s="751">
        <v>2456838</v>
      </c>
      <c r="BJ55" s="751">
        <v>535872</v>
      </c>
      <c r="BK55" s="751">
        <v>59541</v>
      </c>
      <c r="BL55" s="751">
        <v>6029319</v>
      </c>
      <c r="BM55" s="751">
        <v>304014</v>
      </c>
      <c r="BN55" s="751">
        <v>68403</v>
      </c>
      <c r="BO55" s="751">
        <v>7600</v>
      </c>
      <c r="BP55" s="751">
        <v>380017</v>
      </c>
      <c r="BQ55" s="751">
        <v>1023022</v>
      </c>
      <c r="BR55" s="751">
        <v>230180</v>
      </c>
      <c r="BS55" s="751">
        <v>25576</v>
      </c>
      <c r="BT55" s="751">
        <v>1278778</v>
      </c>
      <c r="BU55" s="751">
        <v>33563</v>
      </c>
      <c r="BV55" s="751">
        <v>7552</v>
      </c>
      <c r="BW55" s="751">
        <v>839</v>
      </c>
      <c r="BX55" s="751">
        <v>41954</v>
      </c>
      <c r="BY55" s="751">
        <v>4786</v>
      </c>
      <c r="BZ55" s="751">
        <v>1077</v>
      </c>
      <c r="CA55" s="751">
        <v>120</v>
      </c>
      <c r="CB55" s="751">
        <v>5983</v>
      </c>
      <c r="CC55" s="751">
        <v>0</v>
      </c>
      <c r="CD55" s="751">
        <v>0</v>
      </c>
      <c r="CE55" s="751">
        <v>0</v>
      </c>
      <c r="CF55" s="751">
        <v>0</v>
      </c>
      <c r="CG55" s="751">
        <v>1641</v>
      </c>
      <c r="CH55" s="751">
        <v>369</v>
      </c>
      <c r="CI55" s="751">
        <v>41</v>
      </c>
      <c r="CJ55" s="751">
        <v>2051</v>
      </c>
      <c r="CK55" s="751">
        <v>0</v>
      </c>
      <c r="CL55" s="751">
        <v>0</v>
      </c>
      <c r="CM55" s="751">
        <v>0</v>
      </c>
      <c r="CN55" s="751">
        <v>0</v>
      </c>
      <c r="CO55" s="751">
        <v>0</v>
      </c>
      <c r="CP55" s="751">
        <v>0</v>
      </c>
      <c r="CQ55" s="751">
        <v>0</v>
      </c>
      <c r="CR55" s="751">
        <v>0</v>
      </c>
      <c r="CS55" s="751">
        <v>0</v>
      </c>
      <c r="CT55" s="751">
        <v>0</v>
      </c>
      <c r="CU55" s="751">
        <v>0</v>
      </c>
      <c r="CV55" s="751">
        <v>0</v>
      </c>
      <c r="CW55" s="751">
        <v>1367026</v>
      </c>
      <c r="CX55" s="751">
        <v>307581</v>
      </c>
      <c r="CY55" s="751">
        <v>34176</v>
      </c>
      <c r="CZ55" s="751">
        <v>1708783</v>
      </c>
      <c r="DA55" s="662" t="s">
        <v>714</v>
      </c>
      <c r="DB55" s="324" t="s">
        <v>528</v>
      </c>
      <c r="DC55" s="663" t="s">
        <v>1913</v>
      </c>
      <c r="DD55" s="529" t="s">
        <v>1262</v>
      </c>
    </row>
    <row r="56" spans="1:108" ht="14.25" x14ac:dyDescent="0.2">
      <c r="A56" s="664">
        <v>49</v>
      </c>
      <c r="B56" s="665" t="s">
        <v>717</v>
      </c>
      <c r="C56" s="666" t="s">
        <v>486</v>
      </c>
      <c r="D56" s="667" t="s">
        <v>1211</v>
      </c>
      <c r="E56" s="668" t="s">
        <v>1867</v>
      </c>
      <c r="F56" s="750">
        <v>111335418</v>
      </c>
      <c r="G56" s="751">
        <v>0</v>
      </c>
      <c r="H56" s="751">
        <v>31149</v>
      </c>
      <c r="I56" s="751">
        <v>298922</v>
      </c>
      <c r="J56" s="751">
        <v>0</v>
      </c>
      <c r="K56" s="751">
        <v>298922</v>
      </c>
      <c r="L56" s="751">
        <v>0</v>
      </c>
      <c r="M56" s="751">
        <v>0</v>
      </c>
      <c r="N56" s="751">
        <v>3223474</v>
      </c>
      <c r="O56" s="751">
        <v>3223474</v>
      </c>
      <c r="P56" s="751">
        <v>0</v>
      </c>
      <c r="Q56" s="751">
        <v>0</v>
      </c>
      <c r="R56" s="751">
        <v>107781873</v>
      </c>
      <c r="S56" s="749">
        <v>0.5</v>
      </c>
      <c r="T56" s="749">
        <v>0.49</v>
      </c>
      <c r="U56" s="749">
        <v>0</v>
      </c>
      <c r="V56" s="749">
        <v>0.01</v>
      </c>
      <c r="W56" s="749">
        <v>1</v>
      </c>
      <c r="X56" s="751">
        <v>53890936</v>
      </c>
      <c r="Y56" s="751">
        <v>52813118</v>
      </c>
      <c r="Z56" s="751">
        <v>0</v>
      </c>
      <c r="AA56" s="751">
        <v>1077819</v>
      </c>
      <c r="AB56" s="751">
        <v>107781873</v>
      </c>
      <c r="AC56" s="751">
        <v>0</v>
      </c>
      <c r="AD56" s="751">
        <v>0</v>
      </c>
      <c r="AE56" s="751">
        <v>53890936</v>
      </c>
      <c r="AF56" s="751">
        <v>52813118</v>
      </c>
      <c r="AG56" s="751">
        <v>0</v>
      </c>
      <c r="AH56" s="751">
        <v>1077819</v>
      </c>
      <c r="AI56" s="751">
        <v>107781873</v>
      </c>
      <c r="AJ56" s="751">
        <v>298922</v>
      </c>
      <c r="AK56" s="751">
        <v>298922</v>
      </c>
      <c r="AL56" s="751">
        <v>0</v>
      </c>
      <c r="AM56" s="751">
        <v>0</v>
      </c>
      <c r="AN56" s="751">
        <v>3223474</v>
      </c>
      <c r="AO56" s="751">
        <v>0</v>
      </c>
      <c r="AP56" s="751">
        <v>3223474</v>
      </c>
      <c r="AQ56" s="751">
        <v>0</v>
      </c>
      <c r="AR56" s="751">
        <v>0</v>
      </c>
      <c r="AS56" s="751">
        <v>0</v>
      </c>
      <c r="AT56" s="751">
        <v>0</v>
      </c>
      <c r="AU56" s="751">
        <v>0</v>
      </c>
      <c r="AV56" s="751">
        <v>0</v>
      </c>
      <c r="AW56" s="751">
        <v>0</v>
      </c>
      <c r="AX56" s="751">
        <v>0</v>
      </c>
      <c r="AY56" s="751">
        <v>0</v>
      </c>
      <c r="AZ56" s="751">
        <v>0</v>
      </c>
      <c r="BA56" s="751">
        <v>0</v>
      </c>
      <c r="BB56" s="751">
        <v>0</v>
      </c>
      <c r="BC56" s="751">
        <v>-20904931</v>
      </c>
      <c r="BD56" s="751">
        <v>-20486832</v>
      </c>
      <c r="BE56" s="751">
        <v>0</v>
      </c>
      <c r="BF56" s="751">
        <v>-418099</v>
      </c>
      <c r="BG56" s="751">
        <v>-41809861</v>
      </c>
      <c r="BH56" s="751">
        <v>32986005</v>
      </c>
      <c r="BI56" s="751">
        <v>35848682</v>
      </c>
      <c r="BJ56" s="751">
        <v>0</v>
      </c>
      <c r="BK56" s="751">
        <v>659720</v>
      </c>
      <c r="BL56" s="751">
        <v>69494408</v>
      </c>
      <c r="BM56" s="751">
        <v>2919742</v>
      </c>
      <c r="BN56" s="751">
        <v>0</v>
      </c>
      <c r="BO56" s="751">
        <v>56159</v>
      </c>
      <c r="BP56" s="751">
        <v>2975901</v>
      </c>
      <c r="BQ56" s="751">
        <v>3249234</v>
      </c>
      <c r="BR56" s="751">
        <v>0</v>
      </c>
      <c r="BS56" s="751">
        <v>66311</v>
      </c>
      <c r="BT56" s="751">
        <v>3315545</v>
      </c>
      <c r="BU56" s="751">
        <v>197322</v>
      </c>
      <c r="BV56" s="751">
        <v>0</v>
      </c>
      <c r="BW56" s="751">
        <v>3918</v>
      </c>
      <c r="BX56" s="751">
        <v>201240</v>
      </c>
      <c r="BY56" s="751">
        <v>0</v>
      </c>
      <c r="BZ56" s="751">
        <v>0</v>
      </c>
      <c r="CA56" s="751">
        <v>0</v>
      </c>
      <c r="CB56" s="751">
        <v>0</v>
      </c>
      <c r="CC56" s="751">
        <v>4824</v>
      </c>
      <c r="CD56" s="751">
        <v>0</v>
      </c>
      <c r="CE56" s="751">
        <v>98</v>
      </c>
      <c r="CF56" s="751">
        <v>4922</v>
      </c>
      <c r="CG56" s="751">
        <v>10865</v>
      </c>
      <c r="CH56" s="751">
        <v>0</v>
      </c>
      <c r="CI56" s="751">
        <v>222</v>
      </c>
      <c r="CJ56" s="751">
        <v>11087</v>
      </c>
      <c r="CK56" s="751">
        <v>0</v>
      </c>
      <c r="CL56" s="751">
        <v>0</v>
      </c>
      <c r="CM56" s="751">
        <v>0</v>
      </c>
      <c r="CN56" s="751">
        <v>0</v>
      </c>
      <c r="CO56" s="751">
        <v>0</v>
      </c>
      <c r="CP56" s="751">
        <v>0</v>
      </c>
      <c r="CQ56" s="751">
        <v>0</v>
      </c>
      <c r="CR56" s="751">
        <v>0</v>
      </c>
      <c r="CS56" s="751">
        <v>0</v>
      </c>
      <c r="CT56" s="751">
        <v>0</v>
      </c>
      <c r="CU56" s="751">
        <v>0</v>
      </c>
      <c r="CV56" s="751">
        <v>0</v>
      </c>
      <c r="CW56" s="751">
        <v>6381987</v>
      </c>
      <c r="CX56" s="751">
        <v>0</v>
      </c>
      <c r="CY56" s="751">
        <v>126708</v>
      </c>
      <c r="CZ56" s="751">
        <v>6508695</v>
      </c>
      <c r="DA56" s="662" t="s">
        <v>716</v>
      </c>
      <c r="DB56" s="324" t="s">
        <v>486</v>
      </c>
      <c r="DC56" s="663" t="s">
        <v>492</v>
      </c>
      <c r="DD56" s="529" t="s">
        <v>1263</v>
      </c>
    </row>
    <row r="57" spans="1:108" ht="12.75" x14ac:dyDescent="0.2">
      <c r="A57" s="664">
        <v>50</v>
      </c>
      <c r="B57" s="665" t="s">
        <v>719</v>
      </c>
      <c r="C57" s="666" t="s">
        <v>1201</v>
      </c>
      <c r="D57" s="667" t="s">
        <v>1206</v>
      </c>
      <c r="E57" s="668" t="s">
        <v>718</v>
      </c>
      <c r="F57" s="750">
        <v>46200398</v>
      </c>
      <c r="G57" s="751">
        <v>114558</v>
      </c>
      <c r="H57" s="751">
        <v>0</v>
      </c>
      <c r="I57" s="751">
        <v>186647</v>
      </c>
      <c r="J57" s="751">
        <v>0</v>
      </c>
      <c r="K57" s="751">
        <v>186647</v>
      </c>
      <c r="L57" s="751">
        <v>0</v>
      </c>
      <c r="M57" s="751">
        <v>981134</v>
      </c>
      <c r="N57" s="751">
        <v>234751</v>
      </c>
      <c r="O57" s="751">
        <v>230360</v>
      </c>
      <c r="P57" s="751">
        <v>4391</v>
      </c>
      <c r="Q57" s="751">
        <v>0</v>
      </c>
      <c r="R57" s="751">
        <v>44912424</v>
      </c>
      <c r="S57" s="749">
        <v>0.5</v>
      </c>
      <c r="T57" s="749">
        <v>0.4</v>
      </c>
      <c r="U57" s="749">
        <v>0.09</v>
      </c>
      <c r="V57" s="749">
        <v>0.01</v>
      </c>
      <c r="W57" s="749">
        <v>1</v>
      </c>
      <c r="X57" s="751">
        <v>22456212</v>
      </c>
      <c r="Y57" s="751">
        <v>17964970</v>
      </c>
      <c r="Z57" s="751">
        <v>4042118</v>
      </c>
      <c r="AA57" s="751">
        <v>449124</v>
      </c>
      <c r="AB57" s="751">
        <v>44912424</v>
      </c>
      <c r="AC57" s="751">
        <v>55000</v>
      </c>
      <c r="AD57" s="751">
        <v>55000</v>
      </c>
      <c r="AE57" s="751">
        <v>22401212</v>
      </c>
      <c r="AF57" s="751">
        <v>17964970</v>
      </c>
      <c r="AG57" s="751">
        <v>4042118</v>
      </c>
      <c r="AH57" s="751">
        <v>449124</v>
      </c>
      <c r="AI57" s="751">
        <v>44857424</v>
      </c>
      <c r="AJ57" s="751">
        <v>186647</v>
      </c>
      <c r="AK57" s="751">
        <v>186647</v>
      </c>
      <c r="AL57" s="751">
        <v>981134</v>
      </c>
      <c r="AM57" s="751">
        <v>981134</v>
      </c>
      <c r="AN57" s="751">
        <v>230360</v>
      </c>
      <c r="AO57" s="751">
        <v>4391</v>
      </c>
      <c r="AP57" s="751">
        <v>234751</v>
      </c>
      <c r="AQ57" s="751">
        <v>0</v>
      </c>
      <c r="AR57" s="751">
        <v>0</v>
      </c>
      <c r="AS57" s="751">
        <v>0</v>
      </c>
      <c r="AT57" s="751">
        <v>0</v>
      </c>
      <c r="AU57" s="751">
        <v>55000</v>
      </c>
      <c r="AV57" s="751">
        <v>0</v>
      </c>
      <c r="AW57" s="751">
        <v>0</v>
      </c>
      <c r="AX57" s="751">
        <v>55000</v>
      </c>
      <c r="AY57" s="751">
        <v>0</v>
      </c>
      <c r="AZ57" s="751">
        <v>0</v>
      </c>
      <c r="BA57" s="751">
        <v>0</v>
      </c>
      <c r="BB57" s="751">
        <v>0</v>
      </c>
      <c r="BC57" s="751">
        <v>-8686335</v>
      </c>
      <c r="BD57" s="751">
        <v>-6495958</v>
      </c>
      <c r="BE57" s="751">
        <v>-734997</v>
      </c>
      <c r="BF57" s="751">
        <v>-160781</v>
      </c>
      <c r="BG57" s="751">
        <v>-16078070</v>
      </c>
      <c r="BH57" s="751">
        <v>13714877</v>
      </c>
      <c r="BI57" s="751">
        <v>12922153</v>
      </c>
      <c r="BJ57" s="751">
        <v>3311512</v>
      </c>
      <c r="BK57" s="751">
        <v>288343</v>
      </c>
      <c r="BL57" s="751">
        <v>30236886</v>
      </c>
      <c r="BM57" s="751">
        <v>1002040</v>
      </c>
      <c r="BN57" s="751">
        <v>210840</v>
      </c>
      <c r="BO57" s="751">
        <v>23401</v>
      </c>
      <c r="BP57" s="751">
        <v>1236281</v>
      </c>
      <c r="BQ57" s="751">
        <v>1883498</v>
      </c>
      <c r="BR57" s="751">
        <v>423787</v>
      </c>
      <c r="BS57" s="751">
        <v>47087</v>
      </c>
      <c r="BT57" s="751">
        <v>2354372</v>
      </c>
      <c r="BU57" s="751">
        <v>104756</v>
      </c>
      <c r="BV57" s="751">
        <v>23570</v>
      </c>
      <c r="BW57" s="751">
        <v>2619</v>
      </c>
      <c r="BX57" s="751">
        <v>130945</v>
      </c>
      <c r="BY57" s="751">
        <v>1998</v>
      </c>
      <c r="BZ57" s="751">
        <v>449</v>
      </c>
      <c r="CA57" s="751">
        <v>50</v>
      </c>
      <c r="CB57" s="751">
        <v>2497</v>
      </c>
      <c r="CC57" s="751">
        <v>1133</v>
      </c>
      <c r="CD57" s="751">
        <v>255</v>
      </c>
      <c r="CE57" s="751">
        <v>28</v>
      </c>
      <c r="CF57" s="751">
        <v>1416</v>
      </c>
      <c r="CG57" s="751">
        <v>15935</v>
      </c>
      <c r="CH57" s="751">
        <v>3586</v>
      </c>
      <c r="CI57" s="751">
        <v>398</v>
      </c>
      <c r="CJ57" s="751">
        <v>19919</v>
      </c>
      <c r="CK57" s="751">
        <v>0</v>
      </c>
      <c r="CL57" s="751">
        <v>0</v>
      </c>
      <c r="CM57" s="751">
        <v>0</v>
      </c>
      <c r="CN57" s="751">
        <v>0</v>
      </c>
      <c r="CO57" s="751">
        <v>0</v>
      </c>
      <c r="CP57" s="751">
        <v>0</v>
      </c>
      <c r="CQ57" s="751">
        <v>0</v>
      </c>
      <c r="CR57" s="751">
        <v>0</v>
      </c>
      <c r="CS57" s="751">
        <v>0</v>
      </c>
      <c r="CT57" s="751">
        <v>0</v>
      </c>
      <c r="CU57" s="751">
        <v>0</v>
      </c>
      <c r="CV57" s="751">
        <v>0</v>
      </c>
      <c r="CW57" s="751">
        <v>3009360</v>
      </c>
      <c r="CX57" s="751">
        <v>662487</v>
      </c>
      <c r="CY57" s="751">
        <v>73583</v>
      </c>
      <c r="CZ57" s="751">
        <v>3745430</v>
      </c>
      <c r="DA57" s="662" t="s">
        <v>718</v>
      </c>
      <c r="DB57" s="324" t="s">
        <v>551</v>
      </c>
      <c r="DC57" s="663" t="s">
        <v>549</v>
      </c>
      <c r="DD57" s="529" t="s">
        <v>1264</v>
      </c>
    </row>
    <row r="58" spans="1:108" ht="12.75" x14ac:dyDescent="0.2">
      <c r="A58" s="664">
        <v>51</v>
      </c>
      <c r="B58" s="665" t="s">
        <v>721</v>
      </c>
      <c r="C58" s="666" t="s">
        <v>1201</v>
      </c>
      <c r="D58" s="667" t="s">
        <v>1211</v>
      </c>
      <c r="E58" s="668" t="s">
        <v>720</v>
      </c>
      <c r="F58" s="750">
        <v>78045134</v>
      </c>
      <c r="G58" s="751">
        <v>0</v>
      </c>
      <c r="H58" s="751">
        <v>107428</v>
      </c>
      <c r="I58" s="751">
        <v>220629</v>
      </c>
      <c r="J58" s="751">
        <v>0</v>
      </c>
      <c r="K58" s="751">
        <v>220629</v>
      </c>
      <c r="L58" s="751">
        <v>0</v>
      </c>
      <c r="M58" s="751">
        <v>0</v>
      </c>
      <c r="N58" s="751">
        <v>0</v>
      </c>
      <c r="O58" s="751">
        <v>0</v>
      </c>
      <c r="P58" s="751">
        <v>0</v>
      </c>
      <c r="Q58" s="751">
        <v>0</v>
      </c>
      <c r="R58" s="751">
        <v>77717077</v>
      </c>
      <c r="S58" s="749">
        <v>0.5</v>
      </c>
      <c r="T58" s="749">
        <v>0.4</v>
      </c>
      <c r="U58" s="749">
        <v>0.09</v>
      </c>
      <c r="V58" s="749">
        <v>0.01</v>
      </c>
      <c r="W58" s="749">
        <v>1</v>
      </c>
      <c r="X58" s="751">
        <v>38858538</v>
      </c>
      <c r="Y58" s="751">
        <v>31086831</v>
      </c>
      <c r="Z58" s="751">
        <v>6994537</v>
      </c>
      <c r="AA58" s="751">
        <v>777171</v>
      </c>
      <c r="AB58" s="751">
        <v>77717077</v>
      </c>
      <c r="AC58" s="751">
        <v>0</v>
      </c>
      <c r="AD58" s="751">
        <v>0</v>
      </c>
      <c r="AE58" s="751">
        <v>38858538</v>
      </c>
      <c r="AF58" s="751">
        <v>31086831</v>
      </c>
      <c r="AG58" s="751">
        <v>6994537</v>
      </c>
      <c r="AH58" s="751">
        <v>777171</v>
      </c>
      <c r="AI58" s="751">
        <v>77717077</v>
      </c>
      <c r="AJ58" s="751">
        <v>220629</v>
      </c>
      <c r="AK58" s="751">
        <v>220629</v>
      </c>
      <c r="AL58" s="751">
        <v>0</v>
      </c>
      <c r="AM58" s="751">
        <v>0</v>
      </c>
      <c r="AN58" s="751">
        <v>0</v>
      </c>
      <c r="AO58" s="751">
        <v>0</v>
      </c>
      <c r="AP58" s="751">
        <v>0</v>
      </c>
      <c r="AQ58" s="751">
        <v>0</v>
      </c>
      <c r="AR58" s="751">
        <v>0</v>
      </c>
      <c r="AS58" s="751">
        <v>0</v>
      </c>
      <c r="AT58" s="751">
        <v>0</v>
      </c>
      <c r="AU58" s="751">
        <v>0</v>
      </c>
      <c r="AV58" s="751">
        <v>0</v>
      </c>
      <c r="AW58" s="751">
        <v>0</v>
      </c>
      <c r="AX58" s="751">
        <v>0</v>
      </c>
      <c r="AY58" s="751">
        <v>0</v>
      </c>
      <c r="AZ58" s="751">
        <v>0</v>
      </c>
      <c r="BA58" s="751">
        <v>0</v>
      </c>
      <c r="BB58" s="751">
        <v>0</v>
      </c>
      <c r="BC58" s="751">
        <v>-22520633</v>
      </c>
      <c r="BD58" s="751">
        <v>-18016506</v>
      </c>
      <c r="BE58" s="751">
        <v>-4053714</v>
      </c>
      <c r="BF58" s="751">
        <v>-450413</v>
      </c>
      <c r="BG58" s="751">
        <v>-45041266</v>
      </c>
      <c r="BH58" s="751">
        <v>16337905</v>
      </c>
      <c r="BI58" s="751">
        <v>13290954</v>
      </c>
      <c r="BJ58" s="751">
        <v>2940823</v>
      </c>
      <c r="BK58" s="751">
        <v>326758</v>
      </c>
      <c r="BL58" s="751">
        <v>32896440</v>
      </c>
      <c r="BM58" s="751">
        <v>1619755</v>
      </c>
      <c r="BN58" s="751">
        <v>364445</v>
      </c>
      <c r="BO58" s="751">
        <v>40494</v>
      </c>
      <c r="BP58" s="751">
        <v>2024694</v>
      </c>
      <c r="BQ58" s="751">
        <v>1778252</v>
      </c>
      <c r="BR58" s="751">
        <v>400107</v>
      </c>
      <c r="BS58" s="751">
        <v>44456</v>
      </c>
      <c r="BT58" s="751">
        <v>2222815</v>
      </c>
      <c r="BU58" s="751">
        <v>125905</v>
      </c>
      <c r="BV58" s="751">
        <v>28329</v>
      </c>
      <c r="BW58" s="751">
        <v>3148</v>
      </c>
      <c r="BX58" s="751">
        <v>157382</v>
      </c>
      <c r="BY58" s="751">
        <v>0</v>
      </c>
      <c r="BZ58" s="751">
        <v>0</v>
      </c>
      <c r="CA58" s="751">
        <v>0</v>
      </c>
      <c r="CB58" s="751">
        <v>0</v>
      </c>
      <c r="CC58" s="751">
        <v>1536</v>
      </c>
      <c r="CD58" s="751">
        <v>345</v>
      </c>
      <c r="CE58" s="751">
        <v>38</v>
      </c>
      <c r="CF58" s="751">
        <v>1919</v>
      </c>
      <c r="CG58" s="751">
        <v>9058</v>
      </c>
      <c r="CH58" s="751">
        <v>2038</v>
      </c>
      <c r="CI58" s="751">
        <v>226</v>
      </c>
      <c r="CJ58" s="751">
        <v>11322</v>
      </c>
      <c r="CK58" s="751">
        <v>0</v>
      </c>
      <c r="CL58" s="751">
        <v>0</v>
      </c>
      <c r="CM58" s="751">
        <v>0</v>
      </c>
      <c r="CN58" s="751">
        <v>0</v>
      </c>
      <c r="CO58" s="751">
        <v>0</v>
      </c>
      <c r="CP58" s="751">
        <v>0</v>
      </c>
      <c r="CQ58" s="751">
        <v>0</v>
      </c>
      <c r="CR58" s="751">
        <v>0</v>
      </c>
      <c r="CS58" s="751">
        <v>0</v>
      </c>
      <c r="CT58" s="751">
        <v>0</v>
      </c>
      <c r="CU58" s="751">
        <v>0</v>
      </c>
      <c r="CV58" s="751">
        <v>0</v>
      </c>
      <c r="CW58" s="751">
        <v>3534506</v>
      </c>
      <c r="CX58" s="751">
        <v>795264</v>
      </c>
      <c r="CY58" s="751">
        <v>88362</v>
      </c>
      <c r="CZ58" s="751">
        <v>4418132</v>
      </c>
      <c r="DA58" s="662" t="s">
        <v>720</v>
      </c>
      <c r="DB58" s="324" t="s">
        <v>528</v>
      </c>
      <c r="DC58" s="663" t="s">
        <v>1913</v>
      </c>
      <c r="DD58" s="529" t="s">
        <v>1265</v>
      </c>
    </row>
    <row r="59" spans="1:108" ht="12.75" x14ac:dyDescent="0.2">
      <c r="A59" s="664">
        <v>52</v>
      </c>
      <c r="B59" s="665" t="s">
        <v>723</v>
      </c>
      <c r="C59" s="666" t="s">
        <v>1201</v>
      </c>
      <c r="D59" s="667" t="s">
        <v>1224</v>
      </c>
      <c r="E59" s="668" t="s">
        <v>722</v>
      </c>
      <c r="F59" s="750">
        <v>55166146</v>
      </c>
      <c r="G59" s="751">
        <v>0</v>
      </c>
      <c r="H59" s="751">
        <v>139226</v>
      </c>
      <c r="I59" s="751">
        <v>164488</v>
      </c>
      <c r="J59" s="751">
        <v>0</v>
      </c>
      <c r="K59" s="751">
        <v>164488</v>
      </c>
      <c r="L59" s="751">
        <v>0</v>
      </c>
      <c r="M59" s="751">
        <v>0</v>
      </c>
      <c r="N59" s="751">
        <v>0</v>
      </c>
      <c r="O59" s="751">
        <v>0</v>
      </c>
      <c r="P59" s="751">
        <v>0</v>
      </c>
      <c r="Q59" s="751">
        <v>0</v>
      </c>
      <c r="R59" s="751">
        <v>54862432</v>
      </c>
      <c r="S59" s="749">
        <v>0.5</v>
      </c>
      <c r="T59" s="749">
        <v>0.4</v>
      </c>
      <c r="U59" s="749">
        <v>0.1</v>
      </c>
      <c r="V59" s="749">
        <v>0</v>
      </c>
      <c r="W59" s="749">
        <v>1</v>
      </c>
      <c r="X59" s="751">
        <v>27431216</v>
      </c>
      <c r="Y59" s="751">
        <v>21944973</v>
      </c>
      <c r="Z59" s="751">
        <v>5486243</v>
      </c>
      <c r="AA59" s="751">
        <v>0</v>
      </c>
      <c r="AB59" s="751">
        <v>54862432</v>
      </c>
      <c r="AC59" s="751">
        <v>0</v>
      </c>
      <c r="AD59" s="751">
        <v>0</v>
      </c>
      <c r="AE59" s="751">
        <v>27431216</v>
      </c>
      <c r="AF59" s="751">
        <v>21944973</v>
      </c>
      <c r="AG59" s="751">
        <v>5486243</v>
      </c>
      <c r="AH59" s="751">
        <v>0</v>
      </c>
      <c r="AI59" s="751">
        <v>54862432</v>
      </c>
      <c r="AJ59" s="751">
        <v>164488</v>
      </c>
      <c r="AK59" s="751">
        <v>164488</v>
      </c>
      <c r="AL59" s="751">
        <v>0</v>
      </c>
      <c r="AM59" s="751">
        <v>0</v>
      </c>
      <c r="AN59" s="751">
        <v>0</v>
      </c>
      <c r="AO59" s="751">
        <v>0</v>
      </c>
      <c r="AP59" s="751">
        <v>0</v>
      </c>
      <c r="AQ59" s="751">
        <v>0</v>
      </c>
      <c r="AR59" s="751">
        <v>0</v>
      </c>
      <c r="AS59" s="751">
        <v>0</v>
      </c>
      <c r="AT59" s="751">
        <v>0</v>
      </c>
      <c r="AU59" s="751">
        <v>0</v>
      </c>
      <c r="AV59" s="751">
        <v>0</v>
      </c>
      <c r="AW59" s="751">
        <v>0</v>
      </c>
      <c r="AX59" s="751">
        <v>0</v>
      </c>
      <c r="AY59" s="751">
        <v>0</v>
      </c>
      <c r="AZ59" s="751">
        <v>0</v>
      </c>
      <c r="BA59" s="751">
        <v>0</v>
      </c>
      <c r="BB59" s="751">
        <v>0</v>
      </c>
      <c r="BC59" s="751">
        <v>-17618246</v>
      </c>
      <c r="BD59" s="751">
        <v>-14094597</v>
      </c>
      <c r="BE59" s="751">
        <v>-3523649</v>
      </c>
      <c r="BF59" s="751">
        <v>0</v>
      </c>
      <c r="BG59" s="751">
        <v>-35236492</v>
      </c>
      <c r="BH59" s="751">
        <v>9812970</v>
      </c>
      <c r="BI59" s="751">
        <v>8014864</v>
      </c>
      <c r="BJ59" s="751">
        <v>1962594</v>
      </c>
      <c r="BK59" s="751">
        <v>0</v>
      </c>
      <c r="BL59" s="751">
        <v>19790428</v>
      </c>
      <c r="BM59" s="751">
        <v>1143425</v>
      </c>
      <c r="BN59" s="751">
        <v>285856</v>
      </c>
      <c r="BO59" s="751">
        <v>0</v>
      </c>
      <c r="BP59" s="751">
        <v>1429281</v>
      </c>
      <c r="BQ59" s="751">
        <v>1179693</v>
      </c>
      <c r="BR59" s="751">
        <v>294923</v>
      </c>
      <c r="BS59" s="751">
        <v>0</v>
      </c>
      <c r="BT59" s="751">
        <v>1474616</v>
      </c>
      <c r="BU59" s="751">
        <v>93777</v>
      </c>
      <c r="BV59" s="751">
        <v>23444</v>
      </c>
      <c r="BW59" s="751">
        <v>0</v>
      </c>
      <c r="BX59" s="751">
        <v>117221</v>
      </c>
      <c r="BY59" s="751">
        <v>0</v>
      </c>
      <c r="BZ59" s="751">
        <v>0</v>
      </c>
      <c r="CA59" s="751">
        <v>0</v>
      </c>
      <c r="CB59" s="751">
        <v>0</v>
      </c>
      <c r="CC59" s="751">
        <v>0</v>
      </c>
      <c r="CD59" s="751">
        <v>0</v>
      </c>
      <c r="CE59" s="751">
        <v>0</v>
      </c>
      <c r="CF59" s="751">
        <v>0</v>
      </c>
      <c r="CG59" s="751">
        <v>3334</v>
      </c>
      <c r="CH59" s="751">
        <v>834</v>
      </c>
      <c r="CI59" s="751">
        <v>0</v>
      </c>
      <c r="CJ59" s="751">
        <v>4168</v>
      </c>
      <c r="CK59" s="751">
        <v>0</v>
      </c>
      <c r="CL59" s="751">
        <v>0</v>
      </c>
      <c r="CM59" s="751">
        <v>0</v>
      </c>
      <c r="CN59" s="751">
        <v>0</v>
      </c>
      <c r="CO59" s="751">
        <v>0</v>
      </c>
      <c r="CP59" s="751">
        <v>0</v>
      </c>
      <c r="CQ59" s="751">
        <v>0</v>
      </c>
      <c r="CR59" s="751">
        <v>0</v>
      </c>
      <c r="CS59" s="751">
        <v>0</v>
      </c>
      <c r="CT59" s="751">
        <v>0</v>
      </c>
      <c r="CU59" s="751">
        <v>0</v>
      </c>
      <c r="CV59" s="751">
        <v>0</v>
      </c>
      <c r="CW59" s="751">
        <v>2420229</v>
      </c>
      <c r="CX59" s="751">
        <v>605057</v>
      </c>
      <c r="CY59" s="751">
        <v>0</v>
      </c>
      <c r="CZ59" s="751">
        <v>3025286</v>
      </c>
      <c r="DA59" s="662" t="s">
        <v>722</v>
      </c>
      <c r="DB59" s="324" t="s">
        <v>529</v>
      </c>
      <c r="DC59" s="663" t="s">
        <v>512</v>
      </c>
      <c r="DD59" s="529" t="s">
        <v>1266</v>
      </c>
    </row>
    <row r="60" spans="1:108" ht="12.75" x14ac:dyDescent="0.2">
      <c r="A60" s="664">
        <v>53</v>
      </c>
      <c r="B60" s="665" t="s">
        <v>725</v>
      </c>
      <c r="C60" s="666" t="s">
        <v>1201</v>
      </c>
      <c r="D60" s="667" t="s">
        <v>1202</v>
      </c>
      <c r="E60" s="668" t="s">
        <v>724</v>
      </c>
      <c r="F60" s="750">
        <v>95224404</v>
      </c>
      <c r="G60" s="751">
        <v>244361</v>
      </c>
      <c r="H60" s="751">
        <v>0</v>
      </c>
      <c r="I60" s="751">
        <v>235179</v>
      </c>
      <c r="J60" s="751">
        <v>0</v>
      </c>
      <c r="K60" s="751">
        <v>235179</v>
      </c>
      <c r="L60" s="751">
        <v>0</v>
      </c>
      <c r="M60" s="751">
        <v>0</v>
      </c>
      <c r="N60" s="751">
        <v>491016</v>
      </c>
      <c r="O60" s="751">
        <v>243976</v>
      </c>
      <c r="P60" s="751">
        <v>247040</v>
      </c>
      <c r="Q60" s="751">
        <v>0</v>
      </c>
      <c r="R60" s="751">
        <v>94742570</v>
      </c>
      <c r="S60" s="749">
        <v>0.5</v>
      </c>
      <c r="T60" s="749">
        <v>0.4</v>
      </c>
      <c r="U60" s="749">
        <v>0.1</v>
      </c>
      <c r="V60" s="749">
        <v>0</v>
      </c>
      <c r="W60" s="749">
        <v>1</v>
      </c>
      <c r="X60" s="751">
        <v>47371285</v>
      </c>
      <c r="Y60" s="751">
        <v>37897028</v>
      </c>
      <c r="Z60" s="751">
        <v>9474257</v>
      </c>
      <c r="AA60" s="751">
        <v>0</v>
      </c>
      <c r="AB60" s="751">
        <v>94742570</v>
      </c>
      <c r="AC60" s="751">
        <v>0</v>
      </c>
      <c r="AD60" s="751">
        <v>0</v>
      </c>
      <c r="AE60" s="751">
        <v>47371285</v>
      </c>
      <c r="AF60" s="751">
        <v>37897028</v>
      </c>
      <c r="AG60" s="751">
        <v>9474257</v>
      </c>
      <c r="AH60" s="751">
        <v>0</v>
      </c>
      <c r="AI60" s="751">
        <v>94742570</v>
      </c>
      <c r="AJ60" s="751">
        <v>235179</v>
      </c>
      <c r="AK60" s="751">
        <v>235179</v>
      </c>
      <c r="AL60" s="751">
        <v>0</v>
      </c>
      <c r="AM60" s="751">
        <v>0</v>
      </c>
      <c r="AN60" s="751">
        <v>243976</v>
      </c>
      <c r="AO60" s="751">
        <v>247040</v>
      </c>
      <c r="AP60" s="751">
        <v>491016</v>
      </c>
      <c r="AQ60" s="751">
        <v>0</v>
      </c>
      <c r="AR60" s="751">
        <v>0</v>
      </c>
      <c r="AS60" s="751">
        <v>0</v>
      </c>
      <c r="AT60" s="751">
        <v>0</v>
      </c>
      <c r="AU60" s="751">
        <v>0</v>
      </c>
      <c r="AV60" s="751">
        <v>0</v>
      </c>
      <c r="AW60" s="751">
        <v>0</v>
      </c>
      <c r="AX60" s="751">
        <v>0</v>
      </c>
      <c r="AY60" s="751">
        <v>0</v>
      </c>
      <c r="AZ60" s="751">
        <v>0</v>
      </c>
      <c r="BA60" s="751">
        <v>0</v>
      </c>
      <c r="BB60" s="751">
        <v>0</v>
      </c>
      <c r="BC60" s="751">
        <v>-29009140</v>
      </c>
      <c r="BD60" s="751">
        <v>-23207312</v>
      </c>
      <c r="BE60" s="751">
        <v>-5801828</v>
      </c>
      <c r="BF60" s="751">
        <v>0</v>
      </c>
      <c r="BG60" s="751">
        <v>-58018279</v>
      </c>
      <c r="BH60" s="751">
        <v>18362145</v>
      </c>
      <c r="BI60" s="751">
        <v>15168871</v>
      </c>
      <c r="BJ60" s="751">
        <v>3919469</v>
      </c>
      <c r="BK60" s="751">
        <v>0</v>
      </c>
      <c r="BL60" s="751">
        <v>37450486</v>
      </c>
      <c r="BM60" s="751">
        <v>1987307</v>
      </c>
      <c r="BN60" s="751">
        <v>506520</v>
      </c>
      <c r="BO60" s="751">
        <v>0</v>
      </c>
      <c r="BP60" s="751">
        <v>2493827</v>
      </c>
      <c r="BQ60" s="751">
        <v>1441877</v>
      </c>
      <c r="BR60" s="751">
        <v>360469</v>
      </c>
      <c r="BS60" s="751">
        <v>0</v>
      </c>
      <c r="BT60" s="751">
        <v>1802346</v>
      </c>
      <c r="BU60" s="751">
        <v>135778</v>
      </c>
      <c r="BV60" s="751">
        <v>33944</v>
      </c>
      <c r="BW60" s="751">
        <v>0</v>
      </c>
      <c r="BX60" s="751">
        <v>169722</v>
      </c>
      <c r="BY60" s="751">
        <v>0</v>
      </c>
      <c r="BZ60" s="751">
        <v>0</v>
      </c>
      <c r="CA60" s="751">
        <v>0</v>
      </c>
      <c r="CB60" s="751">
        <v>0</v>
      </c>
      <c r="CC60" s="751">
        <v>23828</v>
      </c>
      <c r="CD60" s="751">
        <v>5957</v>
      </c>
      <c r="CE60" s="751">
        <v>0</v>
      </c>
      <c r="CF60" s="751">
        <v>29785</v>
      </c>
      <c r="CG60" s="751">
        <v>19033</v>
      </c>
      <c r="CH60" s="751">
        <v>4758</v>
      </c>
      <c r="CI60" s="751">
        <v>0</v>
      </c>
      <c r="CJ60" s="751">
        <v>23791</v>
      </c>
      <c r="CK60" s="751">
        <v>0</v>
      </c>
      <c r="CL60" s="751">
        <v>0</v>
      </c>
      <c r="CM60" s="751">
        <v>0</v>
      </c>
      <c r="CN60" s="751">
        <v>0</v>
      </c>
      <c r="CO60" s="751">
        <v>0</v>
      </c>
      <c r="CP60" s="751">
        <v>0</v>
      </c>
      <c r="CQ60" s="751">
        <v>0</v>
      </c>
      <c r="CR60" s="751">
        <v>0</v>
      </c>
      <c r="CS60" s="751">
        <v>373</v>
      </c>
      <c r="CT60" s="751">
        <v>93</v>
      </c>
      <c r="CU60" s="751">
        <v>0</v>
      </c>
      <c r="CV60" s="751">
        <v>466</v>
      </c>
      <c r="CW60" s="751">
        <v>3608196</v>
      </c>
      <c r="CX60" s="751">
        <v>911741</v>
      </c>
      <c r="CY60" s="751">
        <v>0</v>
      </c>
      <c r="CZ60" s="751">
        <v>4519937</v>
      </c>
      <c r="DA60" s="662" t="s">
        <v>724</v>
      </c>
      <c r="DB60" s="324" t="s">
        <v>560</v>
      </c>
      <c r="DC60" s="663" t="s">
        <v>512</v>
      </c>
      <c r="DD60" s="529" t="s">
        <v>1267</v>
      </c>
    </row>
    <row r="61" spans="1:108" ht="12.75" x14ac:dyDescent="0.2">
      <c r="A61" s="664">
        <v>54</v>
      </c>
      <c r="B61" s="665" t="s">
        <v>727</v>
      </c>
      <c r="C61" s="666" t="s">
        <v>486</v>
      </c>
      <c r="D61" s="667" t="s">
        <v>1204</v>
      </c>
      <c r="E61" s="668" t="s">
        <v>726</v>
      </c>
      <c r="F61" s="750">
        <v>144785163</v>
      </c>
      <c r="G61" s="751">
        <v>0</v>
      </c>
      <c r="H61" s="751">
        <v>647806</v>
      </c>
      <c r="I61" s="751">
        <v>568663</v>
      </c>
      <c r="J61" s="751">
        <v>0</v>
      </c>
      <c r="K61" s="751">
        <v>568663</v>
      </c>
      <c r="L61" s="751">
        <v>0</v>
      </c>
      <c r="M61" s="751">
        <v>1436837</v>
      </c>
      <c r="N61" s="751">
        <v>118041</v>
      </c>
      <c r="O61" s="751">
        <v>118041</v>
      </c>
      <c r="P61" s="751">
        <v>0</v>
      </c>
      <c r="Q61" s="751">
        <v>0</v>
      </c>
      <c r="R61" s="751">
        <v>142013816</v>
      </c>
      <c r="S61" s="749">
        <v>0.5</v>
      </c>
      <c r="T61" s="749">
        <v>0.49</v>
      </c>
      <c r="U61" s="749">
        <v>0</v>
      </c>
      <c r="V61" s="749">
        <v>0.01</v>
      </c>
      <c r="W61" s="749">
        <v>1</v>
      </c>
      <c r="X61" s="751">
        <v>71006908</v>
      </c>
      <c r="Y61" s="751">
        <v>69586770</v>
      </c>
      <c r="Z61" s="751">
        <v>0</v>
      </c>
      <c r="AA61" s="751">
        <v>1420138</v>
      </c>
      <c r="AB61" s="751">
        <v>142013816</v>
      </c>
      <c r="AC61" s="751">
        <v>431389</v>
      </c>
      <c r="AD61" s="751">
        <v>431389</v>
      </c>
      <c r="AE61" s="751">
        <v>70575519</v>
      </c>
      <c r="AF61" s="751">
        <v>69586770</v>
      </c>
      <c r="AG61" s="751">
        <v>0</v>
      </c>
      <c r="AH61" s="751">
        <v>1420138</v>
      </c>
      <c r="AI61" s="751">
        <v>141582427</v>
      </c>
      <c r="AJ61" s="751">
        <v>568663</v>
      </c>
      <c r="AK61" s="751">
        <v>568663</v>
      </c>
      <c r="AL61" s="751">
        <v>1436837</v>
      </c>
      <c r="AM61" s="751">
        <v>1436837</v>
      </c>
      <c r="AN61" s="751">
        <v>118041</v>
      </c>
      <c r="AO61" s="751">
        <v>0</v>
      </c>
      <c r="AP61" s="751">
        <v>118041</v>
      </c>
      <c r="AQ61" s="751">
        <v>0</v>
      </c>
      <c r="AR61" s="751">
        <v>0</v>
      </c>
      <c r="AS61" s="751">
        <v>0</v>
      </c>
      <c r="AT61" s="751">
        <v>0</v>
      </c>
      <c r="AU61" s="751">
        <v>431389</v>
      </c>
      <c r="AV61" s="751">
        <v>0</v>
      </c>
      <c r="AW61" s="751">
        <v>0</v>
      </c>
      <c r="AX61" s="751">
        <v>431389</v>
      </c>
      <c r="AY61" s="751">
        <v>0</v>
      </c>
      <c r="AZ61" s="751">
        <v>0</v>
      </c>
      <c r="BA61" s="751">
        <v>0</v>
      </c>
      <c r="BB61" s="751">
        <v>0</v>
      </c>
      <c r="BC61" s="751">
        <v>-32529432</v>
      </c>
      <c r="BD61" s="751">
        <v>-31878843</v>
      </c>
      <c r="BE61" s="751">
        <v>0</v>
      </c>
      <c r="BF61" s="751">
        <v>-650589</v>
      </c>
      <c r="BG61" s="751">
        <v>-65058863</v>
      </c>
      <c r="BH61" s="751">
        <v>38046088</v>
      </c>
      <c r="BI61" s="751">
        <v>40262857</v>
      </c>
      <c r="BJ61" s="751">
        <v>0</v>
      </c>
      <c r="BK61" s="751">
        <v>769549</v>
      </c>
      <c r="BL61" s="751">
        <v>79078494</v>
      </c>
      <c r="BM61" s="751">
        <v>3729256</v>
      </c>
      <c r="BN61" s="751">
        <v>0</v>
      </c>
      <c r="BO61" s="751">
        <v>73995</v>
      </c>
      <c r="BP61" s="751">
        <v>3803251</v>
      </c>
      <c r="BQ61" s="751">
        <v>5733156</v>
      </c>
      <c r="BR61" s="751">
        <v>0</v>
      </c>
      <c r="BS61" s="751">
        <v>116635</v>
      </c>
      <c r="BT61" s="751">
        <v>5849791</v>
      </c>
      <c r="BU61" s="751">
        <v>348902</v>
      </c>
      <c r="BV61" s="751">
        <v>0</v>
      </c>
      <c r="BW61" s="751">
        <v>7073</v>
      </c>
      <c r="BX61" s="751">
        <v>355975</v>
      </c>
      <c r="BY61" s="751">
        <v>29561</v>
      </c>
      <c r="BZ61" s="751">
        <v>0</v>
      </c>
      <c r="CA61" s="751">
        <v>603</v>
      </c>
      <c r="CB61" s="751">
        <v>30164</v>
      </c>
      <c r="CC61" s="751">
        <v>7358</v>
      </c>
      <c r="CD61" s="751">
        <v>0</v>
      </c>
      <c r="CE61" s="751">
        <v>150</v>
      </c>
      <c r="CF61" s="751">
        <v>7508</v>
      </c>
      <c r="CG61" s="751">
        <v>42216</v>
      </c>
      <c r="CH61" s="751">
        <v>0</v>
      </c>
      <c r="CI61" s="751">
        <v>862</v>
      </c>
      <c r="CJ61" s="751">
        <v>43078</v>
      </c>
      <c r="CK61" s="751">
        <v>0</v>
      </c>
      <c r="CL61" s="751">
        <v>0</v>
      </c>
      <c r="CM61" s="751">
        <v>0</v>
      </c>
      <c r="CN61" s="751">
        <v>0</v>
      </c>
      <c r="CO61" s="751">
        <v>0</v>
      </c>
      <c r="CP61" s="751">
        <v>0</v>
      </c>
      <c r="CQ61" s="751">
        <v>0</v>
      </c>
      <c r="CR61" s="751">
        <v>0</v>
      </c>
      <c r="CS61" s="751">
        <v>0</v>
      </c>
      <c r="CT61" s="751">
        <v>0</v>
      </c>
      <c r="CU61" s="751">
        <v>0</v>
      </c>
      <c r="CV61" s="751">
        <v>0</v>
      </c>
      <c r="CW61" s="751">
        <v>9890449</v>
      </c>
      <c r="CX61" s="751">
        <v>0</v>
      </c>
      <c r="CY61" s="751">
        <v>199318</v>
      </c>
      <c r="CZ61" s="751">
        <v>10089767</v>
      </c>
      <c r="DA61" s="662" t="s">
        <v>726</v>
      </c>
      <c r="DB61" s="324" t="s">
        <v>486</v>
      </c>
      <c r="DC61" s="663" t="s">
        <v>505</v>
      </c>
      <c r="DD61" s="529" t="s">
        <v>1268</v>
      </c>
    </row>
    <row r="62" spans="1:108" ht="12.75" x14ac:dyDescent="0.2">
      <c r="A62" s="664">
        <v>55</v>
      </c>
      <c r="B62" s="665" t="s">
        <v>728</v>
      </c>
      <c r="C62" s="666" t="s">
        <v>486</v>
      </c>
      <c r="D62" s="667" t="s">
        <v>1204</v>
      </c>
      <c r="E62" s="668" t="s">
        <v>507</v>
      </c>
      <c r="F62" s="750">
        <v>152072389</v>
      </c>
      <c r="G62" s="751">
        <v>0</v>
      </c>
      <c r="H62" s="751">
        <v>5650000</v>
      </c>
      <c r="I62" s="751">
        <v>492736</v>
      </c>
      <c r="J62" s="751">
        <v>0</v>
      </c>
      <c r="K62" s="751">
        <v>492736</v>
      </c>
      <c r="L62" s="751">
        <v>0</v>
      </c>
      <c r="M62" s="751">
        <v>218516</v>
      </c>
      <c r="N62" s="751">
        <v>740000</v>
      </c>
      <c r="O62" s="751">
        <v>740000</v>
      </c>
      <c r="P62" s="751">
        <v>0</v>
      </c>
      <c r="Q62" s="751">
        <v>0</v>
      </c>
      <c r="R62" s="751">
        <v>144971137</v>
      </c>
      <c r="S62" s="749">
        <v>0.5</v>
      </c>
      <c r="T62" s="749">
        <v>0.49</v>
      </c>
      <c r="U62" s="749">
        <v>0</v>
      </c>
      <c r="V62" s="749">
        <v>0.01</v>
      </c>
      <c r="W62" s="749">
        <v>1</v>
      </c>
      <c r="X62" s="751">
        <v>72485569</v>
      </c>
      <c r="Y62" s="751">
        <v>71035857</v>
      </c>
      <c r="Z62" s="751">
        <v>0</v>
      </c>
      <c r="AA62" s="751">
        <v>1449711</v>
      </c>
      <c r="AB62" s="751">
        <v>144971137</v>
      </c>
      <c r="AC62" s="751">
        <v>260048</v>
      </c>
      <c r="AD62" s="751">
        <v>260048</v>
      </c>
      <c r="AE62" s="751">
        <v>72225521</v>
      </c>
      <c r="AF62" s="751">
        <v>71035857</v>
      </c>
      <c r="AG62" s="751">
        <v>0</v>
      </c>
      <c r="AH62" s="751">
        <v>1449711</v>
      </c>
      <c r="AI62" s="751">
        <v>144711089</v>
      </c>
      <c r="AJ62" s="751">
        <v>492736</v>
      </c>
      <c r="AK62" s="751">
        <v>492736</v>
      </c>
      <c r="AL62" s="751">
        <v>218516</v>
      </c>
      <c r="AM62" s="751">
        <v>218516</v>
      </c>
      <c r="AN62" s="751">
        <v>740000</v>
      </c>
      <c r="AO62" s="751">
        <v>0</v>
      </c>
      <c r="AP62" s="751">
        <v>740000</v>
      </c>
      <c r="AQ62" s="751">
        <v>0</v>
      </c>
      <c r="AR62" s="751">
        <v>0</v>
      </c>
      <c r="AS62" s="751">
        <v>0</v>
      </c>
      <c r="AT62" s="751">
        <v>0</v>
      </c>
      <c r="AU62" s="751">
        <v>260048</v>
      </c>
      <c r="AV62" s="751">
        <v>0</v>
      </c>
      <c r="AW62" s="751">
        <v>0</v>
      </c>
      <c r="AX62" s="751">
        <v>260048</v>
      </c>
      <c r="AY62" s="751">
        <v>0</v>
      </c>
      <c r="AZ62" s="751">
        <v>0</v>
      </c>
      <c r="BA62" s="751">
        <v>0</v>
      </c>
      <c r="BB62" s="751">
        <v>0</v>
      </c>
      <c r="BC62" s="751">
        <v>-37732739</v>
      </c>
      <c r="BD62" s="751">
        <v>-36978084</v>
      </c>
      <c r="BE62" s="751">
        <v>0</v>
      </c>
      <c r="BF62" s="751">
        <v>-754655</v>
      </c>
      <c r="BG62" s="751">
        <v>-75465478</v>
      </c>
      <c r="BH62" s="751">
        <v>34492782</v>
      </c>
      <c r="BI62" s="751">
        <v>35769073</v>
      </c>
      <c r="BJ62" s="751">
        <v>0</v>
      </c>
      <c r="BK62" s="751">
        <v>695056</v>
      </c>
      <c r="BL62" s="751">
        <v>70956911</v>
      </c>
      <c r="BM62" s="751">
        <v>3764759</v>
      </c>
      <c r="BN62" s="751">
        <v>0</v>
      </c>
      <c r="BO62" s="751">
        <v>75536</v>
      </c>
      <c r="BP62" s="751">
        <v>3840295</v>
      </c>
      <c r="BQ62" s="751">
        <v>4247357</v>
      </c>
      <c r="BR62" s="751">
        <v>0</v>
      </c>
      <c r="BS62" s="751">
        <v>86681</v>
      </c>
      <c r="BT62" s="751">
        <v>4334038</v>
      </c>
      <c r="BU62" s="751">
        <v>275742</v>
      </c>
      <c r="BV62" s="751">
        <v>0</v>
      </c>
      <c r="BW62" s="751">
        <v>5614</v>
      </c>
      <c r="BX62" s="751">
        <v>281356</v>
      </c>
      <c r="BY62" s="751">
        <v>12888</v>
      </c>
      <c r="BZ62" s="751">
        <v>0</v>
      </c>
      <c r="CA62" s="751">
        <v>263</v>
      </c>
      <c r="CB62" s="751">
        <v>13151</v>
      </c>
      <c r="CC62" s="751">
        <v>2577</v>
      </c>
      <c r="CD62" s="751">
        <v>0</v>
      </c>
      <c r="CE62" s="751">
        <v>53</v>
      </c>
      <c r="CF62" s="751">
        <v>2630</v>
      </c>
      <c r="CG62" s="751">
        <v>25777</v>
      </c>
      <c r="CH62" s="751">
        <v>0</v>
      </c>
      <c r="CI62" s="751">
        <v>526</v>
      </c>
      <c r="CJ62" s="751">
        <v>26303</v>
      </c>
      <c r="CK62" s="751">
        <v>0</v>
      </c>
      <c r="CL62" s="751">
        <v>0</v>
      </c>
      <c r="CM62" s="751">
        <v>0</v>
      </c>
      <c r="CN62" s="751">
        <v>0</v>
      </c>
      <c r="CO62" s="751">
        <v>0</v>
      </c>
      <c r="CP62" s="751">
        <v>0</v>
      </c>
      <c r="CQ62" s="751">
        <v>0</v>
      </c>
      <c r="CR62" s="751">
        <v>0</v>
      </c>
      <c r="CS62" s="751">
        <v>0</v>
      </c>
      <c r="CT62" s="751">
        <v>0</v>
      </c>
      <c r="CU62" s="751">
        <v>0</v>
      </c>
      <c r="CV62" s="751">
        <v>0</v>
      </c>
      <c r="CW62" s="751">
        <v>8329100</v>
      </c>
      <c r="CX62" s="751">
        <v>0</v>
      </c>
      <c r="CY62" s="751">
        <v>168673</v>
      </c>
      <c r="CZ62" s="751">
        <v>8497773</v>
      </c>
      <c r="DA62" s="662" t="s">
        <v>507</v>
      </c>
      <c r="DB62" s="324" t="s">
        <v>486</v>
      </c>
      <c r="DC62" s="663" t="s">
        <v>505</v>
      </c>
      <c r="DD62" s="529" t="s">
        <v>1269</v>
      </c>
    </row>
    <row r="63" spans="1:108" ht="12.75" x14ac:dyDescent="0.2">
      <c r="A63" s="664">
        <v>56</v>
      </c>
      <c r="B63" s="665" t="s">
        <v>730</v>
      </c>
      <c r="C63" s="666" t="s">
        <v>1201</v>
      </c>
      <c r="D63" s="667" t="s">
        <v>1206</v>
      </c>
      <c r="E63" s="668" t="s">
        <v>729</v>
      </c>
      <c r="F63" s="750">
        <v>40619919</v>
      </c>
      <c r="G63" s="751">
        <v>0</v>
      </c>
      <c r="H63" s="751">
        <v>91633</v>
      </c>
      <c r="I63" s="751">
        <v>161292</v>
      </c>
      <c r="J63" s="751">
        <v>0</v>
      </c>
      <c r="K63" s="751">
        <v>161292</v>
      </c>
      <c r="L63" s="751">
        <v>0</v>
      </c>
      <c r="M63" s="751">
        <v>1924992</v>
      </c>
      <c r="N63" s="751">
        <v>46791</v>
      </c>
      <c r="O63" s="751">
        <v>46791</v>
      </c>
      <c r="P63" s="751">
        <v>0</v>
      </c>
      <c r="Q63" s="751">
        <v>0</v>
      </c>
      <c r="R63" s="751">
        <v>38395211</v>
      </c>
      <c r="S63" s="749">
        <v>0.5</v>
      </c>
      <c r="T63" s="749">
        <v>0.4</v>
      </c>
      <c r="U63" s="749">
        <v>0.09</v>
      </c>
      <c r="V63" s="749">
        <v>0.01</v>
      </c>
      <c r="W63" s="749">
        <v>1</v>
      </c>
      <c r="X63" s="751">
        <v>19197606</v>
      </c>
      <c r="Y63" s="751">
        <v>15358084</v>
      </c>
      <c r="Z63" s="751">
        <v>3455569</v>
      </c>
      <c r="AA63" s="751">
        <v>383952</v>
      </c>
      <c r="AB63" s="751">
        <v>38395211</v>
      </c>
      <c r="AC63" s="751">
        <v>0</v>
      </c>
      <c r="AD63" s="751">
        <v>0</v>
      </c>
      <c r="AE63" s="751">
        <v>19197606</v>
      </c>
      <c r="AF63" s="751">
        <v>15358084</v>
      </c>
      <c r="AG63" s="751">
        <v>3455569</v>
      </c>
      <c r="AH63" s="751">
        <v>383952</v>
      </c>
      <c r="AI63" s="751">
        <v>38395211</v>
      </c>
      <c r="AJ63" s="751">
        <v>161292</v>
      </c>
      <c r="AK63" s="751">
        <v>161292</v>
      </c>
      <c r="AL63" s="751">
        <v>1924992</v>
      </c>
      <c r="AM63" s="751">
        <v>1924992</v>
      </c>
      <c r="AN63" s="751">
        <v>46791</v>
      </c>
      <c r="AO63" s="751">
        <v>0</v>
      </c>
      <c r="AP63" s="751">
        <v>46791</v>
      </c>
      <c r="AQ63" s="751">
        <v>0</v>
      </c>
      <c r="AR63" s="751">
        <v>0</v>
      </c>
      <c r="AS63" s="751">
        <v>0</v>
      </c>
      <c r="AT63" s="751">
        <v>0</v>
      </c>
      <c r="AU63" s="751">
        <v>0</v>
      </c>
      <c r="AV63" s="751">
        <v>0</v>
      </c>
      <c r="AW63" s="751">
        <v>0</v>
      </c>
      <c r="AX63" s="751">
        <v>0</v>
      </c>
      <c r="AY63" s="751">
        <v>0</v>
      </c>
      <c r="AZ63" s="751">
        <v>0</v>
      </c>
      <c r="BA63" s="751">
        <v>0</v>
      </c>
      <c r="BB63" s="751">
        <v>0</v>
      </c>
      <c r="BC63" s="751">
        <v>-8953163</v>
      </c>
      <c r="BD63" s="751">
        <v>-7162530</v>
      </c>
      <c r="BE63" s="751">
        <v>-1611569</v>
      </c>
      <c r="BF63" s="751">
        <v>-179063</v>
      </c>
      <c r="BG63" s="751">
        <v>-17906326</v>
      </c>
      <c r="BH63" s="751">
        <v>10244443</v>
      </c>
      <c r="BI63" s="751">
        <v>10328629</v>
      </c>
      <c r="BJ63" s="751">
        <v>1844000</v>
      </c>
      <c r="BK63" s="751">
        <v>204889</v>
      </c>
      <c r="BL63" s="751">
        <v>22621960</v>
      </c>
      <c r="BM63" s="751">
        <v>902959</v>
      </c>
      <c r="BN63" s="751">
        <v>180050</v>
      </c>
      <c r="BO63" s="751">
        <v>20006</v>
      </c>
      <c r="BP63" s="751">
        <v>1103015</v>
      </c>
      <c r="BQ63" s="751">
        <v>1422091</v>
      </c>
      <c r="BR63" s="751">
        <v>319970</v>
      </c>
      <c r="BS63" s="751">
        <v>35552</v>
      </c>
      <c r="BT63" s="751">
        <v>1777613</v>
      </c>
      <c r="BU63" s="751">
        <v>89140</v>
      </c>
      <c r="BV63" s="751">
        <v>20056</v>
      </c>
      <c r="BW63" s="751">
        <v>2228</v>
      </c>
      <c r="BX63" s="751">
        <v>111424</v>
      </c>
      <c r="BY63" s="751">
        <v>2289</v>
      </c>
      <c r="BZ63" s="751">
        <v>515</v>
      </c>
      <c r="CA63" s="751">
        <v>57</v>
      </c>
      <c r="CB63" s="751">
        <v>2861</v>
      </c>
      <c r="CC63" s="751">
        <v>1250</v>
      </c>
      <c r="CD63" s="751">
        <v>281</v>
      </c>
      <c r="CE63" s="751">
        <v>31</v>
      </c>
      <c r="CF63" s="751">
        <v>1562</v>
      </c>
      <c r="CG63" s="751">
        <v>3647</v>
      </c>
      <c r="CH63" s="751">
        <v>821</v>
      </c>
      <c r="CI63" s="751">
        <v>91</v>
      </c>
      <c r="CJ63" s="751">
        <v>4559</v>
      </c>
      <c r="CK63" s="751">
        <v>0</v>
      </c>
      <c r="CL63" s="751">
        <v>0</v>
      </c>
      <c r="CM63" s="751">
        <v>0</v>
      </c>
      <c r="CN63" s="751">
        <v>0</v>
      </c>
      <c r="CO63" s="751">
        <v>0</v>
      </c>
      <c r="CP63" s="751">
        <v>0</v>
      </c>
      <c r="CQ63" s="751">
        <v>0</v>
      </c>
      <c r="CR63" s="751">
        <v>0</v>
      </c>
      <c r="CS63" s="751">
        <v>0</v>
      </c>
      <c r="CT63" s="751">
        <v>0</v>
      </c>
      <c r="CU63" s="751">
        <v>0</v>
      </c>
      <c r="CV63" s="751">
        <v>0</v>
      </c>
      <c r="CW63" s="751">
        <v>2421376</v>
      </c>
      <c r="CX63" s="751">
        <v>521693</v>
      </c>
      <c r="CY63" s="751">
        <v>57965</v>
      </c>
      <c r="CZ63" s="751">
        <v>3001034</v>
      </c>
      <c r="DA63" s="662" t="s">
        <v>729</v>
      </c>
      <c r="DB63" s="324" t="s">
        <v>516</v>
      </c>
      <c r="DC63" s="663" t="s">
        <v>515</v>
      </c>
      <c r="DD63" s="529" t="s">
        <v>1270</v>
      </c>
    </row>
    <row r="64" spans="1:108" ht="12.75" x14ac:dyDescent="0.2">
      <c r="A64" s="664">
        <v>57</v>
      </c>
      <c r="B64" s="665" t="s">
        <v>732</v>
      </c>
      <c r="C64" s="666" t="s">
        <v>1201</v>
      </c>
      <c r="D64" s="667" t="s">
        <v>1202</v>
      </c>
      <c r="E64" s="668" t="s">
        <v>731</v>
      </c>
      <c r="F64" s="750">
        <v>47711211</v>
      </c>
      <c r="G64" s="751">
        <v>166783</v>
      </c>
      <c r="H64" s="751">
        <v>0</v>
      </c>
      <c r="I64" s="751">
        <v>202321</v>
      </c>
      <c r="J64" s="751">
        <v>0</v>
      </c>
      <c r="K64" s="751">
        <v>202321</v>
      </c>
      <c r="L64" s="751">
        <v>0</v>
      </c>
      <c r="M64" s="751">
        <v>0</v>
      </c>
      <c r="N64" s="751">
        <v>137347</v>
      </c>
      <c r="O64" s="751">
        <v>107781</v>
      </c>
      <c r="P64" s="751">
        <v>29566</v>
      </c>
      <c r="Q64" s="751">
        <v>0</v>
      </c>
      <c r="R64" s="751">
        <v>47538326</v>
      </c>
      <c r="S64" s="749">
        <v>0.5</v>
      </c>
      <c r="T64" s="749">
        <v>0.4</v>
      </c>
      <c r="U64" s="749">
        <v>0.1</v>
      </c>
      <c r="V64" s="749">
        <v>0</v>
      </c>
      <c r="W64" s="749">
        <v>1</v>
      </c>
      <c r="X64" s="751">
        <v>23769163</v>
      </c>
      <c r="Y64" s="751">
        <v>19015330</v>
      </c>
      <c r="Z64" s="751">
        <v>4753833</v>
      </c>
      <c r="AA64" s="751">
        <v>0</v>
      </c>
      <c r="AB64" s="751">
        <v>47538326</v>
      </c>
      <c r="AC64" s="751">
        <v>0</v>
      </c>
      <c r="AD64" s="751">
        <v>0</v>
      </c>
      <c r="AE64" s="751">
        <v>23769163</v>
      </c>
      <c r="AF64" s="751">
        <v>19015330</v>
      </c>
      <c r="AG64" s="751">
        <v>4753833</v>
      </c>
      <c r="AH64" s="751">
        <v>0</v>
      </c>
      <c r="AI64" s="751">
        <v>47538326</v>
      </c>
      <c r="AJ64" s="751">
        <v>202321</v>
      </c>
      <c r="AK64" s="751">
        <v>202321</v>
      </c>
      <c r="AL64" s="751">
        <v>0</v>
      </c>
      <c r="AM64" s="751">
        <v>0</v>
      </c>
      <c r="AN64" s="751">
        <v>107781</v>
      </c>
      <c r="AO64" s="751">
        <v>29566</v>
      </c>
      <c r="AP64" s="751">
        <v>137347</v>
      </c>
      <c r="AQ64" s="751">
        <v>0</v>
      </c>
      <c r="AR64" s="751">
        <v>0</v>
      </c>
      <c r="AS64" s="751">
        <v>0</v>
      </c>
      <c r="AT64" s="751">
        <v>0</v>
      </c>
      <c r="AU64" s="751">
        <v>0</v>
      </c>
      <c r="AV64" s="751">
        <v>0</v>
      </c>
      <c r="AW64" s="751">
        <v>0</v>
      </c>
      <c r="AX64" s="751">
        <v>0</v>
      </c>
      <c r="AY64" s="751">
        <v>0</v>
      </c>
      <c r="AZ64" s="751">
        <v>0</v>
      </c>
      <c r="BA64" s="751">
        <v>0</v>
      </c>
      <c r="BB64" s="751">
        <v>0</v>
      </c>
      <c r="BC64" s="751">
        <v>-15336159</v>
      </c>
      <c r="BD64" s="751">
        <v>-12268927</v>
      </c>
      <c r="BE64" s="751">
        <v>-3610393</v>
      </c>
      <c r="BF64" s="751">
        <v>0</v>
      </c>
      <c r="BG64" s="751">
        <v>-31215479</v>
      </c>
      <c r="BH64" s="751">
        <v>8433004</v>
      </c>
      <c r="BI64" s="751">
        <v>7056505</v>
      </c>
      <c r="BJ64" s="751">
        <v>1173006</v>
      </c>
      <c r="BK64" s="751">
        <v>0</v>
      </c>
      <c r="BL64" s="751">
        <v>16662515</v>
      </c>
      <c r="BM64" s="751">
        <v>996395</v>
      </c>
      <c r="BN64" s="751">
        <v>249235</v>
      </c>
      <c r="BO64" s="751">
        <v>0</v>
      </c>
      <c r="BP64" s="751">
        <v>1245630</v>
      </c>
      <c r="BQ64" s="751">
        <v>1951594</v>
      </c>
      <c r="BR64" s="751">
        <v>487899</v>
      </c>
      <c r="BS64" s="751">
        <v>0</v>
      </c>
      <c r="BT64" s="751">
        <v>2439493</v>
      </c>
      <c r="BU64" s="751">
        <v>101925</v>
      </c>
      <c r="BV64" s="751">
        <v>25481</v>
      </c>
      <c r="BW64" s="751">
        <v>0</v>
      </c>
      <c r="BX64" s="751">
        <v>127406</v>
      </c>
      <c r="BY64" s="751">
        <v>23146</v>
      </c>
      <c r="BZ64" s="751">
        <v>5787</v>
      </c>
      <c r="CA64" s="751">
        <v>0</v>
      </c>
      <c r="CB64" s="751">
        <v>28933</v>
      </c>
      <c r="CC64" s="751">
        <v>6399</v>
      </c>
      <c r="CD64" s="751">
        <v>1600</v>
      </c>
      <c r="CE64" s="751">
        <v>0</v>
      </c>
      <c r="CF64" s="751">
        <v>7999</v>
      </c>
      <c r="CG64" s="751">
        <v>19613</v>
      </c>
      <c r="CH64" s="751">
        <v>4903</v>
      </c>
      <c r="CI64" s="751">
        <v>0</v>
      </c>
      <c r="CJ64" s="751">
        <v>24516</v>
      </c>
      <c r="CK64" s="751">
        <v>0</v>
      </c>
      <c r="CL64" s="751">
        <v>0</v>
      </c>
      <c r="CM64" s="751">
        <v>0</v>
      </c>
      <c r="CN64" s="751">
        <v>0</v>
      </c>
      <c r="CO64" s="751">
        <v>0</v>
      </c>
      <c r="CP64" s="751">
        <v>0</v>
      </c>
      <c r="CQ64" s="751">
        <v>0</v>
      </c>
      <c r="CR64" s="751">
        <v>0</v>
      </c>
      <c r="CS64" s="751">
        <v>0</v>
      </c>
      <c r="CT64" s="751">
        <v>0</v>
      </c>
      <c r="CU64" s="751">
        <v>0</v>
      </c>
      <c r="CV64" s="751">
        <v>0</v>
      </c>
      <c r="CW64" s="751">
        <v>3099072</v>
      </c>
      <c r="CX64" s="751">
        <v>774905</v>
      </c>
      <c r="CY64" s="751">
        <v>0</v>
      </c>
      <c r="CZ64" s="751">
        <v>3873977</v>
      </c>
      <c r="DA64" s="662" t="s">
        <v>731</v>
      </c>
      <c r="DB64" s="324" t="s">
        <v>568</v>
      </c>
      <c r="DC64" s="663" t="s">
        <v>512</v>
      </c>
      <c r="DD64" s="529" t="s">
        <v>1271</v>
      </c>
    </row>
    <row r="65" spans="1:108" ht="12.75" x14ac:dyDescent="0.2">
      <c r="A65" s="664">
        <v>58</v>
      </c>
      <c r="B65" s="665" t="s">
        <v>734</v>
      </c>
      <c r="C65" s="666" t="s">
        <v>1201</v>
      </c>
      <c r="D65" s="667" t="s">
        <v>1204</v>
      </c>
      <c r="E65" s="668" t="s">
        <v>733</v>
      </c>
      <c r="F65" s="750">
        <v>25899292</v>
      </c>
      <c r="G65" s="751">
        <v>0</v>
      </c>
      <c r="H65" s="751">
        <v>42650</v>
      </c>
      <c r="I65" s="751">
        <v>131356</v>
      </c>
      <c r="J65" s="751">
        <v>0</v>
      </c>
      <c r="K65" s="751">
        <v>131356</v>
      </c>
      <c r="L65" s="751">
        <v>0</v>
      </c>
      <c r="M65" s="751">
        <v>0</v>
      </c>
      <c r="N65" s="751">
        <v>0</v>
      </c>
      <c r="O65" s="751">
        <v>0</v>
      </c>
      <c r="P65" s="751">
        <v>0</v>
      </c>
      <c r="Q65" s="751">
        <v>0</v>
      </c>
      <c r="R65" s="751">
        <v>25725286</v>
      </c>
      <c r="S65" s="749">
        <v>0.5</v>
      </c>
      <c r="T65" s="749">
        <v>0.4</v>
      </c>
      <c r="U65" s="749">
        <v>0.09</v>
      </c>
      <c r="V65" s="749">
        <v>0.01</v>
      </c>
      <c r="W65" s="749">
        <v>1</v>
      </c>
      <c r="X65" s="751">
        <v>12862643</v>
      </c>
      <c r="Y65" s="751">
        <v>10290114</v>
      </c>
      <c r="Z65" s="751">
        <v>2315276</v>
      </c>
      <c r="AA65" s="751">
        <v>257253</v>
      </c>
      <c r="AB65" s="751">
        <v>25725286</v>
      </c>
      <c r="AC65" s="751">
        <v>0</v>
      </c>
      <c r="AD65" s="751">
        <v>0</v>
      </c>
      <c r="AE65" s="751">
        <v>12862643</v>
      </c>
      <c r="AF65" s="751">
        <v>10290114</v>
      </c>
      <c r="AG65" s="751">
        <v>2315276</v>
      </c>
      <c r="AH65" s="751">
        <v>257253</v>
      </c>
      <c r="AI65" s="751">
        <v>25725286</v>
      </c>
      <c r="AJ65" s="751">
        <v>131356</v>
      </c>
      <c r="AK65" s="751">
        <v>131356</v>
      </c>
      <c r="AL65" s="751">
        <v>0</v>
      </c>
      <c r="AM65" s="751">
        <v>0</v>
      </c>
      <c r="AN65" s="751">
        <v>0</v>
      </c>
      <c r="AO65" s="751">
        <v>0</v>
      </c>
      <c r="AP65" s="751">
        <v>0</v>
      </c>
      <c r="AQ65" s="751">
        <v>0</v>
      </c>
      <c r="AR65" s="751">
        <v>0</v>
      </c>
      <c r="AS65" s="751">
        <v>0</v>
      </c>
      <c r="AT65" s="751">
        <v>0</v>
      </c>
      <c r="AU65" s="751">
        <v>0</v>
      </c>
      <c r="AV65" s="751">
        <v>0</v>
      </c>
      <c r="AW65" s="751">
        <v>0</v>
      </c>
      <c r="AX65" s="751">
        <v>0</v>
      </c>
      <c r="AY65" s="751">
        <v>0</v>
      </c>
      <c r="AZ65" s="751">
        <v>0</v>
      </c>
      <c r="BA65" s="751">
        <v>0</v>
      </c>
      <c r="BB65" s="751">
        <v>0</v>
      </c>
      <c r="BC65" s="751">
        <v>-5856397</v>
      </c>
      <c r="BD65" s="751">
        <v>-4383126</v>
      </c>
      <c r="BE65" s="751">
        <v>-945099</v>
      </c>
      <c r="BF65" s="751">
        <v>-108739</v>
      </c>
      <c r="BG65" s="751">
        <v>-11293361</v>
      </c>
      <c r="BH65" s="751">
        <v>7006247</v>
      </c>
      <c r="BI65" s="751">
        <v>6038344</v>
      </c>
      <c r="BJ65" s="751">
        <v>1370177</v>
      </c>
      <c r="BK65" s="751">
        <v>148514</v>
      </c>
      <c r="BL65" s="751">
        <v>14563281</v>
      </c>
      <c r="BM65" s="751">
        <v>536158</v>
      </c>
      <c r="BN65" s="751">
        <v>120636</v>
      </c>
      <c r="BO65" s="751">
        <v>13404</v>
      </c>
      <c r="BP65" s="751">
        <v>670198</v>
      </c>
      <c r="BQ65" s="751">
        <v>1077032</v>
      </c>
      <c r="BR65" s="751">
        <v>242332</v>
      </c>
      <c r="BS65" s="751">
        <v>26926</v>
      </c>
      <c r="BT65" s="751">
        <v>1346290</v>
      </c>
      <c r="BU65" s="751">
        <v>55431</v>
      </c>
      <c r="BV65" s="751">
        <v>12472</v>
      </c>
      <c r="BW65" s="751">
        <v>1386</v>
      </c>
      <c r="BX65" s="751">
        <v>69289</v>
      </c>
      <c r="BY65" s="751">
        <v>4142</v>
      </c>
      <c r="BZ65" s="751">
        <v>932</v>
      </c>
      <c r="CA65" s="751">
        <v>104</v>
      </c>
      <c r="CB65" s="751">
        <v>5178</v>
      </c>
      <c r="CC65" s="751">
        <v>1993</v>
      </c>
      <c r="CD65" s="751">
        <v>448</v>
      </c>
      <c r="CE65" s="751">
        <v>50</v>
      </c>
      <c r="CF65" s="751">
        <v>2491</v>
      </c>
      <c r="CG65" s="751">
        <v>10643</v>
      </c>
      <c r="CH65" s="751">
        <v>2395</v>
      </c>
      <c r="CI65" s="751">
        <v>266</v>
      </c>
      <c r="CJ65" s="751">
        <v>13304</v>
      </c>
      <c r="CK65" s="751">
        <v>0</v>
      </c>
      <c r="CL65" s="751">
        <v>0</v>
      </c>
      <c r="CM65" s="751">
        <v>0</v>
      </c>
      <c r="CN65" s="751">
        <v>0</v>
      </c>
      <c r="CO65" s="751">
        <v>0</v>
      </c>
      <c r="CP65" s="751">
        <v>0</v>
      </c>
      <c r="CQ65" s="751">
        <v>0</v>
      </c>
      <c r="CR65" s="751">
        <v>0</v>
      </c>
      <c r="CS65" s="751">
        <v>0</v>
      </c>
      <c r="CT65" s="751">
        <v>0</v>
      </c>
      <c r="CU65" s="751">
        <v>0</v>
      </c>
      <c r="CV65" s="751">
        <v>0</v>
      </c>
      <c r="CW65" s="751">
        <v>1685399</v>
      </c>
      <c r="CX65" s="751">
        <v>379215</v>
      </c>
      <c r="CY65" s="751">
        <v>42136</v>
      </c>
      <c r="CZ65" s="751">
        <v>2106750</v>
      </c>
      <c r="DA65" s="662" t="s">
        <v>733</v>
      </c>
      <c r="DB65" s="324" t="s">
        <v>547</v>
      </c>
      <c r="DC65" s="663" t="s">
        <v>545</v>
      </c>
      <c r="DD65" s="529" t="s">
        <v>1272</v>
      </c>
    </row>
    <row r="66" spans="1:108" ht="12.75" x14ac:dyDescent="0.2">
      <c r="A66" s="664">
        <v>59</v>
      </c>
      <c r="B66" s="665" t="s">
        <v>0</v>
      </c>
      <c r="C66" s="666" t="s">
        <v>1257</v>
      </c>
      <c r="D66" s="667" t="s">
        <v>1214</v>
      </c>
      <c r="E66" s="668" t="s">
        <v>735</v>
      </c>
      <c r="F66" s="750">
        <v>1189439904</v>
      </c>
      <c r="G66" s="751">
        <v>357389</v>
      </c>
      <c r="H66" s="751">
        <v>0</v>
      </c>
      <c r="I66" s="751">
        <v>2029101</v>
      </c>
      <c r="J66" s="751">
        <v>0</v>
      </c>
      <c r="K66" s="751">
        <v>2029101</v>
      </c>
      <c r="L66" s="751">
        <v>12064000</v>
      </c>
      <c r="M66" s="751">
        <v>0</v>
      </c>
      <c r="N66" s="751">
        <v>0</v>
      </c>
      <c r="O66" s="751">
        <v>0</v>
      </c>
      <c r="P66" s="751">
        <v>0</v>
      </c>
      <c r="Q66" s="751">
        <v>0</v>
      </c>
      <c r="R66" s="751">
        <v>1175704192</v>
      </c>
      <c r="S66" s="749">
        <v>0.33</v>
      </c>
      <c r="T66" s="749">
        <v>0.3</v>
      </c>
      <c r="U66" s="749">
        <v>0.37</v>
      </c>
      <c r="V66" s="749">
        <v>0</v>
      </c>
      <c r="W66" s="749">
        <v>1</v>
      </c>
      <c r="X66" s="751">
        <v>387982383</v>
      </c>
      <c r="Y66" s="751">
        <v>352711258</v>
      </c>
      <c r="Z66" s="751">
        <v>435010551</v>
      </c>
      <c r="AA66" s="751">
        <v>0</v>
      </c>
      <c r="AB66" s="751">
        <v>1175704192</v>
      </c>
      <c r="AC66" s="751">
        <v>0</v>
      </c>
      <c r="AD66" s="751">
        <v>0</v>
      </c>
      <c r="AE66" s="751">
        <v>387982383</v>
      </c>
      <c r="AF66" s="751">
        <v>352711258</v>
      </c>
      <c r="AG66" s="751">
        <v>435010551</v>
      </c>
      <c r="AH66" s="751">
        <v>0</v>
      </c>
      <c r="AI66" s="751">
        <v>1175704192</v>
      </c>
      <c r="AJ66" s="751">
        <v>2029101</v>
      </c>
      <c r="AK66" s="751">
        <v>2029101</v>
      </c>
      <c r="AL66" s="751">
        <v>0</v>
      </c>
      <c r="AM66" s="751">
        <v>0</v>
      </c>
      <c r="AN66" s="751">
        <v>0</v>
      </c>
      <c r="AO66" s="751">
        <v>0</v>
      </c>
      <c r="AP66" s="751">
        <v>0</v>
      </c>
      <c r="AQ66" s="751">
        <v>0</v>
      </c>
      <c r="AR66" s="751">
        <v>0</v>
      </c>
      <c r="AS66" s="751">
        <v>0</v>
      </c>
      <c r="AT66" s="751">
        <v>0</v>
      </c>
      <c r="AU66" s="751">
        <v>0</v>
      </c>
      <c r="AV66" s="751">
        <v>0</v>
      </c>
      <c r="AW66" s="751">
        <v>0</v>
      </c>
      <c r="AX66" s="751">
        <v>0</v>
      </c>
      <c r="AY66" s="751">
        <v>12064000</v>
      </c>
      <c r="AZ66" s="751">
        <v>12064000</v>
      </c>
      <c r="BA66" s="751">
        <v>0</v>
      </c>
      <c r="BB66" s="751">
        <v>0</v>
      </c>
      <c r="BC66" s="751">
        <v>-45844213</v>
      </c>
      <c r="BD66" s="751">
        <v>-37743558</v>
      </c>
      <c r="BE66" s="751">
        <v>-51561425</v>
      </c>
      <c r="BF66" s="751">
        <v>0</v>
      </c>
      <c r="BG66" s="751">
        <v>-135149196</v>
      </c>
      <c r="BH66" s="751">
        <v>342138170</v>
      </c>
      <c r="BI66" s="751">
        <v>329060801</v>
      </c>
      <c r="BJ66" s="751">
        <v>383449126</v>
      </c>
      <c r="BK66" s="751">
        <v>0</v>
      </c>
      <c r="BL66" s="751">
        <v>1054648097</v>
      </c>
      <c r="BM66" s="751">
        <v>19006326</v>
      </c>
      <c r="BN66" s="751">
        <v>22665880</v>
      </c>
      <c r="BO66" s="751">
        <v>0</v>
      </c>
      <c r="BP66" s="751">
        <v>41672206</v>
      </c>
      <c r="BQ66" s="751">
        <v>641498</v>
      </c>
      <c r="BR66" s="751">
        <v>791181</v>
      </c>
      <c r="BS66" s="751">
        <v>0</v>
      </c>
      <c r="BT66" s="751">
        <v>1432679</v>
      </c>
      <c r="BU66" s="751">
        <v>248761</v>
      </c>
      <c r="BV66" s="751">
        <v>306805</v>
      </c>
      <c r="BW66" s="751">
        <v>0</v>
      </c>
      <c r="BX66" s="751">
        <v>555566</v>
      </c>
      <c r="BY66" s="751">
        <v>0</v>
      </c>
      <c r="BZ66" s="751">
        <v>0</v>
      </c>
      <c r="CA66" s="751">
        <v>0</v>
      </c>
      <c r="CB66" s="751">
        <v>0</v>
      </c>
      <c r="CC66" s="751">
        <v>0</v>
      </c>
      <c r="CD66" s="751">
        <v>0</v>
      </c>
      <c r="CE66" s="751">
        <v>0</v>
      </c>
      <c r="CF66" s="751">
        <v>0</v>
      </c>
      <c r="CG66" s="751">
        <v>4657</v>
      </c>
      <c r="CH66" s="751">
        <v>5743</v>
      </c>
      <c r="CI66" s="751">
        <v>0</v>
      </c>
      <c r="CJ66" s="751">
        <v>10400</v>
      </c>
      <c r="CK66" s="751">
        <v>0</v>
      </c>
      <c r="CL66" s="751">
        <v>0</v>
      </c>
      <c r="CM66" s="751">
        <v>0</v>
      </c>
      <c r="CN66" s="751">
        <v>0</v>
      </c>
      <c r="CO66" s="751">
        <v>0</v>
      </c>
      <c r="CP66" s="751">
        <v>0</v>
      </c>
      <c r="CQ66" s="751">
        <v>0</v>
      </c>
      <c r="CR66" s="751">
        <v>0</v>
      </c>
      <c r="CS66" s="751">
        <v>448</v>
      </c>
      <c r="CT66" s="751">
        <v>554</v>
      </c>
      <c r="CU66" s="751">
        <v>0</v>
      </c>
      <c r="CV66" s="751">
        <v>1002</v>
      </c>
      <c r="CW66" s="751">
        <v>19901690</v>
      </c>
      <c r="CX66" s="751">
        <v>23770163</v>
      </c>
      <c r="CY66" s="751">
        <v>0</v>
      </c>
      <c r="CZ66" s="751">
        <v>43671853</v>
      </c>
      <c r="DA66" s="662" t="s">
        <v>735</v>
      </c>
      <c r="DB66" s="324" t="s">
        <v>35</v>
      </c>
      <c r="DC66" s="669" t="s">
        <v>485</v>
      </c>
      <c r="DD66" s="529" t="s">
        <v>1273</v>
      </c>
    </row>
    <row r="67" spans="1:108" ht="12.75" x14ac:dyDescent="0.2">
      <c r="A67" s="664">
        <v>60</v>
      </c>
      <c r="B67" s="665" t="s">
        <v>2</v>
      </c>
      <c r="C67" s="666" t="s">
        <v>1201</v>
      </c>
      <c r="D67" s="667" t="s">
        <v>1211</v>
      </c>
      <c r="E67" s="668" t="s">
        <v>1</v>
      </c>
      <c r="F67" s="750">
        <v>63358624</v>
      </c>
      <c r="G67" s="751">
        <v>0</v>
      </c>
      <c r="H67" s="751">
        <v>49240</v>
      </c>
      <c r="I67" s="751">
        <v>237887</v>
      </c>
      <c r="J67" s="751">
        <v>0</v>
      </c>
      <c r="K67" s="751">
        <v>237887</v>
      </c>
      <c r="L67" s="751">
        <v>0</v>
      </c>
      <c r="M67" s="751">
        <v>0</v>
      </c>
      <c r="N67" s="751">
        <v>0</v>
      </c>
      <c r="O67" s="751">
        <v>0</v>
      </c>
      <c r="P67" s="751">
        <v>0</v>
      </c>
      <c r="Q67" s="751">
        <v>0</v>
      </c>
      <c r="R67" s="751">
        <v>63071497</v>
      </c>
      <c r="S67" s="749">
        <v>0.5</v>
      </c>
      <c r="T67" s="749">
        <v>0.4</v>
      </c>
      <c r="U67" s="749">
        <v>0.09</v>
      </c>
      <c r="V67" s="749">
        <v>0.01</v>
      </c>
      <c r="W67" s="749">
        <v>1</v>
      </c>
      <c r="X67" s="751">
        <v>31535748</v>
      </c>
      <c r="Y67" s="751">
        <v>25228599</v>
      </c>
      <c r="Z67" s="751">
        <v>5676435</v>
      </c>
      <c r="AA67" s="751">
        <v>630715</v>
      </c>
      <c r="AB67" s="751">
        <v>63071497</v>
      </c>
      <c r="AC67" s="751">
        <v>0</v>
      </c>
      <c r="AD67" s="751">
        <v>0</v>
      </c>
      <c r="AE67" s="751">
        <v>31535748</v>
      </c>
      <c r="AF67" s="751">
        <v>25228599</v>
      </c>
      <c r="AG67" s="751">
        <v>5676435</v>
      </c>
      <c r="AH67" s="751">
        <v>630715</v>
      </c>
      <c r="AI67" s="751">
        <v>63071497</v>
      </c>
      <c r="AJ67" s="751">
        <v>237887</v>
      </c>
      <c r="AK67" s="751">
        <v>237887</v>
      </c>
      <c r="AL67" s="751">
        <v>0</v>
      </c>
      <c r="AM67" s="751">
        <v>0</v>
      </c>
      <c r="AN67" s="751">
        <v>0</v>
      </c>
      <c r="AO67" s="751">
        <v>0</v>
      </c>
      <c r="AP67" s="751">
        <v>0</v>
      </c>
      <c r="AQ67" s="751">
        <v>0</v>
      </c>
      <c r="AR67" s="751">
        <v>0</v>
      </c>
      <c r="AS67" s="751">
        <v>0</v>
      </c>
      <c r="AT67" s="751">
        <v>0</v>
      </c>
      <c r="AU67" s="751">
        <v>0</v>
      </c>
      <c r="AV67" s="751">
        <v>0</v>
      </c>
      <c r="AW67" s="751">
        <v>0</v>
      </c>
      <c r="AX67" s="751">
        <v>0</v>
      </c>
      <c r="AY67" s="751">
        <v>0</v>
      </c>
      <c r="AZ67" s="751">
        <v>0</v>
      </c>
      <c r="BA67" s="751">
        <v>0</v>
      </c>
      <c r="BB67" s="751">
        <v>0</v>
      </c>
      <c r="BC67" s="751">
        <v>-15983379</v>
      </c>
      <c r="BD67" s="751">
        <v>-12786703</v>
      </c>
      <c r="BE67" s="751">
        <v>-2877008</v>
      </c>
      <c r="BF67" s="751">
        <v>-319668</v>
      </c>
      <c r="BG67" s="751">
        <v>-31966758</v>
      </c>
      <c r="BH67" s="751">
        <v>15552369</v>
      </c>
      <c r="BI67" s="751">
        <v>12679783</v>
      </c>
      <c r="BJ67" s="751">
        <v>2799427</v>
      </c>
      <c r="BK67" s="751">
        <v>311047</v>
      </c>
      <c r="BL67" s="751">
        <v>31342626</v>
      </c>
      <c r="BM67" s="751">
        <v>1314516</v>
      </c>
      <c r="BN67" s="751">
        <v>295766</v>
      </c>
      <c r="BO67" s="751">
        <v>32863</v>
      </c>
      <c r="BP67" s="751">
        <v>1643145</v>
      </c>
      <c r="BQ67" s="751">
        <v>1883692</v>
      </c>
      <c r="BR67" s="751">
        <v>423831</v>
      </c>
      <c r="BS67" s="751">
        <v>47092</v>
      </c>
      <c r="BT67" s="751">
        <v>2354615</v>
      </c>
      <c r="BU67" s="751">
        <v>126447</v>
      </c>
      <c r="BV67" s="751">
        <v>28451</v>
      </c>
      <c r="BW67" s="751">
        <v>3161</v>
      </c>
      <c r="BX67" s="751">
        <v>158059</v>
      </c>
      <c r="BY67" s="751">
        <v>0</v>
      </c>
      <c r="BZ67" s="751">
        <v>0</v>
      </c>
      <c r="CA67" s="751">
        <v>0</v>
      </c>
      <c r="CB67" s="751">
        <v>0</v>
      </c>
      <c r="CC67" s="751">
        <v>2155</v>
      </c>
      <c r="CD67" s="751">
        <v>485</v>
      </c>
      <c r="CE67" s="751">
        <v>54</v>
      </c>
      <c r="CF67" s="751">
        <v>2694</v>
      </c>
      <c r="CG67" s="751">
        <v>3055</v>
      </c>
      <c r="CH67" s="751">
        <v>687</v>
      </c>
      <c r="CI67" s="751">
        <v>76</v>
      </c>
      <c r="CJ67" s="751">
        <v>3818</v>
      </c>
      <c r="CK67" s="751">
        <v>0</v>
      </c>
      <c r="CL67" s="751">
        <v>0</v>
      </c>
      <c r="CM67" s="751">
        <v>0</v>
      </c>
      <c r="CN67" s="751">
        <v>0</v>
      </c>
      <c r="CO67" s="751">
        <v>0</v>
      </c>
      <c r="CP67" s="751">
        <v>0</v>
      </c>
      <c r="CQ67" s="751">
        <v>0</v>
      </c>
      <c r="CR67" s="751">
        <v>0</v>
      </c>
      <c r="CS67" s="751">
        <v>631</v>
      </c>
      <c r="CT67" s="751">
        <v>142</v>
      </c>
      <c r="CU67" s="751">
        <v>16</v>
      </c>
      <c r="CV67" s="751">
        <v>789</v>
      </c>
      <c r="CW67" s="751">
        <v>3330496</v>
      </c>
      <c r="CX67" s="751">
        <v>749362</v>
      </c>
      <c r="CY67" s="751">
        <v>83262</v>
      </c>
      <c r="CZ67" s="751">
        <v>4163120</v>
      </c>
      <c r="DA67" s="662" t="s">
        <v>1</v>
      </c>
      <c r="DB67" s="324" t="s">
        <v>528</v>
      </c>
      <c r="DC67" s="663" t="s">
        <v>1913</v>
      </c>
      <c r="DD67" s="529" t="s">
        <v>1274</v>
      </c>
    </row>
    <row r="68" spans="1:108" ht="12.75" x14ac:dyDescent="0.2">
      <c r="A68" s="664">
        <v>61</v>
      </c>
      <c r="B68" s="665" t="s">
        <v>4</v>
      </c>
      <c r="C68" s="666" t="s">
        <v>1201</v>
      </c>
      <c r="D68" s="667" t="s">
        <v>1204</v>
      </c>
      <c r="E68" s="668" t="s">
        <v>3</v>
      </c>
      <c r="F68" s="750">
        <v>38271485</v>
      </c>
      <c r="G68" s="751">
        <v>0</v>
      </c>
      <c r="H68" s="751">
        <v>1886388</v>
      </c>
      <c r="I68" s="751">
        <v>102811</v>
      </c>
      <c r="J68" s="751">
        <v>0</v>
      </c>
      <c r="K68" s="751">
        <v>102811</v>
      </c>
      <c r="L68" s="751">
        <v>0</v>
      </c>
      <c r="M68" s="751">
        <v>0</v>
      </c>
      <c r="N68" s="751">
        <v>75434</v>
      </c>
      <c r="O68" s="751">
        <v>75434</v>
      </c>
      <c r="P68" s="751">
        <v>0</v>
      </c>
      <c r="Q68" s="751">
        <v>0</v>
      </c>
      <c r="R68" s="751">
        <v>36206852</v>
      </c>
      <c r="S68" s="749">
        <v>0.5</v>
      </c>
      <c r="T68" s="749">
        <v>0.4</v>
      </c>
      <c r="U68" s="749">
        <v>0.1</v>
      </c>
      <c r="V68" s="749">
        <v>0</v>
      </c>
      <c r="W68" s="749">
        <v>1</v>
      </c>
      <c r="X68" s="751">
        <v>18103426</v>
      </c>
      <c r="Y68" s="751">
        <v>14482741</v>
      </c>
      <c r="Z68" s="751">
        <v>3620685</v>
      </c>
      <c r="AA68" s="751">
        <v>0</v>
      </c>
      <c r="AB68" s="751">
        <v>36206852</v>
      </c>
      <c r="AC68" s="751">
        <v>0</v>
      </c>
      <c r="AD68" s="751">
        <v>0</v>
      </c>
      <c r="AE68" s="751">
        <v>18103426</v>
      </c>
      <c r="AF68" s="751">
        <v>14482741</v>
      </c>
      <c r="AG68" s="751">
        <v>3620685</v>
      </c>
      <c r="AH68" s="751">
        <v>0</v>
      </c>
      <c r="AI68" s="751">
        <v>36206852</v>
      </c>
      <c r="AJ68" s="751">
        <v>102811</v>
      </c>
      <c r="AK68" s="751">
        <v>102811</v>
      </c>
      <c r="AL68" s="751">
        <v>0</v>
      </c>
      <c r="AM68" s="751">
        <v>0</v>
      </c>
      <c r="AN68" s="751">
        <v>75434</v>
      </c>
      <c r="AO68" s="751">
        <v>0</v>
      </c>
      <c r="AP68" s="751">
        <v>75434</v>
      </c>
      <c r="AQ68" s="751">
        <v>0</v>
      </c>
      <c r="AR68" s="751">
        <v>0</v>
      </c>
      <c r="AS68" s="751">
        <v>0</v>
      </c>
      <c r="AT68" s="751">
        <v>0</v>
      </c>
      <c r="AU68" s="751">
        <v>0</v>
      </c>
      <c r="AV68" s="751">
        <v>0</v>
      </c>
      <c r="AW68" s="751">
        <v>0</v>
      </c>
      <c r="AX68" s="751">
        <v>0</v>
      </c>
      <c r="AY68" s="751">
        <v>0</v>
      </c>
      <c r="AZ68" s="751">
        <v>0</v>
      </c>
      <c r="BA68" s="751">
        <v>0</v>
      </c>
      <c r="BB68" s="751">
        <v>0</v>
      </c>
      <c r="BC68" s="751">
        <v>-2509099</v>
      </c>
      <c r="BD68" s="751">
        <v>-2007279</v>
      </c>
      <c r="BE68" s="751">
        <v>-501820</v>
      </c>
      <c r="BF68" s="751">
        <v>0</v>
      </c>
      <c r="BG68" s="751">
        <v>-5018197</v>
      </c>
      <c r="BH68" s="751">
        <v>15594328</v>
      </c>
      <c r="BI68" s="751">
        <v>12653707</v>
      </c>
      <c r="BJ68" s="751">
        <v>3118865</v>
      </c>
      <c r="BK68" s="751">
        <v>0</v>
      </c>
      <c r="BL68" s="751">
        <v>31366900</v>
      </c>
      <c r="BM68" s="751">
        <v>758542</v>
      </c>
      <c r="BN68" s="751">
        <v>188653</v>
      </c>
      <c r="BO68" s="751">
        <v>0</v>
      </c>
      <c r="BP68" s="751">
        <v>947195</v>
      </c>
      <c r="BQ68" s="751">
        <v>730693</v>
      </c>
      <c r="BR68" s="751">
        <v>182673</v>
      </c>
      <c r="BS68" s="751">
        <v>0</v>
      </c>
      <c r="BT68" s="751">
        <v>913366</v>
      </c>
      <c r="BU68" s="751">
        <v>35950</v>
      </c>
      <c r="BV68" s="751">
        <v>8988</v>
      </c>
      <c r="BW68" s="751">
        <v>0</v>
      </c>
      <c r="BX68" s="751">
        <v>44938</v>
      </c>
      <c r="BY68" s="751">
        <v>567</v>
      </c>
      <c r="BZ68" s="751">
        <v>142</v>
      </c>
      <c r="CA68" s="751">
        <v>0</v>
      </c>
      <c r="CB68" s="751">
        <v>709</v>
      </c>
      <c r="CC68" s="751">
        <v>7483</v>
      </c>
      <c r="CD68" s="751">
        <v>1871</v>
      </c>
      <c r="CE68" s="751">
        <v>0</v>
      </c>
      <c r="CF68" s="751">
        <v>9354</v>
      </c>
      <c r="CG68" s="751">
        <v>4209</v>
      </c>
      <c r="CH68" s="751">
        <v>1052</v>
      </c>
      <c r="CI68" s="751">
        <v>0</v>
      </c>
      <c r="CJ68" s="751">
        <v>5261</v>
      </c>
      <c r="CK68" s="751">
        <v>0</v>
      </c>
      <c r="CL68" s="751">
        <v>0</v>
      </c>
      <c r="CM68" s="751">
        <v>0</v>
      </c>
      <c r="CN68" s="751">
        <v>0</v>
      </c>
      <c r="CO68" s="751">
        <v>0</v>
      </c>
      <c r="CP68" s="751">
        <v>0</v>
      </c>
      <c r="CQ68" s="751">
        <v>0</v>
      </c>
      <c r="CR68" s="751">
        <v>0</v>
      </c>
      <c r="CS68" s="751">
        <v>0</v>
      </c>
      <c r="CT68" s="751">
        <v>0</v>
      </c>
      <c r="CU68" s="751">
        <v>0</v>
      </c>
      <c r="CV68" s="751">
        <v>0</v>
      </c>
      <c r="CW68" s="751">
        <v>1537444</v>
      </c>
      <c r="CX68" s="751">
        <v>383379</v>
      </c>
      <c r="CY68" s="751">
        <v>0</v>
      </c>
      <c r="CZ68" s="751">
        <v>1920823</v>
      </c>
      <c r="DA68" s="662" t="s">
        <v>3</v>
      </c>
      <c r="DB68" s="324" t="s">
        <v>513</v>
      </c>
      <c r="DC68" s="663" t="s">
        <v>512</v>
      </c>
      <c r="DD68" s="529" t="s">
        <v>1275</v>
      </c>
    </row>
    <row r="69" spans="1:108" ht="12.75" x14ac:dyDescent="0.2">
      <c r="A69" s="664">
        <v>62</v>
      </c>
      <c r="B69" s="665" t="s">
        <v>6</v>
      </c>
      <c r="C69" s="666" t="s">
        <v>486</v>
      </c>
      <c r="D69" s="667" t="s">
        <v>1224</v>
      </c>
      <c r="E69" s="668" t="s">
        <v>5</v>
      </c>
      <c r="F69" s="750">
        <v>158494470</v>
      </c>
      <c r="G69" s="751">
        <v>0</v>
      </c>
      <c r="H69" s="751">
        <v>235970</v>
      </c>
      <c r="I69" s="751">
        <v>1193563</v>
      </c>
      <c r="J69" s="751">
        <v>0</v>
      </c>
      <c r="K69" s="751">
        <v>1193563</v>
      </c>
      <c r="L69" s="751">
        <v>0</v>
      </c>
      <c r="M69" s="751">
        <v>591553</v>
      </c>
      <c r="N69" s="751">
        <v>2000000</v>
      </c>
      <c r="O69" s="751">
        <v>2000000</v>
      </c>
      <c r="P69" s="751">
        <v>0</v>
      </c>
      <c r="Q69" s="751">
        <v>0</v>
      </c>
      <c r="R69" s="751">
        <v>154473384</v>
      </c>
      <c r="S69" s="749">
        <v>0</v>
      </c>
      <c r="T69" s="749">
        <v>1</v>
      </c>
      <c r="U69" s="749">
        <v>0</v>
      </c>
      <c r="V69" s="749">
        <v>0</v>
      </c>
      <c r="W69" s="749">
        <v>1</v>
      </c>
      <c r="X69" s="751">
        <v>0</v>
      </c>
      <c r="Y69" s="751">
        <v>154473384</v>
      </c>
      <c r="Z69" s="751">
        <v>0</v>
      </c>
      <c r="AA69" s="751">
        <v>0</v>
      </c>
      <c r="AB69" s="751">
        <v>154473384</v>
      </c>
      <c r="AC69" s="751">
        <v>0</v>
      </c>
      <c r="AD69" s="751">
        <v>0</v>
      </c>
      <c r="AE69" s="751">
        <v>0</v>
      </c>
      <c r="AF69" s="751">
        <v>154473384</v>
      </c>
      <c r="AG69" s="751">
        <v>0</v>
      </c>
      <c r="AH69" s="751">
        <v>0</v>
      </c>
      <c r="AI69" s="751">
        <v>154473384</v>
      </c>
      <c r="AJ69" s="751">
        <v>1193563</v>
      </c>
      <c r="AK69" s="751">
        <v>1193563</v>
      </c>
      <c r="AL69" s="751">
        <v>591553</v>
      </c>
      <c r="AM69" s="751">
        <v>591553</v>
      </c>
      <c r="AN69" s="751">
        <v>2000000</v>
      </c>
      <c r="AO69" s="751">
        <v>0</v>
      </c>
      <c r="AP69" s="751">
        <v>2000000</v>
      </c>
      <c r="AQ69" s="751">
        <v>0</v>
      </c>
      <c r="AR69" s="751">
        <v>0</v>
      </c>
      <c r="AS69" s="751">
        <v>0</v>
      </c>
      <c r="AT69" s="751">
        <v>0</v>
      </c>
      <c r="AU69" s="751">
        <v>0</v>
      </c>
      <c r="AV69" s="751">
        <v>0</v>
      </c>
      <c r="AW69" s="751">
        <v>0</v>
      </c>
      <c r="AX69" s="751">
        <v>0</v>
      </c>
      <c r="AY69" s="751">
        <v>0</v>
      </c>
      <c r="AZ69" s="751">
        <v>0</v>
      </c>
      <c r="BA69" s="751">
        <v>0</v>
      </c>
      <c r="BB69" s="751">
        <v>0</v>
      </c>
      <c r="BC69" s="751">
        <v>0</v>
      </c>
      <c r="BD69" s="751">
        <v>-95949664</v>
      </c>
      <c r="BE69" s="751">
        <v>0</v>
      </c>
      <c r="BF69" s="751">
        <v>0</v>
      </c>
      <c r="BG69" s="751">
        <v>-95949664</v>
      </c>
      <c r="BH69" s="751">
        <v>0</v>
      </c>
      <c r="BI69" s="751">
        <v>62308836</v>
      </c>
      <c r="BJ69" s="751">
        <v>0</v>
      </c>
      <c r="BK69" s="751">
        <v>0</v>
      </c>
      <c r="BL69" s="751">
        <v>62308836</v>
      </c>
      <c r="BM69" s="751">
        <v>8183744</v>
      </c>
      <c r="BN69" s="751">
        <v>0</v>
      </c>
      <c r="BO69" s="751">
        <v>0</v>
      </c>
      <c r="BP69" s="751">
        <v>8183744</v>
      </c>
      <c r="BQ69" s="751">
        <v>31528795</v>
      </c>
      <c r="BR69" s="751">
        <v>0</v>
      </c>
      <c r="BS69" s="751">
        <v>0</v>
      </c>
      <c r="BT69" s="751">
        <v>31528795</v>
      </c>
      <c r="BU69" s="751">
        <v>1092095</v>
      </c>
      <c r="BV69" s="751">
        <v>0</v>
      </c>
      <c r="BW69" s="751">
        <v>0</v>
      </c>
      <c r="BX69" s="751">
        <v>1092095</v>
      </c>
      <c r="BY69" s="751">
        <v>47407</v>
      </c>
      <c r="BZ69" s="751">
        <v>0</v>
      </c>
      <c r="CA69" s="751">
        <v>0</v>
      </c>
      <c r="CB69" s="751">
        <v>47407</v>
      </c>
      <c r="CC69" s="751">
        <v>169855</v>
      </c>
      <c r="CD69" s="751">
        <v>0</v>
      </c>
      <c r="CE69" s="751">
        <v>0</v>
      </c>
      <c r="CF69" s="751">
        <v>169855</v>
      </c>
      <c r="CG69" s="751">
        <v>229621</v>
      </c>
      <c r="CH69" s="751">
        <v>0</v>
      </c>
      <c r="CI69" s="751">
        <v>0</v>
      </c>
      <c r="CJ69" s="751">
        <v>229621</v>
      </c>
      <c r="CK69" s="751">
        <v>222636</v>
      </c>
      <c r="CL69" s="751">
        <v>0</v>
      </c>
      <c r="CM69" s="751">
        <v>0</v>
      </c>
      <c r="CN69" s="751">
        <v>222636</v>
      </c>
      <c r="CO69" s="751">
        <v>0</v>
      </c>
      <c r="CP69" s="751">
        <v>0</v>
      </c>
      <c r="CQ69" s="751">
        <v>0</v>
      </c>
      <c r="CR69" s="751">
        <v>0</v>
      </c>
      <c r="CS69" s="751">
        <v>6313</v>
      </c>
      <c r="CT69" s="751">
        <v>0</v>
      </c>
      <c r="CU69" s="751">
        <v>0</v>
      </c>
      <c r="CV69" s="751">
        <v>6313</v>
      </c>
      <c r="CW69" s="751">
        <v>41480466</v>
      </c>
      <c r="CX69" s="751">
        <v>0</v>
      </c>
      <c r="CY69" s="751">
        <v>0</v>
      </c>
      <c r="CZ69" s="751">
        <v>41480466</v>
      </c>
      <c r="DA69" s="662" t="s">
        <v>5</v>
      </c>
      <c r="DB69" s="324" t="s">
        <v>486</v>
      </c>
      <c r="DC69" s="663" t="s">
        <v>512</v>
      </c>
      <c r="DD69" s="529" t="s">
        <v>1276</v>
      </c>
    </row>
    <row r="70" spans="1:108" ht="12.75" x14ac:dyDescent="0.2">
      <c r="A70" s="664">
        <v>63</v>
      </c>
      <c r="B70" s="665" t="s">
        <v>8</v>
      </c>
      <c r="C70" s="666" t="s">
        <v>1201</v>
      </c>
      <c r="D70" s="667" t="s">
        <v>1224</v>
      </c>
      <c r="E70" s="668" t="s">
        <v>7</v>
      </c>
      <c r="F70" s="750">
        <v>34070146</v>
      </c>
      <c r="G70" s="751">
        <v>150127</v>
      </c>
      <c r="H70" s="751">
        <v>0</v>
      </c>
      <c r="I70" s="751">
        <v>184555</v>
      </c>
      <c r="J70" s="751">
        <v>0</v>
      </c>
      <c r="K70" s="751">
        <v>184555</v>
      </c>
      <c r="L70" s="751">
        <v>0</v>
      </c>
      <c r="M70" s="751">
        <v>0</v>
      </c>
      <c r="N70" s="751">
        <v>66217</v>
      </c>
      <c r="O70" s="751">
        <v>66217</v>
      </c>
      <c r="P70" s="751">
        <v>0</v>
      </c>
      <c r="Q70" s="751">
        <v>0</v>
      </c>
      <c r="R70" s="751">
        <v>33969501</v>
      </c>
      <c r="S70" s="749">
        <v>0.5</v>
      </c>
      <c r="T70" s="749">
        <v>0.4</v>
      </c>
      <c r="U70" s="749">
        <v>0.1</v>
      </c>
      <c r="V70" s="749">
        <v>0</v>
      </c>
      <c r="W70" s="749">
        <v>1</v>
      </c>
      <c r="X70" s="751">
        <v>16984751</v>
      </c>
      <c r="Y70" s="751">
        <v>13587800</v>
      </c>
      <c r="Z70" s="751">
        <v>3396950</v>
      </c>
      <c r="AA70" s="751">
        <v>0</v>
      </c>
      <c r="AB70" s="751">
        <v>33969501</v>
      </c>
      <c r="AC70" s="751">
        <v>0</v>
      </c>
      <c r="AD70" s="751">
        <v>0</v>
      </c>
      <c r="AE70" s="751">
        <v>16984751</v>
      </c>
      <c r="AF70" s="751">
        <v>13587800</v>
      </c>
      <c r="AG70" s="751">
        <v>3396950</v>
      </c>
      <c r="AH70" s="751">
        <v>0</v>
      </c>
      <c r="AI70" s="751">
        <v>33969501</v>
      </c>
      <c r="AJ70" s="751">
        <v>184555</v>
      </c>
      <c r="AK70" s="751">
        <v>184555</v>
      </c>
      <c r="AL70" s="751">
        <v>0</v>
      </c>
      <c r="AM70" s="751">
        <v>0</v>
      </c>
      <c r="AN70" s="751">
        <v>66217</v>
      </c>
      <c r="AO70" s="751">
        <v>0</v>
      </c>
      <c r="AP70" s="751">
        <v>66217</v>
      </c>
      <c r="AQ70" s="751">
        <v>0</v>
      </c>
      <c r="AR70" s="751">
        <v>0</v>
      </c>
      <c r="AS70" s="751">
        <v>0</v>
      </c>
      <c r="AT70" s="751">
        <v>0</v>
      </c>
      <c r="AU70" s="751">
        <v>0</v>
      </c>
      <c r="AV70" s="751">
        <v>0</v>
      </c>
      <c r="AW70" s="751">
        <v>0</v>
      </c>
      <c r="AX70" s="751">
        <v>0</v>
      </c>
      <c r="AY70" s="751">
        <v>0</v>
      </c>
      <c r="AZ70" s="751">
        <v>0</v>
      </c>
      <c r="BA70" s="751">
        <v>0</v>
      </c>
      <c r="BB70" s="751">
        <v>0</v>
      </c>
      <c r="BC70" s="751">
        <v>-9401354</v>
      </c>
      <c r="BD70" s="751">
        <v>-7521083</v>
      </c>
      <c r="BE70" s="751">
        <v>-1880271</v>
      </c>
      <c r="BF70" s="751">
        <v>0</v>
      </c>
      <c r="BG70" s="751">
        <v>-18802709</v>
      </c>
      <c r="BH70" s="751">
        <v>7583397</v>
      </c>
      <c r="BI70" s="751">
        <v>6317489</v>
      </c>
      <c r="BJ70" s="751">
        <v>1516679</v>
      </c>
      <c r="BK70" s="751">
        <v>0</v>
      </c>
      <c r="BL70" s="751">
        <v>15417564</v>
      </c>
      <c r="BM70" s="751">
        <v>711432</v>
      </c>
      <c r="BN70" s="751">
        <v>176995</v>
      </c>
      <c r="BO70" s="751">
        <v>0</v>
      </c>
      <c r="BP70" s="751">
        <v>888427</v>
      </c>
      <c r="BQ70" s="751">
        <v>1843142</v>
      </c>
      <c r="BR70" s="751">
        <v>460785</v>
      </c>
      <c r="BS70" s="751">
        <v>0</v>
      </c>
      <c r="BT70" s="751">
        <v>2303927</v>
      </c>
      <c r="BU70" s="751">
        <v>91677</v>
      </c>
      <c r="BV70" s="751">
        <v>22919</v>
      </c>
      <c r="BW70" s="751">
        <v>0</v>
      </c>
      <c r="BX70" s="751">
        <v>114596</v>
      </c>
      <c r="BY70" s="751">
        <v>1197</v>
      </c>
      <c r="BZ70" s="751">
        <v>299</v>
      </c>
      <c r="CA70" s="751">
        <v>0</v>
      </c>
      <c r="CB70" s="751">
        <v>1496</v>
      </c>
      <c r="CC70" s="751">
        <v>12306</v>
      </c>
      <c r="CD70" s="751">
        <v>3077</v>
      </c>
      <c r="CE70" s="751">
        <v>0</v>
      </c>
      <c r="CF70" s="751">
        <v>15383</v>
      </c>
      <c r="CG70" s="751">
        <v>3785</v>
      </c>
      <c r="CH70" s="751">
        <v>946</v>
      </c>
      <c r="CI70" s="751">
        <v>0</v>
      </c>
      <c r="CJ70" s="751">
        <v>4731</v>
      </c>
      <c r="CK70" s="751">
        <v>0</v>
      </c>
      <c r="CL70" s="751">
        <v>0</v>
      </c>
      <c r="CM70" s="751">
        <v>0</v>
      </c>
      <c r="CN70" s="751">
        <v>0</v>
      </c>
      <c r="CO70" s="751">
        <v>0</v>
      </c>
      <c r="CP70" s="751">
        <v>0</v>
      </c>
      <c r="CQ70" s="751">
        <v>0</v>
      </c>
      <c r="CR70" s="751">
        <v>0</v>
      </c>
      <c r="CS70" s="751">
        <v>0</v>
      </c>
      <c r="CT70" s="751">
        <v>0</v>
      </c>
      <c r="CU70" s="751">
        <v>0</v>
      </c>
      <c r="CV70" s="751">
        <v>0</v>
      </c>
      <c r="CW70" s="751">
        <v>2663539</v>
      </c>
      <c r="CX70" s="751">
        <v>665021</v>
      </c>
      <c r="CY70" s="751">
        <v>0</v>
      </c>
      <c r="CZ70" s="751">
        <v>3328560</v>
      </c>
      <c r="DA70" s="662" t="s">
        <v>7</v>
      </c>
      <c r="DB70" s="324" t="s">
        <v>529</v>
      </c>
      <c r="DC70" s="663" t="s">
        <v>512</v>
      </c>
      <c r="DD70" s="529" t="s">
        <v>1277</v>
      </c>
    </row>
    <row r="71" spans="1:108" ht="12.75" x14ac:dyDescent="0.2">
      <c r="A71" s="664">
        <v>64</v>
      </c>
      <c r="B71" s="665" t="s">
        <v>10</v>
      </c>
      <c r="C71" s="666" t="s">
        <v>1217</v>
      </c>
      <c r="D71" s="667" t="s">
        <v>1228</v>
      </c>
      <c r="E71" s="668" t="s">
        <v>9</v>
      </c>
      <c r="F71" s="750">
        <v>119337128</v>
      </c>
      <c r="G71" s="751">
        <v>0</v>
      </c>
      <c r="H71" s="751">
        <v>1181783</v>
      </c>
      <c r="I71" s="751">
        <v>368101</v>
      </c>
      <c r="J71" s="751">
        <v>0</v>
      </c>
      <c r="K71" s="751">
        <v>368101</v>
      </c>
      <c r="L71" s="751">
        <v>0</v>
      </c>
      <c r="M71" s="751">
        <v>0</v>
      </c>
      <c r="N71" s="751">
        <v>0</v>
      </c>
      <c r="O71" s="751">
        <v>0</v>
      </c>
      <c r="P71" s="751">
        <v>0</v>
      </c>
      <c r="Q71" s="751">
        <v>0</v>
      </c>
      <c r="R71" s="751">
        <v>117787244</v>
      </c>
      <c r="S71" s="749">
        <v>0</v>
      </c>
      <c r="T71" s="749">
        <v>0.99</v>
      </c>
      <c r="U71" s="749">
        <v>0</v>
      </c>
      <c r="V71" s="749">
        <v>0.01</v>
      </c>
      <c r="W71" s="749">
        <v>1</v>
      </c>
      <c r="X71" s="751">
        <v>0</v>
      </c>
      <c r="Y71" s="751">
        <v>116609372</v>
      </c>
      <c r="Z71" s="751">
        <v>0</v>
      </c>
      <c r="AA71" s="751">
        <v>1177872</v>
      </c>
      <c r="AB71" s="751">
        <v>117787244</v>
      </c>
      <c r="AC71" s="751">
        <v>0</v>
      </c>
      <c r="AD71" s="751">
        <v>0</v>
      </c>
      <c r="AE71" s="751">
        <v>0</v>
      </c>
      <c r="AF71" s="751">
        <v>116609372</v>
      </c>
      <c r="AG71" s="751">
        <v>0</v>
      </c>
      <c r="AH71" s="751">
        <v>1177872</v>
      </c>
      <c r="AI71" s="751">
        <v>117787244</v>
      </c>
      <c r="AJ71" s="751">
        <v>368101</v>
      </c>
      <c r="AK71" s="751">
        <v>368101</v>
      </c>
      <c r="AL71" s="751">
        <v>0</v>
      </c>
      <c r="AM71" s="751">
        <v>0</v>
      </c>
      <c r="AN71" s="751">
        <v>0</v>
      </c>
      <c r="AO71" s="751">
        <v>0</v>
      </c>
      <c r="AP71" s="751">
        <v>0</v>
      </c>
      <c r="AQ71" s="751">
        <v>0</v>
      </c>
      <c r="AR71" s="751">
        <v>0</v>
      </c>
      <c r="AS71" s="751">
        <v>0</v>
      </c>
      <c r="AT71" s="751">
        <v>0</v>
      </c>
      <c r="AU71" s="751">
        <v>0</v>
      </c>
      <c r="AV71" s="751">
        <v>0</v>
      </c>
      <c r="AW71" s="751">
        <v>0</v>
      </c>
      <c r="AX71" s="751">
        <v>0</v>
      </c>
      <c r="AY71" s="751">
        <v>0</v>
      </c>
      <c r="AZ71" s="751">
        <v>0</v>
      </c>
      <c r="BA71" s="751">
        <v>0</v>
      </c>
      <c r="BB71" s="751">
        <v>0</v>
      </c>
      <c r="BC71" s="751">
        <v>0</v>
      </c>
      <c r="BD71" s="751">
        <v>-49120036</v>
      </c>
      <c r="BE71" s="751">
        <v>0</v>
      </c>
      <c r="BF71" s="751">
        <v>-496162</v>
      </c>
      <c r="BG71" s="751">
        <v>-49616198</v>
      </c>
      <c r="BH71" s="751">
        <v>0</v>
      </c>
      <c r="BI71" s="751">
        <v>67857437</v>
      </c>
      <c r="BJ71" s="751">
        <v>0</v>
      </c>
      <c r="BK71" s="751">
        <v>681710</v>
      </c>
      <c r="BL71" s="751">
        <v>68539147</v>
      </c>
      <c r="BM71" s="751">
        <v>6075839</v>
      </c>
      <c r="BN71" s="751">
        <v>0</v>
      </c>
      <c r="BO71" s="751">
        <v>61372</v>
      </c>
      <c r="BP71" s="751">
        <v>6137211</v>
      </c>
      <c r="BQ71" s="751">
        <v>6850550</v>
      </c>
      <c r="BR71" s="751">
        <v>0</v>
      </c>
      <c r="BS71" s="751">
        <v>69197</v>
      </c>
      <c r="BT71" s="751">
        <v>6919747</v>
      </c>
      <c r="BU71" s="751">
        <v>424725</v>
      </c>
      <c r="BV71" s="751">
        <v>0</v>
      </c>
      <c r="BW71" s="751">
        <v>4290</v>
      </c>
      <c r="BX71" s="751">
        <v>429015</v>
      </c>
      <c r="BY71" s="751">
        <v>0</v>
      </c>
      <c r="BZ71" s="751">
        <v>0</v>
      </c>
      <c r="CA71" s="751">
        <v>0</v>
      </c>
      <c r="CB71" s="751">
        <v>0</v>
      </c>
      <c r="CC71" s="751">
        <v>0</v>
      </c>
      <c r="CD71" s="751">
        <v>0</v>
      </c>
      <c r="CE71" s="751">
        <v>0</v>
      </c>
      <c r="CF71" s="751">
        <v>0</v>
      </c>
      <c r="CG71" s="751">
        <v>70189</v>
      </c>
      <c r="CH71" s="751">
        <v>0</v>
      </c>
      <c r="CI71" s="751">
        <v>709</v>
      </c>
      <c r="CJ71" s="751">
        <v>70898</v>
      </c>
      <c r="CK71" s="751">
        <v>0</v>
      </c>
      <c r="CL71" s="751">
        <v>0</v>
      </c>
      <c r="CM71" s="751">
        <v>0</v>
      </c>
      <c r="CN71" s="751">
        <v>0</v>
      </c>
      <c r="CO71" s="751">
        <v>0</v>
      </c>
      <c r="CP71" s="751">
        <v>0</v>
      </c>
      <c r="CQ71" s="751">
        <v>0</v>
      </c>
      <c r="CR71" s="751">
        <v>0</v>
      </c>
      <c r="CS71" s="751">
        <v>1562</v>
      </c>
      <c r="CT71" s="751">
        <v>0</v>
      </c>
      <c r="CU71" s="751">
        <v>16</v>
      </c>
      <c r="CV71" s="751">
        <v>1578</v>
      </c>
      <c r="CW71" s="751">
        <v>13422865</v>
      </c>
      <c r="CX71" s="751">
        <v>0</v>
      </c>
      <c r="CY71" s="751">
        <v>135584</v>
      </c>
      <c r="CZ71" s="751">
        <v>13558449</v>
      </c>
      <c r="DA71" s="662" t="s">
        <v>9</v>
      </c>
      <c r="DB71" s="324" t="s">
        <v>570</v>
      </c>
      <c r="DC71" s="663" t="s">
        <v>574</v>
      </c>
      <c r="DD71" s="529" t="s">
        <v>1278</v>
      </c>
    </row>
    <row r="72" spans="1:108" ht="12.75" x14ac:dyDescent="0.2">
      <c r="A72" s="664">
        <v>65</v>
      </c>
      <c r="B72" s="665" t="s">
        <v>12</v>
      </c>
      <c r="C72" s="666" t="s">
        <v>1201</v>
      </c>
      <c r="D72" s="667" t="s">
        <v>1218</v>
      </c>
      <c r="E72" s="668" t="s">
        <v>11</v>
      </c>
      <c r="F72" s="750">
        <v>18988237</v>
      </c>
      <c r="G72" s="751">
        <v>110318</v>
      </c>
      <c r="H72" s="751">
        <v>0</v>
      </c>
      <c r="I72" s="751">
        <v>119076</v>
      </c>
      <c r="J72" s="751">
        <v>0</v>
      </c>
      <c r="K72" s="751">
        <v>119076</v>
      </c>
      <c r="L72" s="751">
        <v>0</v>
      </c>
      <c r="M72" s="751">
        <v>0</v>
      </c>
      <c r="N72" s="751">
        <v>0</v>
      </c>
      <c r="O72" s="751">
        <v>0</v>
      </c>
      <c r="P72" s="751">
        <v>0</v>
      </c>
      <c r="Q72" s="751">
        <v>0</v>
      </c>
      <c r="R72" s="751">
        <v>18979479</v>
      </c>
      <c r="S72" s="749">
        <v>0.5</v>
      </c>
      <c r="T72" s="749">
        <v>0.4</v>
      </c>
      <c r="U72" s="749">
        <v>0.09</v>
      </c>
      <c r="V72" s="749">
        <v>0.01</v>
      </c>
      <c r="W72" s="749">
        <v>1</v>
      </c>
      <c r="X72" s="751">
        <v>9489739</v>
      </c>
      <c r="Y72" s="751">
        <v>7591792</v>
      </c>
      <c r="Z72" s="751">
        <v>1708153</v>
      </c>
      <c r="AA72" s="751">
        <v>189795</v>
      </c>
      <c r="AB72" s="751">
        <v>18979479</v>
      </c>
      <c r="AC72" s="751">
        <v>0</v>
      </c>
      <c r="AD72" s="751">
        <v>0</v>
      </c>
      <c r="AE72" s="751">
        <v>9489739</v>
      </c>
      <c r="AF72" s="751">
        <v>7591792</v>
      </c>
      <c r="AG72" s="751">
        <v>1708153</v>
      </c>
      <c r="AH72" s="751">
        <v>189795</v>
      </c>
      <c r="AI72" s="751">
        <v>18979479</v>
      </c>
      <c r="AJ72" s="751">
        <v>119076</v>
      </c>
      <c r="AK72" s="751">
        <v>119076</v>
      </c>
      <c r="AL72" s="751">
        <v>0</v>
      </c>
      <c r="AM72" s="751">
        <v>0</v>
      </c>
      <c r="AN72" s="751">
        <v>0</v>
      </c>
      <c r="AO72" s="751">
        <v>0</v>
      </c>
      <c r="AP72" s="751">
        <v>0</v>
      </c>
      <c r="AQ72" s="751">
        <v>0</v>
      </c>
      <c r="AR72" s="751">
        <v>0</v>
      </c>
      <c r="AS72" s="751">
        <v>0</v>
      </c>
      <c r="AT72" s="751">
        <v>0</v>
      </c>
      <c r="AU72" s="751">
        <v>0</v>
      </c>
      <c r="AV72" s="751">
        <v>0</v>
      </c>
      <c r="AW72" s="751">
        <v>0</v>
      </c>
      <c r="AX72" s="751">
        <v>0</v>
      </c>
      <c r="AY72" s="751">
        <v>0</v>
      </c>
      <c r="AZ72" s="751">
        <v>0</v>
      </c>
      <c r="BA72" s="751">
        <v>0</v>
      </c>
      <c r="BB72" s="751">
        <v>0</v>
      </c>
      <c r="BC72" s="751">
        <v>-4507449</v>
      </c>
      <c r="BD72" s="751">
        <v>-3527162</v>
      </c>
      <c r="BE72" s="751">
        <v>-770124</v>
      </c>
      <c r="BF72" s="751">
        <v>-88937</v>
      </c>
      <c r="BG72" s="751">
        <v>-8893671</v>
      </c>
      <c r="BH72" s="751">
        <v>4982290</v>
      </c>
      <c r="BI72" s="751">
        <v>4183706</v>
      </c>
      <c r="BJ72" s="751">
        <v>938029</v>
      </c>
      <c r="BK72" s="751">
        <v>100858</v>
      </c>
      <c r="BL72" s="751">
        <v>10204884</v>
      </c>
      <c r="BM72" s="751">
        <v>395564</v>
      </c>
      <c r="BN72" s="751">
        <v>89002</v>
      </c>
      <c r="BO72" s="751">
        <v>9889</v>
      </c>
      <c r="BP72" s="751">
        <v>494455</v>
      </c>
      <c r="BQ72" s="751">
        <v>1122693</v>
      </c>
      <c r="BR72" s="751">
        <v>252606</v>
      </c>
      <c r="BS72" s="751">
        <v>28067</v>
      </c>
      <c r="BT72" s="751">
        <v>1403366</v>
      </c>
      <c r="BU72" s="751">
        <v>56561</v>
      </c>
      <c r="BV72" s="751">
        <v>12726</v>
      </c>
      <c r="BW72" s="751">
        <v>1414</v>
      </c>
      <c r="BX72" s="751">
        <v>70701</v>
      </c>
      <c r="BY72" s="751">
        <v>3386</v>
      </c>
      <c r="BZ72" s="751">
        <v>762</v>
      </c>
      <c r="CA72" s="751">
        <v>85</v>
      </c>
      <c r="CB72" s="751">
        <v>4233</v>
      </c>
      <c r="CC72" s="751">
        <v>4545</v>
      </c>
      <c r="CD72" s="751">
        <v>1023</v>
      </c>
      <c r="CE72" s="751">
        <v>114</v>
      </c>
      <c r="CF72" s="751">
        <v>5682</v>
      </c>
      <c r="CG72" s="751">
        <v>3386</v>
      </c>
      <c r="CH72" s="751">
        <v>762</v>
      </c>
      <c r="CI72" s="751">
        <v>85</v>
      </c>
      <c r="CJ72" s="751">
        <v>4233</v>
      </c>
      <c r="CK72" s="751">
        <v>0</v>
      </c>
      <c r="CL72" s="751">
        <v>0</v>
      </c>
      <c r="CM72" s="751">
        <v>0</v>
      </c>
      <c r="CN72" s="751">
        <v>0</v>
      </c>
      <c r="CO72" s="751">
        <v>0</v>
      </c>
      <c r="CP72" s="751">
        <v>0</v>
      </c>
      <c r="CQ72" s="751">
        <v>0</v>
      </c>
      <c r="CR72" s="751">
        <v>0</v>
      </c>
      <c r="CS72" s="751">
        <v>0</v>
      </c>
      <c r="CT72" s="751">
        <v>0</v>
      </c>
      <c r="CU72" s="751">
        <v>0</v>
      </c>
      <c r="CV72" s="751">
        <v>0</v>
      </c>
      <c r="CW72" s="751">
        <v>1586135</v>
      </c>
      <c r="CX72" s="751">
        <v>356881</v>
      </c>
      <c r="CY72" s="751">
        <v>39654</v>
      </c>
      <c r="CZ72" s="751">
        <v>1982670</v>
      </c>
      <c r="DA72" s="662" t="s">
        <v>11</v>
      </c>
      <c r="DB72" s="324" t="s">
        <v>556</v>
      </c>
      <c r="DC72" s="663" t="s">
        <v>555</v>
      </c>
      <c r="DD72" s="529" t="s">
        <v>1279</v>
      </c>
    </row>
    <row r="73" spans="1:108" ht="12.75" x14ac:dyDescent="0.2">
      <c r="A73" s="664">
        <v>66</v>
      </c>
      <c r="B73" s="665" t="s">
        <v>14</v>
      </c>
      <c r="C73" s="666" t="s">
        <v>1201</v>
      </c>
      <c r="D73" s="667" t="s">
        <v>1202</v>
      </c>
      <c r="E73" s="668" t="s">
        <v>13</v>
      </c>
      <c r="F73" s="750">
        <v>111399741</v>
      </c>
      <c r="G73" s="751">
        <v>0</v>
      </c>
      <c r="H73" s="751">
        <v>489950</v>
      </c>
      <c r="I73" s="751">
        <v>219374</v>
      </c>
      <c r="J73" s="751">
        <v>0</v>
      </c>
      <c r="K73" s="751">
        <v>219374</v>
      </c>
      <c r="L73" s="751">
        <v>0</v>
      </c>
      <c r="M73" s="751">
        <v>0</v>
      </c>
      <c r="N73" s="751">
        <v>5120</v>
      </c>
      <c r="O73" s="751">
        <v>5120</v>
      </c>
      <c r="P73" s="751">
        <v>0</v>
      </c>
      <c r="Q73" s="751">
        <v>0</v>
      </c>
      <c r="R73" s="751">
        <v>110685297</v>
      </c>
      <c r="S73" s="749">
        <v>0.5</v>
      </c>
      <c r="T73" s="749">
        <v>0.4</v>
      </c>
      <c r="U73" s="749">
        <v>0.1</v>
      </c>
      <c r="V73" s="749">
        <v>0</v>
      </c>
      <c r="W73" s="749">
        <v>1</v>
      </c>
      <c r="X73" s="751">
        <v>55342648</v>
      </c>
      <c r="Y73" s="751">
        <v>44274119</v>
      </c>
      <c r="Z73" s="751">
        <v>11068530</v>
      </c>
      <c r="AA73" s="751">
        <v>0</v>
      </c>
      <c r="AB73" s="751">
        <v>110685297</v>
      </c>
      <c r="AC73" s="751">
        <v>0</v>
      </c>
      <c r="AD73" s="751">
        <v>0</v>
      </c>
      <c r="AE73" s="751">
        <v>55342648</v>
      </c>
      <c r="AF73" s="751">
        <v>44274119</v>
      </c>
      <c r="AG73" s="751">
        <v>11068530</v>
      </c>
      <c r="AH73" s="751">
        <v>0</v>
      </c>
      <c r="AI73" s="751">
        <v>110685297</v>
      </c>
      <c r="AJ73" s="751">
        <v>219374</v>
      </c>
      <c r="AK73" s="751">
        <v>219374</v>
      </c>
      <c r="AL73" s="751">
        <v>0</v>
      </c>
      <c r="AM73" s="751">
        <v>0</v>
      </c>
      <c r="AN73" s="751">
        <v>5120</v>
      </c>
      <c r="AO73" s="751">
        <v>0</v>
      </c>
      <c r="AP73" s="751">
        <v>5120</v>
      </c>
      <c r="AQ73" s="751">
        <v>0</v>
      </c>
      <c r="AR73" s="751">
        <v>0</v>
      </c>
      <c r="AS73" s="751">
        <v>0</v>
      </c>
      <c r="AT73" s="751">
        <v>0</v>
      </c>
      <c r="AU73" s="751">
        <v>0</v>
      </c>
      <c r="AV73" s="751">
        <v>0</v>
      </c>
      <c r="AW73" s="751">
        <v>0</v>
      </c>
      <c r="AX73" s="751">
        <v>0</v>
      </c>
      <c r="AY73" s="751">
        <v>0</v>
      </c>
      <c r="AZ73" s="751">
        <v>0</v>
      </c>
      <c r="BA73" s="751">
        <v>0</v>
      </c>
      <c r="BB73" s="751">
        <v>0</v>
      </c>
      <c r="BC73" s="751">
        <v>-20241194</v>
      </c>
      <c r="BD73" s="751">
        <v>-16192955</v>
      </c>
      <c r="BE73" s="751">
        <v>-5162066</v>
      </c>
      <c r="BF73" s="751">
        <v>0</v>
      </c>
      <c r="BG73" s="751">
        <v>-41596216</v>
      </c>
      <c r="BH73" s="751">
        <v>35101454</v>
      </c>
      <c r="BI73" s="751">
        <v>28305658</v>
      </c>
      <c r="BJ73" s="751">
        <v>5906464</v>
      </c>
      <c r="BK73" s="751">
        <v>0</v>
      </c>
      <c r="BL73" s="751">
        <v>69313575</v>
      </c>
      <c r="BM73" s="751">
        <v>2307135</v>
      </c>
      <c r="BN73" s="751">
        <v>576717</v>
      </c>
      <c r="BO73" s="751">
        <v>0</v>
      </c>
      <c r="BP73" s="751">
        <v>2883852</v>
      </c>
      <c r="BQ73" s="751">
        <v>604599</v>
      </c>
      <c r="BR73" s="751">
        <v>151150</v>
      </c>
      <c r="BS73" s="751">
        <v>0</v>
      </c>
      <c r="BT73" s="751">
        <v>755749</v>
      </c>
      <c r="BU73" s="751">
        <v>90369</v>
      </c>
      <c r="BV73" s="751">
        <v>22592</v>
      </c>
      <c r="BW73" s="751">
        <v>0</v>
      </c>
      <c r="BX73" s="751">
        <v>112961</v>
      </c>
      <c r="BY73" s="751">
        <v>9679</v>
      </c>
      <c r="BZ73" s="751">
        <v>2420</v>
      </c>
      <c r="CA73" s="751">
        <v>0</v>
      </c>
      <c r="CB73" s="751">
        <v>12099</v>
      </c>
      <c r="CC73" s="751">
        <v>0</v>
      </c>
      <c r="CD73" s="751">
        <v>0</v>
      </c>
      <c r="CE73" s="751">
        <v>0</v>
      </c>
      <c r="CF73" s="751">
        <v>0</v>
      </c>
      <c r="CG73" s="751">
        <v>7488</v>
      </c>
      <c r="CH73" s="751">
        <v>1872</v>
      </c>
      <c r="CI73" s="751">
        <v>0</v>
      </c>
      <c r="CJ73" s="751">
        <v>9360</v>
      </c>
      <c r="CK73" s="751">
        <v>0</v>
      </c>
      <c r="CL73" s="751">
        <v>0</v>
      </c>
      <c r="CM73" s="751">
        <v>0</v>
      </c>
      <c r="CN73" s="751">
        <v>0</v>
      </c>
      <c r="CO73" s="751">
        <v>0</v>
      </c>
      <c r="CP73" s="751">
        <v>0</v>
      </c>
      <c r="CQ73" s="751">
        <v>0</v>
      </c>
      <c r="CR73" s="751">
        <v>0</v>
      </c>
      <c r="CS73" s="751">
        <v>0</v>
      </c>
      <c r="CT73" s="751">
        <v>0</v>
      </c>
      <c r="CU73" s="751">
        <v>0</v>
      </c>
      <c r="CV73" s="751">
        <v>0</v>
      </c>
      <c r="CW73" s="751">
        <v>3019270</v>
      </c>
      <c r="CX73" s="751">
        <v>754751</v>
      </c>
      <c r="CY73" s="751">
        <v>0</v>
      </c>
      <c r="CZ73" s="751">
        <v>3774021</v>
      </c>
      <c r="DA73" s="662" t="s">
        <v>13</v>
      </c>
      <c r="DB73" s="324" t="s">
        <v>568</v>
      </c>
      <c r="DC73" s="663" t="s">
        <v>512</v>
      </c>
      <c r="DD73" s="529" t="s">
        <v>1280</v>
      </c>
    </row>
    <row r="74" spans="1:108" ht="12.75" x14ac:dyDescent="0.2">
      <c r="A74" s="664">
        <v>67</v>
      </c>
      <c r="B74" s="665" t="s">
        <v>16</v>
      </c>
      <c r="C74" s="666" t="s">
        <v>1213</v>
      </c>
      <c r="D74" s="667" t="s">
        <v>1214</v>
      </c>
      <c r="E74" s="668" t="s">
        <v>15</v>
      </c>
      <c r="F74" s="750">
        <v>127924388</v>
      </c>
      <c r="G74" s="751">
        <v>0</v>
      </c>
      <c r="H74" s="751">
        <v>279478</v>
      </c>
      <c r="I74" s="751">
        <v>402214</v>
      </c>
      <c r="J74" s="751">
        <v>0</v>
      </c>
      <c r="K74" s="751">
        <v>402214</v>
      </c>
      <c r="L74" s="751">
        <v>0</v>
      </c>
      <c r="M74" s="751">
        <v>2301954</v>
      </c>
      <c r="N74" s="751">
        <v>0</v>
      </c>
      <c r="O74" s="751">
        <v>0</v>
      </c>
      <c r="P74" s="751">
        <v>0</v>
      </c>
      <c r="Q74" s="751">
        <v>0</v>
      </c>
      <c r="R74" s="751">
        <v>124940742</v>
      </c>
      <c r="S74" s="749">
        <v>0.33</v>
      </c>
      <c r="T74" s="749">
        <v>0.3</v>
      </c>
      <c r="U74" s="749">
        <v>0.37</v>
      </c>
      <c r="V74" s="749">
        <v>0</v>
      </c>
      <c r="W74" s="749">
        <v>1</v>
      </c>
      <c r="X74" s="751">
        <v>41230444</v>
      </c>
      <c r="Y74" s="751">
        <v>37482223</v>
      </c>
      <c r="Z74" s="751">
        <v>46228075</v>
      </c>
      <c r="AA74" s="751">
        <v>0</v>
      </c>
      <c r="AB74" s="751">
        <v>124940742</v>
      </c>
      <c r="AC74" s="751">
        <v>0</v>
      </c>
      <c r="AD74" s="751">
        <v>0</v>
      </c>
      <c r="AE74" s="751">
        <v>41230444</v>
      </c>
      <c r="AF74" s="751">
        <v>37482223</v>
      </c>
      <c r="AG74" s="751">
        <v>46228075</v>
      </c>
      <c r="AH74" s="751">
        <v>0</v>
      </c>
      <c r="AI74" s="751">
        <v>124940742</v>
      </c>
      <c r="AJ74" s="751">
        <v>402214</v>
      </c>
      <c r="AK74" s="751">
        <v>402214</v>
      </c>
      <c r="AL74" s="751">
        <v>2301954</v>
      </c>
      <c r="AM74" s="751">
        <v>2301954</v>
      </c>
      <c r="AN74" s="751">
        <v>0</v>
      </c>
      <c r="AO74" s="751">
        <v>0</v>
      </c>
      <c r="AP74" s="751">
        <v>0</v>
      </c>
      <c r="AQ74" s="751">
        <v>0</v>
      </c>
      <c r="AR74" s="751">
        <v>0</v>
      </c>
      <c r="AS74" s="751">
        <v>0</v>
      </c>
      <c r="AT74" s="751">
        <v>0</v>
      </c>
      <c r="AU74" s="751">
        <v>0</v>
      </c>
      <c r="AV74" s="751">
        <v>0</v>
      </c>
      <c r="AW74" s="751">
        <v>0</v>
      </c>
      <c r="AX74" s="751">
        <v>0</v>
      </c>
      <c r="AY74" s="751">
        <v>0</v>
      </c>
      <c r="AZ74" s="751">
        <v>0</v>
      </c>
      <c r="BA74" s="751">
        <v>0</v>
      </c>
      <c r="BB74" s="751">
        <v>0</v>
      </c>
      <c r="BC74" s="751">
        <v>-21285954</v>
      </c>
      <c r="BD74" s="751">
        <v>-20356409</v>
      </c>
      <c r="BE74" s="751">
        <v>-23825076</v>
      </c>
      <c r="BF74" s="751">
        <v>0</v>
      </c>
      <c r="BG74" s="751">
        <v>-65467440</v>
      </c>
      <c r="BH74" s="751">
        <v>19944490</v>
      </c>
      <c r="BI74" s="751">
        <v>19829982</v>
      </c>
      <c r="BJ74" s="751">
        <v>22402999</v>
      </c>
      <c r="BK74" s="751">
        <v>0</v>
      </c>
      <c r="BL74" s="751">
        <v>62177470</v>
      </c>
      <c r="BM74" s="751">
        <v>2072923</v>
      </c>
      <c r="BN74" s="751">
        <v>2408677</v>
      </c>
      <c r="BO74" s="751">
        <v>0</v>
      </c>
      <c r="BP74" s="751">
        <v>4481600</v>
      </c>
      <c r="BQ74" s="751">
        <v>2617324</v>
      </c>
      <c r="BR74" s="751">
        <v>2842453</v>
      </c>
      <c r="BS74" s="751">
        <v>0</v>
      </c>
      <c r="BT74" s="751">
        <v>5459777</v>
      </c>
      <c r="BU74" s="751">
        <v>124089</v>
      </c>
      <c r="BV74" s="751">
        <v>111961</v>
      </c>
      <c r="BW74" s="751">
        <v>0</v>
      </c>
      <c r="BX74" s="751">
        <v>236050</v>
      </c>
      <c r="BY74" s="751">
        <v>0</v>
      </c>
      <c r="BZ74" s="751">
        <v>0</v>
      </c>
      <c r="CA74" s="751">
        <v>0</v>
      </c>
      <c r="CB74" s="751">
        <v>0</v>
      </c>
      <c r="CC74" s="751">
        <v>0</v>
      </c>
      <c r="CD74" s="751">
        <v>0</v>
      </c>
      <c r="CE74" s="751">
        <v>0</v>
      </c>
      <c r="CF74" s="751">
        <v>0</v>
      </c>
      <c r="CG74" s="751">
        <v>73455</v>
      </c>
      <c r="CH74" s="751">
        <v>88898</v>
      </c>
      <c r="CI74" s="751">
        <v>0</v>
      </c>
      <c r="CJ74" s="751">
        <v>162353</v>
      </c>
      <c r="CK74" s="751">
        <v>0</v>
      </c>
      <c r="CL74" s="751">
        <v>0</v>
      </c>
      <c r="CM74" s="751">
        <v>0</v>
      </c>
      <c r="CN74" s="751">
        <v>0</v>
      </c>
      <c r="CO74" s="751">
        <v>0</v>
      </c>
      <c r="CP74" s="751">
        <v>0</v>
      </c>
      <c r="CQ74" s="751">
        <v>0</v>
      </c>
      <c r="CR74" s="751">
        <v>0</v>
      </c>
      <c r="CS74" s="751">
        <v>0</v>
      </c>
      <c r="CT74" s="751">
        <v>0</v>
      </c>
      <c r="CU74" s="751">
        <v>0</v>
      </c>
      <c r="CV74" s="751">
        <v>0</v>
      </c>
      <c r="CW74" s="751">
        <v>4887791</v>
      </c>
      <c r="CX74" s="751">
        <v>5451989</v>
      </c>
      <c r="CY74" s="751">
        <v>0</v>
      </c>
      <c r="CZ74" s="751">
        <v>10339780</v>
      </c>
      <c r="DA74" s="662" t="s">
        <v>15</v>
      </c>
      <c r="DB74" s="324" t="s">
        <v>576</v>
      </c>
      <c r="DC74" s="669" t="s">
        <v>485</v>
      </c>
      <c r="DD74" s="529" t="s">
        <v>1281</v>
      </c>
    </row>
    <row r="75" spans="1:108" ht="12.75" x14ac:dyDescent="0.2">
      <c r="A75" s="664">
        <v>68</v>
      </c>
      <c r="B75" s="665" t="s">
        <v>18</v>
      </c>
      <c r="C75" s="666" t="s">
        <v>1201</v>
      </c>
      <c r="D75" s="667" t="s">
        <v>1211</v>
      </c>
      <c r="E75" s="668" t="s">
        <v>17</v>
      </c>
      <c r="F75" s="750">
        <v>69010896</v>
      </c>
      <c r="G75" s="751">
        <v>0</v>
      </c>
      <c r="H75" s="751">
        <v>55124</v>
      </c>
      <c r="I75" s="751">
        <v>201996</v>
      </c>
      <c r="J75" s="751">
        <v>0</v>
      </c>
      <c r="K75" s="751">
        <v>201996</v>
      </c>
      <c r="L75" s="751">
        <v>0</v>
      </c>
      <c r="M75" s="751">
        <v>1393350</v>
      </c>
      <c r="N75" s="751">
        <v>38513</v>
      </c>
      <c r="O75" s="751">
        <v>38513</v>
      </c>
      <c r="P75" s="751">
        <v>0</v>
      </c>
      <c r="Q75" s="751">
        <v>0</v>
      </c>
      <c r="R75" s="751">
        <v>67321913</v>
      </c>
      <c r="S75" s="749">
        <v>0.5</v>
      </c>
      <c r="T75" s="749">
        <v>0.4</v>
      </c>
      <c r="U75" s="749">
        <v>0.1</v>
      </c>
      <c r="V75" s="749">
        <v>0</v>
      </c>
      <c r="W75" s="749">
        <v>1</v>
      </c>
      <c r="X75" s="751">
        <v>33660957</v>
      </c>
      <c r="Y75" s="751">
        <v>26928765</v>
      </c>
      <c r="Z75" s="751">
        <v>6732191</v>
      </c>
      <c r="AA75" s="751">
        <v>0</v>
      </c>
      <c r="AB75" s="751">
        <v>67321913</v>
      </c>
      <c r="AC75" s="751">
        <v>73536</v>
      </c>
      <c r="AD75" s="751">
        <v>73536</v>
      </c>
      <c r="AE75" s="751">
        <v>33587421</v>
      </c>
      <c r="AF75" s="751">
        <v>26928765</v>
      </c>
      <c r="AG75" s="751">
        <v>6732191</v>
      </c>
      <c r="AH75" s="751">
        <v>0</v>
      </c>
      <c r="AI75" s="751">
        <v>67248377</v>
      </c>
      <c r="AJ75" s="751">
        <v>201996</v>
      </c>
      <c r="AK75" s="751">
        <v>201996</v>
      </c>
      <c r="AL75" s="751">
        <v>1393350</v>
      </c>
      <c r="AM75" s="751">
        <v>1393350</v>
      </c>
      <c r="AN75" s="751">
        <v>38513</v>
      </c>
      <c r="AO75" s="751">
        <v>0</v>
      </c>
      <c r="AP75" s="751">
        <v>38513</v>
      </c>
      <c r="AQ75" s="751">
        <v>0</v>
      </c>
      <c r="AR75" s="751">
        <v>0</v>
      </c>
      <c r="AS75" s="751">
        <v>0</v>
      </c>
      <c r="AT75" s="751">
        <v>0</v>
      </c>
      <c r="AU75" s="751">
        <v>73536</v>
      </c>
      <c r="AV75" s="751">
        <v>0</v>
      </c>
      <c r="AW75" s="751">
        <v>0</v>
      </c>
      <c r="AX75" s="751">
        <v>73536</v>
      </c>
      <c r="AY75" s="751">
        <v>0</v>
      </c>
      <c r="AZ75" s="751">
        <v>0</v>
      </c>
      <c r="BA75" s="751">
        <v>0</v>
      </c>
      <c r="BB75" s="751">
        <v>0</v>
      </c>
      <c r="BC75" s="751">
        <v>-13818983</v>
      </c>
      <c r="BD75" s="751">
        <v>-11449842</v>
      </c>
      <c r="BE75" s="751">
        <v>-3684660</v>
      </c>
      <c r="BF75" s="751">
        <v>0</v>
      </c>
      <c r="BG75" s="751">
        <v>-28953485</v>
      </c>
      <c r="BH75" s="751">
        <v>19768438</v>
      </c>
      <c r="BI75" s="751">
        <v>17186318</v>
      </c>
      <c r="BJ75" s="751">
        <v>3047531</v>
      </c>
      <c r="BK75" s="751">
        <v>0</v>
      </c>
      <c r="BL75" s="751">
        <v>40002287</v>
      </c>
      <c r="BM75" s="751">
        <v>1481540</v>
      </c>
      <c r="BN75" s="751">
        <v>350776</v>
      </c>
      <c r="BO75" s="751">
        <v>0</v>
      </c>
      <c r="BP75" s="751">
        <v>1832316</v>
      </c>
      <c r="BQ75" s="751">
        <v>1263774</v>
      </c>
      <c r="BR75" s="751">
        <v>315943</v>
      </c>
      <c r="BS75" s="751">
        <v>0</v>
      </c>
      <c r="BT75" s="751">
        <v>1579717</v>
      </c>
      <c r="BU75" s="751">
        <v>119043</v>
      </c>
      <c r="BV75" s="751">
        <v>29761</v>
      </c>
      <c r="BW75" s="751">
        <v>0</v>
      </c>
      <c r="BX75" s="751">
        <v>148804</v>
      </c>
      <c r="BY75" s="751">
        <v>0</v>
      </c>
      <c r="BZ75" s="751">
        <v>0</v>
      </c>
      <c r="CA75" s="751">
        <v>0</v>
      </c>
      <c r="CB75" s="751">
        <v>0</v>
      </c>
      <c r="CC75" s="751">
        <v>1864</v>
      </c>
      <c r="CD75" s="751">
        <v>466</v>
      </c>
      <c r="CE75" s="751">
        <v>0</v>
      </c>
      <c r="CF75" s="751">
        <v>2330</v>
      </c>
      <c r="CG75" s="751">
        <v>5330</v>
      </c>
      <c r="CH75" s="751">
        <v>1332</v>
      </c>
      <c r="CI75" s="751">
        <v>0</v>
      </c>
      <c r="CJ75" s="751">
        <v>6662</v>
      </c>
      <c r="CK75" s="751">
        <v>0</v>
      </c>
      <c r="CL75" s="751">
        <v>0</v>
      </c>
      <c r="CM75" s="751">
        <v>0</v>
      </c>
      <c r="CN75" s="751">
        <v>0</v>
      </c>
      <c r="CO75" s="751">
        <v>0</v>
      </c>
      <c r="CP75" s="751">
        <v>0</v>
      </c>
      <c r="CQ75" s="751">
        <v>0</v>
      </c>
      <c r="CR75" s="751">
        <v>0</v>
      </c>
      <c r="CS75" s="751">
        <v>0</v>
      </c>
      <c r="CT75" s="751">
        <v>0</v>
      </c>
      <c r="CU75" s="751">
        <v>0</v>
      </c>
      <c r="CV75" s="751">
        <v>0</v>
      </c>
      <c r="CW75" s="751">
        <v>2871551</v>
      </c>
      <c r="CX75" s="751">
        <v>698278</v>
      </c>
      <c r="CY75" s="751">
        <v>0</v>
      </c>
      <c r="CZ75" s="751">
        <v>3569829</v>
      </c>
      <c r="DA75" s="662" t="s">
        <v>17</v>
      </c>
      <c r="DB75" s="324" t="s">
        <v>536</v>
      </c>
      <c r="DC75" s="663" t="s">
        <v>512</v>
      </c>
      <c r="DD75" s="529" t="s">
        <v>1282</v>
      </c>
    </row>
    <row r="76" spans="1:108" ht="12.75" x14ac:dyDescent="0.2">
      <c r="A76" s="664">
        <v>69</v>
      </c>
      <c r="B76" s="665" t="s">
        <v>20</v>
      </c>
      <c r="C76" s="666" t="s">
        <v>486</v>
      </c>
      <c r="D76" s="667" t="s">
        <v>1283</v>
      </c>
      <c r="E76" s="668" t="s">
        <v>522</v>
      </c>
      <c r="F76" s="750">
        <v>37502785</v>
      </c>
      <c r="G76" s="751">
        <v>0</v>
      </c>
      <c r="H76" s="751">
        <v>542225</v>
      </c>
      <c r="I76" s="751">
        <v>145104</v>
      </c>
      <c r="J76" s="751">
        <v>0</v>
      </c>
      <c r="K76" s="751">
        <v>145104</v>
      </c>
      <c r="L76" s="751">
        <v>0</v>
      </c>
      <c r="M76" s="751">
        <v>207009</v>
      </c>
      <c r="N76" s="751">
        <v>0</v>
      </c>
      <c r="O76" s="751">
        <v>0</v>
      </c>
      <c r="P76" s="751">
        <v>0</v>
      </c>
      <c r="Q76" s="751">
        <v>0</v>
      </c>
      <c r="R76" s="751">
        <v>36608447</v>
      </c>
      <c r="S76" s="749">
        <v>0.5</v>
      </c>
      <c r="T76" s="749">
        <v>0.49</v>
      </c>
      <c r="U76" s="749">
        <v>0</v>
      </c>
      <c r="V76" s="749">
        <v>0.01</v>
      </c>
      <c r="W76" s="749">
        <v>1</v>
      </c>
      <c r="X76" s="751">
        <v>18304224</v>
      </c>
      <c r="Y76" s="751">
        <v>17938139</v>
      </c>
      <c r="Z76" s="751">
        <v>0</v>
      </c>
      <c r="AA76" s="751">
        <v>366084</v>
      </c>
      <c r="AB76" s="751">
        <v>36608447</v>
      </c>
      <c r="AC76" s="751">
        <v>30264</v>
      </c>
      <c r="AD76" s="751">
        <v>30264</v>
      </c>
      <c r="AE76" s="751">
        <v>18273960</v>
      </c>
      <c r="AF76" s="751">
        <v>17938139</v>
      </c>
      <c r="AG76" s="751">
        <v>0</v>
      </c>
      <c r="AH76" s="751">
        <v>366084</v>
      </c>
      <c r="AI76" s="751">
        <v>36578183</v>
      </c>
      <c r="AJ76" s="751">
        <v>145104</v>
      </c>
      <c r="AK76" s="751">
        <v>145104</v>
      </c>
      <c r="AL76" s="751">
        <v>207009</v>
      </c>
      <c r="AM76" s="751">
        <v>207009</v>
      </c>
      <c r="AN76" s="751">
        <v>0</v>
      </c>
      <c r="AO76" s="751">
        <v>0</v>
      </c>
      <c r="AP76" s="751">
        <v>0</v>
      </c>
      <c r="AQ76" s="751">
        <v>0</v>
      </c>
      <c r="AR76" s="751">
        <v>0</v>
      </c>
      <c r="AS76" s="751">
        <v>0</v>
      </c>
      <c r="AT76" s="751">
        <v>0</v>
      </c>
      <c r="AU76" s="751">
        <v>30264</v>
      </c>
      <c r="AV76" s="751">
        <v>0</v>
      </c>
      <c r="AW76" s="751">
        <v>0</v>
      </c>
      <c r="AX76" s="751">
        <v>30264</v>
      </c>
      <c r="AY76" s="751">
        <v>0</v>
      </c>
      <c r="AZ76" s="751">
        <v>0</v>
      </c>
      <c r="BA76" s="751">
        <v>0</v>
      </c>
      <c r="BB76" s="751">
        <v>0</v>
      </c>
      <c r="BC76" s="751">
        <v>-8701645</v>
      </c>
      <c r="BD76" s="751">
        <v>-8527612</v>
      </c>
      <c r="BE76" s="751">
        <v>0</v>
      </c>
      <c r="BF76" s="751">
        <v>-174033</v>
      </c>
      <c r="BG76" s="751">
        <v>-17403289</v>
      </c>
      <c r="BH76" s="751">
        <v>9572316</v>
      </c>
      <c r="BI76" s="751">
        <v>9792904</v>
      </c>
      <c r="BJ76" s="751">
        <v>0</v>
      </c>
      <c r="BK76" s="751">
        <v>192051</v>
      </c>
      <c r="BL76" s="751">
        <v>19557271</v>
      </c>
      <c r="BM76" s="751">
        <v>947015</v>
      </c>
      <c r="BN76" s="751">
        <v>0</v>
      </c>
      <c r="BO76" s="751">
        <v>19075</v>
      </c>
      <c r="BP76" s="751">
        <v>966090</v>
      </c>
      <c r="BQ76" s="751">
        <v>1668657</v>
      </c>
      <c r="BR76" s="751">
        <v>0</v>
      </c>
      <c r="BS76" s="751">
        <v>32966</v>
      </c>
      <c r="BT76" s="751">
        <v>1701623</v>
      </c>
      <c r="BU76" s="751">
        <v>67299</v>
      </c>
      <c r="BV76" s="751">
        <v>0</v>
      </c>
      <c r="BW76" s="751">
        <v>1367</v>
      </c>
      <c r="BX76" s="751">
        <v>68666</v>
      </c>
      <c r="BY76" s="751">
        <v>19800</v>
      </c>
      <c r="BZ76" s="751">
        <v>0</v>
      </c>
      <c r="CA76" s="751">
        <v>404</v>
      </c>
      <c r="CB76" s="751">
        <v>20204</v>
      </c>
      <c r="CC76" s="751">
        <v>0</v>
      </c>
      <c r="CD76" s="751">
        <v>0</v>
      </c>
      <c r="CE76" s="751">
        <v>0</v>
      </c>
      <c r="CF76" s="751">
        <v>0</v>
      </c>
      <c r="CG76" s="751">
        <v>8128</v>
      </c>
      <c r="CH76" s="751">
        <v>0</v>
      </c>
      <c r="CI76" s="751">
        <v>166</v>
      </c>
      <c r="CJ76" s="751">
        <v>8294</v>
      </c>
      <c r="CK76" s="751">
        <v>0</v>
      </c>
      <c r="CL76" s="751">
        <v>0</v>
      </c>
      <c r="CM76" s="751">
        <v>0</v>
      </c>
      <c r="CN76" s="751">
        <v>0</v>
      </c>
      <c r="CO76" s="751">
        <v>0</v>
      </c>
      <c r="CP76" s="751">
        <v>0</v>
      </c>
      <c r="CQ76" s="751">
        <v>0</v>
      </c>
      <c r="CR76" s="751">
        <v>0</v>
      </c>
      <c r="CS76" s="751">
        <v>0</v>
      </c>
      <c r="CT76" s="751">
        <v>0</v>
      </c>
      <c r="CU76" s="751">
        <v>0</v>
      </c>
      <c r="CV76" s="751">
        <v>0</v>
      </c>
      <c r="CW76" s="751">
        <v>2710899</v>
      </c>
      <c r="CX76" s="751">
        <v>0</v>
      </c>
      <c r="CY76" s="751">
        <v>53978</v>
      </c>
      <c r="CZ76" s="751">
        <v>2764877</v>
      </c>
      <c r="DA76" s="662" t="s">
        <v>522</v>
      </c>
      <c r="DB76" s="324" t="s">
        <v>486</v>
      </c>
      <c r="DC76" s="663" t="s">
        <v>523</v>
      </c>
      <c r="DD76" s="529" t="s">
        <v>1284</v>
      </c>
    </row>
    <row r="77" spans="1:108" ht="12.75" x14ac:dyDescent="0.2">
      <c r="A77" s="664">
        <v>70</v>
      </c>
      <c r="B77" s="665" t="s">
        <v>22</v>
      </c>
      <c r="C77" s="666" t="s">
        <v>1201</v>
      </c>
      <c r="D77" s="667" t="s">
        <v>1202</v>
      </c>
      <c r="E77" s="668" t="s">
        <v>21</v>
      </c>
      <c r="F77" s="750">
        <v>89648159</v>
      </c>
      <c r="G77" s="751">
        <v>0</v>
      </c>
      <c r="H77" s="751">
        <v>1036739</v>
      </c>
      <c r="I77" s="751">
        <v>169874</v>
      </c>
      <c r="J77" s="751">
        <v>0</v>
      </c>
      <c r="K77" s="751">
        <v>169874</v>
      </c>
      <c r="L77" s="751">
        <v>0</v>
      </c>
      <c r="M77" s="751">
        <v>0</v>
      </c>
      <c r="N77" s="751">
        <v>0</v>
      </c>
      <c r="O77" s="751">
        <v>0</v>
      </c>
      <c r="P77" s="751">
        <v>0</v>
      </c>
      <c r="Q77" s="751">
        <v>0</v>
      </c>
      <c r="R77" s="751">
        <v>88441546</v>
      </c>
      <c r="S77" s="749">
        <v>0.5</v>
      </c>
      <c r="T77" s="749">
        <v>0.4</v>
      </c>
      <c r="U77" s="749">
        <v>0.09</v>
      </c>
      <c r="V77" s="749">
        <v>0.01</v>
      </c>
      <c r="W77" s="749">
        <v>1</v>
      </c>
      <c r="X77" s="751">
        <v>44220774</v>
      </c>
      <c r="Y77" s="751">
        <v>35376618</v>
      </c>
      <c r="Z77" s="751">
        <v>7959739</v>
      </c>
      <c r="AA77" s="751">
        <v>884415</v>
      </c>
      <c r="AB77" s="751">
        <v>88441546</v>
      </c>
      <c r="AC77" s="751">
        <v>0</v>
      </c>
      <c r="AD77" s="751">
        <v>0</v>
      </c>
      <c r="AE77" s="751">
        <v>44220774</v>
      </c>
      <c r="AF77" s="751">
        <v>35376618</v>
      </c>
      <c r="AG77" s="751">
        <v>7959739</v>
      </c>
      <c r="AH77" s="751">
        <v>884415</v>
      </c>
      <c r="AI77" s="751">
        <v>88441546</v>
      </c>
      <c r="AJ77" s="751">
        <v>169874</v>
      </c>
      <c r="AK77" s="751">
        <v>169874</v>
      </c>
      <c r="AL77" s="751">
        <v>0</v>
      </c>
      <c r="AM77" s="751">
        <v>0</v>
      </c>
      <c r="AN77" s="751">
        <v>0</v>
      </c>
      <c r="AO77" s="751">
        <v>0</v>
      </c>
      <c r="AP77" s="751">
        <v>0</v>
      </c>
      <c r="AQ77" s="751">
        <v>0</v>
      </c>
      <c r="AR77" s="751">
        <v>0</v>
      </c>
      <c r="AS77" s="751">
        <v>0</v>
      </c>
      <c r="AT77" s="751">
        <v>0</v>
      </c>
      <c r="AU77" s="751">
        <v>0</v>
      </c>
      <c r="AV77" s="751">
        <v>0</v>
      </c>
      <c r="AW77" s="751">
        <v>0</v>
      </c>
      <c r="AX77" s="751">
        <v>0</v>
      </c>
      <c r="AY77" s="751">
        <v>0</v>
      </c>
      <c r="AZ77" s="751">
        <v>0</v>
      </c>
      <c r="BA77" s="751">
        <v>0</v>
      </c>
      <c r="BB77" s="751">
        <v>0</v>
      </c>
      <c r="BC77" s="751">
        <v>-29440019</v>
      </c>
      <c r="BD77" s="751">
        <v>-23552015</v>
      </c>
      <c r="BE77" s="751">
        <v>-5299203</v>
      </c>
      <c r="BF77" s="751">
        <v>-588800</v>
      </c>
      <c r="BG77" s="751">
        <v>-58880037</v>
      </c>
      <c r="BH77" s="751">
        <v>14780755</v>
      </c>
      <c r="BI77" s="751">
        <v>11994477</v>
      </c>
      <c r="BJ77" s="751">
        <v>2660536</v>
      </c>
      <c r="BK77" s="751">
        <v>295615</v>
      </c>
      <c r="BL77" s="751">
        <v>29731383</v>
      </c>
      <c r="BM77" s="751">
        <v>1843271</v>
      </c>
      <c r="BN77" s="751">
        <v>414736</v>
      </c>
      <c r="BO77" s="751">
        <v>46082</v>
      </c>
      <c r="BP77" s="751">
        <v>2304089</v>
      </c>
      <c r="BQ77" s="751">
        <v>806922</v>
      </c>
      <c r="BR77" s="751">
        <v>181558</v>
      </c>
      <c r="BS77" s="751">
        <v>20173</v>
      </c>
      <c r="BT77" s="751">
        <v>1008653</v>
      </c>
      <c r="BU77" s="751">
        <v>70494</v>
      </c>
      <c r="BV77" s="751">
        <v>15861</v>
      </c>
      <c r="BW77" s="751">
        <v>1762</v>
      </c>
      <c r="BX77" s="751">
        <v>88117</v>
      </c>
      <c r="BY77" s="751">
        <v>2079</v>
      </c>
      <c r="BZ77" s="751">
        <v>468</v>
      </c>
      <c r="CA77" s="751">
        <v>52</v>
      </c>
      <c r="CB77" s="751">
        <v>2599</v>
      </c>
      <c r="CC77" s="751">
        <v>0</v>
      </c>
      <c r="CD77" s="751">
        <v>0</v>
      </c>
      <c r="CE77" s="751">
        <v>0</v>
      </c>
      <c r="CF77" s="751">
        <v>0</v>
      </c>
      <c r="CG77" s="751">
        <v>2229</v>
      </c>
      <c r="CH77" s="751">
        <v>501</v>
      </c>
      <c r="CI77" s="751">
        <v>56</v>
      </c>
      <c r="CJ77" s="751">
        <v>2786</v>
      </c>
      <c r="CK77" s="751">
        <v>0</v>
      </c>
      <c r="CL77" s="751">
        <v>0</v>
      </c>
      <c r="CM77" s="751">
        <v>0</v>
      </c>
      <c r="CN77" s="751">
        <v>0</v>
      </c>
      <c r="CO77" s="751">
        <v>0</v>
      </c>
      <c r="CP77" s="751">
        <v>0</v>
      </c>
      <c r="CQ77" s="751">
        <v>0</v>
      </c>
      <c r="CR77" s="751">
        <v>0</v>
      </c>
      <c r="CS77" s="751">
        <v>0</v>
      </c>
      <c r="CT77" s="751">
        <v>0</v>
      </c>
      <c r="CU77" s="751">
        <v>0</v>
      </c>
      <c r="CV77" s="751">
        <v>0</v>
      </c>
      <c r="CW77" s="751">
        <v>2724995</v>
      </c>
      <c r="CX77" s="751">
        <v>613124</v>
      </c>
      <c r="CY77" s="751">
        <v>68125</v>
      </c>
      <c r="CZ77" s="751">
        <v>3406244</v>
      </c>
      <c r="DA77" s="662" t="s">
        <v>21</v>
      </c>
      <c r="DB77" s="324" t="s">
        <v>543</v>
      </c>
      <c r="DC77" s="663" t="s">
        <v>542</v>
      </c>
      <c r="DD77" s="529" t="s">
        <v>1285</v>
      </c>
    </row>
    <row r="78" spans="1:108" ht="14.25" x14ac:dyDescent="0.2">
      <c r="A78" s="664">
        <v>71</v>
      </c>
      <c r="B78" s="665" t="s">
        <v>24</v>
      </c>
      <c r="C78" s="666" t="s">
        <v>486</v>
      </c>
      <c r="D78" s="667" t="s">
        <v>1206</v>
      </c>
      <c r="E78" s="668" t="s">
        <v>1864</v>
      </c>
      <c r="F78" s="750">
        <v>92114675</v>
      </c>
      <c r="G78" s="751">
        <v>491196</v>
      </c>
      <c r="H78" s="751">
        <v>0</v>
      </c>
      <c r="I78" s="751">
        <v>338079</v>
      </c>
      <c r="J78" s="751">
        <v>0</v>
      </c>
      <c r="K78" s="751">
        <v>338079</v>
      </c>
      <c r="L78" s="751">
        <v>0</v>
      </c>
      <c r="M78" s="751">
        <v>105189</v>
      </c>
      <c r="N78" s="751">
        <v>740352</v>
      </c>
      <c r="O78" s="751">
        <v>740352</v>
      </c>
      <c r="P78" s="751">
        <v>0</v>
      </c>
      <c r="Q78" s="751">
        <v>0</v>
      </c>
      <c r="R78" s="751">
        <v>91422251</v>
      </c>
      <c r="S78" s="749">
        <v>0.5</v>
      </c>
      <c r="T78" s="749">
        <v>0.49</v>
      </c>
      <c r="U78" s="749">
        <v>0</v>
      </c>
      <c r="V78" s="749">
        <v>0.01</v>
      </c>
      <c r="W78" s="749">
        <v>1</v>
      </c>
      <c r="X78" s="751">
        <v>45711125</v>
      </c>
      <c r="Y78" s="751">
        <v>44796903</v>
      </c>
      <c r="Z78" s="751">
        <v>0</v>
      </c>
      <c r="AA78" s="751">
        <v>914223</v>
      </c>
      <c r="AB78" s="751">
        <v>91422251</v>
      </c>
      <c r="AC78" s="751">
        <v>29067</v>
      </c>
      <c r="AD78" s="751">
        <v>29067</v>
      </c>
      <c r="AE78" s="751">
        <v>45682058</v>
      </c>
      <c r="AF78" s="751">
        <v>44796903</v>
      </c>
      <c r="AG78" s="751">
        <v>0</v>
      </c>
      <c r="AH78" s="751">
        <v>914223</v>
      </c>
      <c r="AI78" s="751">
        <v>91393184</v>
      </c>
      <c r="AJ78" s="751">
        <v>338079</v>
      </c>
      <c r="AK78" s="751">
        <v>338079</v>
      </c>
      <c r="AL78" s="751">
        <v>105189</v>
      </c>
      <c r="AM78" s="751">
        <v>105189</v>
      </c>
      <c r="AN78" s="751">
        <v>740352</v>
      </c>
      <c r="AO78" s="751">
        <v>0</v>
      </c>
      <c r="AP78" s="751">
        <v>740352</v>
      </c>
      <c r="AQ78" s="751">
        <v>0</v>
      </c>
      <c r="AR78" s="751">
        <v>0</v>
      </c>
      <c r="AS78" s="751">
        <v>0</v>
      </c>
      <c r="AT78" s="751">
        <v>0</v>
      </c>
      <c r="AU78" s="751">
        <v>29067</v>
      </c>
      <c r="AV78" s="751">
        <v>0</v>
      </c>
      <c r="AW78" s="751">
        <v>0</v>
      </c>
      <c r="AX78" s="751">
        <v>29067</v>
      </c>
      <c r="AY78" s="751">
        <v>0</v>
      </c>
      <c r="AZ78" s="751">
        <v>0</v>
      </c>
      <c r="BA78" s="751">
        <v>0</v>
      </c>
      <c r="BB78" s="751">
        <v>0</v>
      </c>
      <c r="BC78" s="751">
        <v>-22110232</v>
      </c>
      <c r="BD78" s="751">
        <v>-21668028</v>
      </c>
      <c r="BE78" s="751">
        <v>0</v>
      </c>
      <c r="BF78" s="751">
        <v>-442205</v>
      </c>
      <c r="BG78" s="751">
        <v>-44220465</v>
      </c>
      <c r="BH78" s="751">
        <v>23571826</v>
      </c>
      <c r="BI78" s="751">
        <v>24341562</v>
      </c>
      <c r="BJ78" s="751">
        <v>0</v>
      </c>
      <c r="BK78" s="751">
        <v>472018</v>
      </c>
      <c r="BL78" s="751">
        <v>48385406</v>
      </c>
      <c r="BM78" s="751">
        <v>2379678</v>
      </c>
      <c r="BN78" s="751">
        <v>0</v>
      </c>
      <c r="BO78" s="751">
        <v>47635</v>
      </c>
      <c r="BP78" s="751">
        <v>2427313</v>
      </c>
      <c r="BQ78" s="751">
        <v>2751557</v>
      </c>
      <c r="BR78" s="751">
        <v>0</v>
      </c>
      <c r="BS78" s="751">
        <v>56023</v>
      </c>
      <c r="BT78" s="751">
        <v>2807580</v>
      </c>
      <c r="BU78" s="751">
        <v>208408</v>
      </c>
      <c r="BV78" s="751">
        <v>0</v>
      </c>
      <c r="BW78" s="751">
        <v>4248</v>
      </c>
      <c r="BX78" s="751">
        <v>212656</v>
      </c>
      <c r="BY78" s="751">
        <v>0</v>
      </c>
      <c r="BZ78" s="751">
        <v>0</v>
      </c>
      <c r="CA78" s="751">
        <v>0</v>
      </c>
      <c r="CB78" s="751">
        <v>0</v>
      </c>
      <c r="CC78" s="751">
        <v>0</v>
      </c>
      <c r="CD78" s="751">
        <v>0</v>
      </c>
      <c r="CE78" s="751">
        <v>0</v>
      </c>
      <c r="CF78" s="751">
        <v>0</v>
      </c>
      <c r="CG78" s="751">
        <v>36862</v>
      </c>
      <c r="CH78" s="751">
        <v>0</v>
      </c>
      <c r="CI78" s="751">
        <v>752</v>
      </c>
      <c r="CJ78" s="751">
        <v>37614</v>
      </c>
      <c r="CK78" s="751">
        <v>0</v>
      </c>
      <c r="CL78" s="751">
        <v>0</v>
      </c>
      <c r="CM78" s="751">
        <v>0</v>
      </c>
      <c r="CN78" s="751">
        <v>0</v>
      </c>
      <c r="CO78" s="751">
        <v>0</v>
      </c>
      <c r="CP78" s="751">
        <v>0</v>
      </c>
      <c r="CQ78" s="751">
        <v>0</v>
      </c>
      <c r="CR78" s="751">
        <v>0</v>
      </c>
      <c r="CS78" s="751">
        <v>773</v>
      </c>
      <c r="CT78" s="751">
        <v>0</v>
      </c>
      <c r="CU78" s="751">
        <v>16</v>
      </c>
      <c r="CV78" s="751">
        <v>789</v>
      </c>
      <c r="CW78" s="751">
        <v>5377278</v>
      </c>
      <c r="CX78" s="751">
        <v>0</v>
      </c>
      <c r="CY78" s="751">
        <v>108674</v>
      </c>
      <c r="CZ78" s="751">
        <v>5485952</v>
      </c>
      <c r="DA78" s="662" t="s">
        <v>514</v>
      </c>
      <c r="DB78" s="324" t="s">
        <v>486</v>
      </c>
      <c r="DC78" s="663" t="s">
        <v>515</v>
      </c>
      <c r="DD78" s="529" t="s">
        <v>1286</v>
      </c>
    </row>
    <row r="79" spans="1:108" ht="12.75" x14ac:dyDescent="0.2">
      <c r="A79" s="664">
        <v>72</v>
      </c>
      <c r="B79" s="665" t="s">
        <v>26</v>
      </c>
      <c r="C79" s="666" t="s">
        <v>1201</v>
      </c>
      <c r="D79" s="667" t="s">
        <v>1206</v>
      </c>
      <c r="E79" s="668" t="s">
        <v>25</v>
      </c>
      <c r="F79" s="750">
        <v>19139116</v>
      </c>
      <c r="G79" s="751">
        <v>391982</v>
      </c>
      <c r="H79" s="751">
        <v>0</v>
      </c>
      <c r="I79" s="751">
        <v>152661</v>
      </c>
      <c r="J79" s="751">
        <v>0</v>
      </c>
      <c r="K79" s="751">
        <v>152661</v>
      </c>
      <c r="L79" s="751">
        <v>0</v>
      </c>
      <c r="M79" s="751">
        <v>0</v>
      </c>
      <c r="N79" s="751">
        <v>200441</v>
      </c>
      <c r="O79" s="751">
        <v>200441</v>
      </c>
      <c r="P79" s="751">
        <v>0</v>
      </c>
      <c r="Q79" s="751">
        <v>0</v>
      </c>
      <c r="R79" s="751">
        <v>19177996</v>
      </c>
      <c r="S79" s="749">
        <v>0.5</v>
      </c>
      <c r="T79" s="749">
        <v>0.4</v>
      </c>
      <c r="U79" s="749">
        <v>0.09</v>
      </c>
      <c r="V79" s="749">
        <v>0.01</v>
      </c>
      <c r="W79" s="749">
        <v>1</v>
      </c>
      <c r="X79" s="751">
        <v>9588998</v>
      </c>
      <c r="Y79" s="751">
        <v>7671198</v>
      </c>
      <c r="Z79" s="751">
        <v>1726020</v>
      </c>
      <c r="AA79" s="751">
        <v>191780</v>
      </c>
      <c r="AB79" s="751">
        <v>19177996</v>
      </c>
      <c r="AC79" s="751">
        <v>0</v>
      </c>
      <c r="AD79" s="751">
        <v>0</v>
      </c>
      <c r="AE79" s="751">
        <v>9588998</v>
      </c>
      <c r="AF79" s="751">
        <v>7671198</v>
      </c>
      <c r="AG79" s="751">
        <v>1726020</v>
      </c>
      <c r="AH79" s="751">
        <v>191780</v>
      </c>
      <c r="AI79" s="751">
        <v>19177996</v>
      </c>
      <c r="AJ79" s="751">
        <v>152661</v>
      </c>
      <c r="AK79" s="751">
        <v>152661</v>
      </c>
      <c r="AL79" s="751">
        <v>0</v>
      </c>
      <c r="AM79" s="751">
        <v>0</v>
      </c>
      <c r="AN79" s="751">
        <v>200441</v>
      </c>
      <c r="AO79" s="751">
        <v>0</v>
      </c>
      <c r="AP79" s="751">
        <v>200441</v>
      </c>
      <c r="AQ79" s="751">
        <v>0</v>
      </c>
      <c r="AR79" s="751">
        <v>0</v>
      </c>
      <c r="AS79" s="751">
        <v>0</v>
      </c>
      <c r="AT79" s="751">
        <v>0</v>
      </c>
      <c r="AU79" s="751">
        <v>0</v>
      </c>
      <c r="AV79" s="751">
        <v>0</v>
      </c>
      <c r="AW79" s="751">
        <v>0</v>
      </c>
      <c r="AX79" s="751">
        <v>0</v>
      </c>
      <c r="AY79" s="751">
        <v>0</v>
      </c>
      <c r="AZ79" s="751">
        <v>0</v>
      </c>
      <c r="BA79" s="751">
        <v>0</v>
      </c>
      <c r="BB79" s="751">
        <v>0</v>
      </c>
      <c r="BC79" s="751">
        <v>-4936300</v>
      </c>
      <c r="BD79" s="751">
        <v>-3949040</v>
      </c>
      <c r="BE79" s="751">
        <v>-888534</v>
      </c>
      <c r="BF79" s="751">
        <v>-98726</v>
      </c>
      <c r="BG79" s="751">
        <v>-9872600</v>
      </c>
      <c r="BH79" s="751">
        <v>4652698</v>
      </c>
      <c r="BI79" s="751">
        <v>4075260</v>
      </c>
      <c r="BJ79" s="751">
        <v>837486</v>
      </c>
      <c r="BK79" s="751">
        <v>93054</v>
      </c>
      <c r="BL79" s="751">
        <v>9658498</v>
      </c>
      <c r="BM79" s="751">
        <v>410146</v>
      </c>
      <c r="BN79" s="751">
        <v>89933</v>
      </c>
      <c r="BO79" s="751">
        <v>9993</v>
      </c>
      <c r="BP79" s="751">
        <v>510072</v>
      </c>
      <c r="BQ79" s="751">
        <v>1619276</v>
      </c>
      <c r="BR79" s="751">
        <v>364337</v>
      </c>
      <c r="BS79" s="751">
        <v>40482</v>
      </c>
      <c r="BT79" s="751">
        <v>2024095</v>
      </c>
      <c r="BU79" s="751">
        <v>58521</v>
      </c>
      <c r="BV79" s="751">
        <v>13167</v>
      </c>
      <c r="BW79" s="751">
        <v>1463</v>
      </c>
      <c r="BX79" s="751">
        <v>73151</v>
      </c>
      <c r="BY79" s="751">
        <v>0</v>
      </c>
      <c r="BZ79" s="751">
        <v>0</v>
      </c>
      <c r="CA79" s="751">
        <v>0</v>
      </c>
      <c r="CB79" s="751">
        <v>0</v>
      </c>
      <c r="CC79" s="751">
        <v>19931</v>
      </c>
      <c r="CD79" s="751">
        <v>4484</v>
      </c>
      <c r="CE79" s="751">
        <v>498</v>
      </c>
      <c r="CF79" s="751">
        <v>24913</v>
      </c>
      <c r="CG79" s="751">
        <v>32200</v>
      </c>
      <c r="CH79" s="751">
        <v>7245</v>
      </c>
      <c r="CI79" s="751">
        <v>805</v>
      </c>
      <c r="CJ79" s="751">
        <v>40250</v>
      </c>
      <c r="CK79" s="751">
        <v>0</v>
      </c>
      <c r="CL79" s="751">
        <v>0</v>
      </c>
      <c r="CM79" s="751">
        <v>0</v>
      </c>
      <c r="CN79" s="751">
        <v>0</v>
      </c>
      <c r="CO79" s="751">
        <v>0</v>
      </c>
      <c r="CP79" s="751">
        <v>0</v>
      </c>
      <c r="CQ79" s="751">
        <v>0</v>
      </c>
      <c r="CR79" s="751">
        <v>0</v>
      </c>
      <c r="CS79" s="751">
        <v>0</v>
      </c>
      <c r="CT79" s="751">
        <v>0</v>
      </c>
      <c r="CU79" s="751">
        <v>0</v>
      </c>
      <c r="CV79" s="751">
        <v>0</v>
      </c>
      <c r="CW79" s="751">
        <v>2140074</v>
      </c>
      <c r="CX79" s="751">
        <v>479166</v>
      </c>
      <c r="CY79" s="751">
        <v>53241</v>
      </c>
      <c r="CZ79" s="751">
        <v>2672481</v>
      </c>
      <c r="DA79" s="662" t="s">
        <v>25</v>
      </c>
      <c r="DB79" s="324" t="s">
        <v>516</v>
      </c>
      <c r="DC79" s="663" t="s">
        <v>515</v>
      </c>
      <c r="DD79" s="529" t="s">
        <v>1287</v>
      </c>
    </row>
    <row r="80" spans="1:108" ht="12.75" x14ac:dyDescent="0.2">
      <c r="A80" s="664">
        <v>73</v>
      </c>
      <c r="B80" s="665" t="s">
        <v>28</v>
      </c>
      <c r="C80" s="666" t="s">
        <v>1217</v>
      </c>
      <c r="D80" s="667" t="s">
        <v>1218</v>
      </c>
      <c r="E80" s="668" t="s">
        <v>27</v>
      </c>
      <c r="F80" s="750">
        <v>95367777</v>
      </c>
      <c r="G80" s="751">
        <v>0</v>
      </c>
      <c r="H80" s="751">
        <v>900968</v>
      </c>
      <c r="I80" s="751">
        <v>369060</v>
      </c>
      <c r="J80" s="751">
        <v>0</v>
      </c>
      <c r="K80" s="751">
        <v>369060</v>
      </c>
      <c r="L80" s="751">
        <v>0</v>
      </c>
      <c r="M80" s="751">
        <v>0</v>
      </c>
      <c r="N80" s="751">
        <v>200348</v>
      </c>
      <c r="O80" s="751">
        <v>200348</v>
      </c>
      <c r="P80" s="751">
        <v>0</v>
      </c>
      <c r="Q80" s="751">
        <v>0</v>
      </c>
      <c r="R80" s="751">
        <v>93897401</v>
      </c>
      <c r="S80" s="749">
        <v>0.5</v>
      </c>
      <c r="T80" s="749">
        <v>0.49</v>
      </c>
      <c r="U80" s="749">
        <v>0</v>
      </c>
      <c r="V80" s="749">
        <v>0.01</v>
      </c>
      <c r="W80" s="749">
        <v>1</v>
      </c>
      <c r="X80" s="751">
        <v>46948701</v>
      </c>
      <c r="Y80" s="751">
        <v>46009726</v>
      </c>
      <c r="Z80" s="751">
        <v>0</v>
      </c>
      <c r="AA80" s="751">
        <v>938974</v>
      </c>
      <c r="AB80" s="751">
        <v>93897401</v>
      </c>
      <c r="AC80" s="751">
        <v>0</v>
      </c>
      <c r="AD80" s="751">
        <v>0</v>
      </c>
      <c r="AE80" s="751">
        <v>46948701</v>
      </c>
      <c r="AF80" s="751">
        <v>46009726</v>
      </c>
      <c r="AG80" s="751">
        <v>0</v>
      </c>
      <c r="AH80" s="751">
        <v>938974</v>
      </c>
      <c r="AI80" s="751">
        <v>93897401</v>
      </c>
      <c r="AJ80" s="751">
        <v>369060</v>
      </c>
      <c r="AK80" s="751">
        <v>369060</v>
      </c>
      <c r="AL80" s="751">
        <v>0</v>
      </c>
      <c r="AM80" s="751">
        <v>0</v>
      </c>
      <c r="AN80" s="751">
        <v>200348</v>
      </c>
      <c r="AO80" s="751">
        <v>0</v>
      </c>
      <c r="AP80" s="751">
        <v>200348</v>
      </c>
      <c r="AQ80" s="751">
        <v>0</v>
      </c>
      <c r="AR80" s="751">
        <v>0</v>
      </c>
      <c r="AS80" s="751">
        <v>0</v>
      </c>
      <c r="AT80" s="751">
        <v>0</v>
      </c>
      <c r="AU80" s="751">
        <v>0</v>
      </c>
      <c r="AV80" s="751">
        <v>0</v>
      </c>
      <c r="AW80" s="751">
        <v>0</v>
      </c>
      <c r="AX80" s="751">
        <v>0</v>
      </c>
      <c r="AY80" s="751">
        <v>0</v>
      </c>
      <c r="AZ80" s="751">
        <v>0</v>
      </c>
      <c r="BA80" s="751">
        <v>0</v>
      </c>
      <c r="BB80" s="751">
        <v>0</v>
      </c>
      <c r="BC80" s="751">
        <v>-20070319</v>
      </c>
      <c r="BD80" s="751">
        <v>-19668912</v>
      </c>
      <c r="BE80" s="751">
        <v>0</v>
      </c>
      <c r="BF80" s="751">
        <v>-401406</v>
      </c>
      <c r="BG80" s="751">
        <v>-40140637</v>
      </c>
      <c r="BH80" s="751">
        <v>26878382</v>
      </c>
      <c r="BI80" s="751">
        <v>26910222</v>
      </c>
      <c r="BJ80" s="751">
        <v>0</v>
      </c>
      <c r="BK80" s="751">
        <v>537568</v>
      </c>
      <c r="BL80" s="751">
        <v>54326172</v>
      </c>
      <c r="BM80" s="751">
        <v>2407739</v>
      </c>
      <c r="BN80" s="751">
        <v>0</v>
      </c>
      <c r="BO80" s="751">
        <v>48925</v>
      </c>
      <c r="BP80" s="751">
        <v>2456664</v>
      </c>
      <c r="BQ80" s="751">
        <v>3757256</v>
      </c>
      <c r="BR80" s="751">
        <v>0</v>
      </c>
      <c r="BS80" s="751">
        <v>76679</v>
      </c>
      <c r="BT80" s="751">
        <v>3833935</v>
      </c>
      <c r="BU80" s="751">
        <v>194074</v>
      </c>
      <c r="BV80" s="751">
        <v>0</v>
      </c>
      <c r="BW80" s="751">
        <v>3961</v>
      </c>
      <c r="BX80" s="751">
        <v>198035</v>
      </c>
      <c r="BY80" s="751">
        <v>13276</v>
      </c>
      <c r="BZ80" s="751">
        <v>0</v>
      </c>
      <c r="CA80" s="751">
        <v>271</v>
      </c>
      <c r="CB80" s="751">
        <v>13547</v>
      </c>
      <c r="CC80" s="751">
        <v>1822</v>
      </c>
      <c r="CD80" s="751">
        <v>0</v>
      </c>
      <c r="CE80" s="751">
        <v>37</v>
      </c>
      <c r="CF80" s="751">
        <v>1859</v>
      </c>
      <c r="CG80" s="751">
        <v>22575</v>
      </c>
      <c r="CH80" s="751">
        <v>0</v>
      </c>
      <c r="CI80" s="751">
        <v>461</v>
      </c>
      <c r="CJ80" s="751">
        <v>23036</v>
      </c>
      <c r="CK80" s="751">
        <v>0</v>
      </c>
      <c r="CL80" s="751">
        <v>0</v>
      </c>
      <c r="CM80" s="751">
        <v>0</v>
      </c>
      <c r="CN80" s="751">
        <v>0</v>
      </c>
      <c r="CO80" s="751">
        <v>0</v>
      </c>
      <c r="CP80" s="751">
        <v>0</v>
      </c>
      <c r="CQ80" s="751">
        <v>0</v>
      </c>
      <c r="CR80" s="751">
        <v>0</v>
      </c>
      <c r="CS80" s="751">
        <v>0</v>
      </c>
      <c r="CT80" s="751">
        <v>0</v>
      </c>
      <c r="CU80" s="751">
        <v>0</v>
      </c>
      <c r="CV80" s="751">
        <v>0</v>
      </c>
      <c r="CW80" s="751">
        <v>6396742</v>
      </c>
      <c r="CX80" s="751">
        <v>0</v>
      </c>
      <c r="CY80" s="751">
        <v>130334</v>
      </c>
      <c r="CZ80" s="751">
        <v>6527076</v>
      </c>
      <c r="DA80" s="662" t="s">
        <v>27</v>
      </c>
      <c r="DB80" s="324" t="s">
        <v>570</v>
      </c>
      <c r="DC80" s="663" t="s">
        <v>572</v>
      </c>
      <c r="DD80" s="529" t="s">
        <v>1288</v>
      </c>
    </row>
    <row r="81" spans="1:108" ht="12.75" x14ac:dyDescent="0.2">
      <c r="A81" s="664">
        <v>74</v>
      </c>
      <c r="B81" s="665" t="s">
        <v>1019</v>
      </c>
      <c r="C81" s="666" t="s">
        <v>486</v>
      </c>
      <c r="D81" s="667" t="s">
        <v>1224</v>
      </c>
      <c r="E81" s="668" t="s">
        <v>1018</v>
      </c>
      <c r="F81" s="750">
        <v>101386065</v>
      </c>
      <c r="G81" s="751">
        <v>347254</v>
      </c>
      <c r="H81" s="751">
        <v>0</v>
      </c>
      <c r="I81" s="751">
        <v>625136</v>
      </c>
      <c r="J81" s="751">
        <v>0</v>
      </c>
      <c r="K81" s="751">
        <v>625136</v>
      </c>
      <c r="L81" s="751">
        <v>0</v>
      </c>
      <c r="M81" s="751">
        <v>21270</v>
      </c>
      <c r="N81" s="751">
        <v>673052</v>
      </c>
      <c r="O81" s="751">
        <v>673052</v>
      </c>
      <c r="P81" s="751">
        <v>0</v>
      </c>
      <c r="Q81" s="751">
        <v>0</v>
      </c>
      <c r="R81" s="751">
        <v>100413861</v>
      </c>
      <c r="S81" s="749">
        <v>0.5</v>
      </c>
      <c r="T81" s="749">
        <v>0.49</v>
      </c>
      <c r="U81" s="749">
        <v>0</v>
      </c>
      <c r="V81" s="749">
        <v>0.01</v>
      </c>
      <c r="W81" s="749">
        <v>1</v>
      </c>
      <c r="X81" s="751">
        <v>50206930</v>
      </c>
      <c r="Y81" s="751">
        <v>49202792</v>
      </c>
      <c r="Z81" s="751">
        <v>0</v>
      </c>
      <c r="AA81" s="751">
        <v>1004139</v>
      </c>
      <c r="AB81" s="751">
        <v>100413861</v>
      </c>
      <c r="AC81" s="751">
        <v>50556</v>
      </c>
      <c r="AD81" s="751">
        <v>50556</v>
      </c>
      <c r="AE81" s="751">
        <v>50156374</v>
      </c>
      <c r="AF81" s="751">
        <v>49202792</v>
      </c>
      <c r="AG81" s="751">
        <v>0</v>
      </c>
      <c r="AH81" s="751">
        <v>1004139</v>
      </c>
      <c r="AI81" s="751">
        <v>100363305</v>
      </c>
      <c r="AJ81" s="751">
        <v>625136</v>
      </c>
      <c r="AK81" s="751">
        <v>625136</v>
      </c>
      <c r="AL81" s="751">
        <v>21270</v>
      </c>
      <c r="AM81" s="751">
        <v>21270</v>
      </c>
      <c r="AN81" s="751">
        <v>673052</v>
      </c>
      <c r="AO81" s="751">
        <v>0</v>
      </c>
      <c r="AP81" s="751">
        <v>673052</v>
      </c>
      <c r="AQ81" s="751">
        <v>0</v>
      </c>
      <c r="AR81" s="751">
        <v>0</v>
      </c>
      <c r="AS81" s="751">
        <v>0</v>
      </c>
      <c r="AT81" s="751">
        <v>0</v>
      </c>
      <c r="AU81" s="751">
        <v>50556</v>
      </c>
      <c r="AV81" s="751">
        <v>0</v>
      </c>
      <c r="AW81" s="751">
        <v>0</v>
      </c>
      <c r="AX81" s="751">
        <v>50556</v>
      </c>
      <c r="AY81" s="751">
        <v>0</v>
      </c>
      <c r="AZ81" s="751">
        <v>0</v>
      </c>
      <c r="BA81" s="751">
        <v>0</v>
      </c>
      <c r="BB81" s="751">
        <v>0</v>
      </c>
      <c r="BC81" s="751">
        <v>-23738803</v>
      </c>
      <c r="BD81" s="751">
        <v>-23264026</v>
      </c>
      <c r="BE81" s="751">
        <v>0</v>
      </c>
      <c r="BF81" s="751">
        <v>-474776</v>
      </c>
      <c r="BG81" s="751">
        <v>-47477605</v>
      </c>
      <c r="BH81" s="751">
        <v>26417572</v>
      </c>
      <c r="BI81" s="751">
        <v>27308780</v>
      </c>
      <c r="BJ81" s="751">
        <v>0</v>
      </c>
      <c r="BK81" s="751">
        <v>529363</v>
      </c>
      <c r="BL81" s="751">
        <v>54255714</v>
      </c>
      <c r="BM81" s="751">
        <v>2602484</v>
      </c>
      <c r="BN81" s="751">
        <v>0</v>
      </c>
      <c r="BO81" s="751">
        <v>52320</v>
      </c>
      <c r="BP81" s="751">
        <v>2654804</v>
      </c>
      <c r="BQ81" s="751">
        <v>7474854</v>
      </c>
      <c r="BR81" s="751">
        <v>0</v>
      </c>
      <c r="BS81" s="751">
        <v>152210</v>
      </c>
      <c r="BT81" s="751">
        <v>7627064</v>
      </c>
      <c r="BU81" s="751">
        <v>341504</v>
      </c>
      <c r="BV81" s="751">
        <v>0</v>
      </c>
      <c r="BW81" s="751">
        <v>6969</v>
      </c>
      <c r="BX81" s="751">
        <v>348473</v>
      </c>
      <c r="BY81" s="751">
        <v>17356</v>
      </c>
      <c r="BZ81" s="751">
        <v>0</v>
      </c>
      <c r="CA81" s="751">
        <v>354</v>
      </c>
      <c r="CB81" s="751">
        <v>17710</v>
      </c>
      <c r="CC81" s="751">
        <v>57585</v>
      </c>
      <c r="CD81" s="751">
        <v>0</v>
      </c>
      <c r="CE81" s="751">
        <v>1175</v>
      </c>
      <c r="CF81" s="751">
        <v>58760</v>
      </c>
      <c r="CG81" s="751">
        <v>65064</v>
      </c>
      <c r="CH81" s="751">
        <v>0</v>
      </c>
      <c r="CI81" s="751">
        <v>1328</v>
      </c>
      <c r="CJ81" s="751">
        <v>66392</v>
      </c>
      <c r="CK81" s="751">
        <v>0</v>
      </c>
      <c r="CL81" s="751">
        <v>0</v>
      </c>
      <c r="CM81" s="751">
        <v>0</v>
      </c>
      <c r="CN81" s="751">
        <v>0</v>
      </c>
      <c r="CO81" s="751">
        <v>0</v>
      </c>
      <c r="CP81" s="751">
        <v>0</v>
      </c>
      <c r="CQ81" s="751">
        <v>0</v>
      </c>
      <c r="CR81" s="751">
        <v>0</v>
      </c>
      <c r="CS81" s="751">
        <v>0</v>
      </c>
      <c r="CT81" s="751">
        <v>0</v>
      </c>
      <c r="CU81" s="751">
        <v>0</v>
      </c>
      <c r="CV81" s="751">
        <v>0</v>
      </c>
      <c r="CW81" s="751">
        <v>10558847</v>
      </c>
      <c r="CX81" s="751">
        <v>0</v>
      </c>
      <c r="CY81" s="751">
        <v>214356</v>
      </c>
      <c r="CZ81" s="751">
        <v>10773203</v>
      </c>
      <c r="DA81" s="662" t="s">
        <v>1018</v>
      </c>
      <c r="DB81" s="324" t="s">
        <v>486</v>
      </c>
      <c r="DC81" s="663" t="s">
        <v>1916</v>
      </c>
      <c r="DD81" s="529" t="s">
        <v>1252</v>
      </c>
    </row>
    <row r="82" spans="1:108" ht="12.75" x14ac:dyDescent="0.2">
      <c r="A82" s="664">
        <v>75</v>
      </c>
      <c r="B82" s="665" t="s">
        <v>38</v>
      </c>
      <c r="C82" s="666" t="s">
        <v>1201</v>
      </c>
      <c r="D82" s="667" t="s">
        <v>1202</v>
      </c>
      <c r="E82" s="668" t="s">
        <v>37</v>
      </c>
      <c r="F82" s="750">
        <v>41293009</v>
      </c>
      <c r="G82" s="751">
        <v>0</v>
      </c>
      <c r="H82" s="751">
        <v>625821</v>
      </c>
      <c r="I82" s="751">
        <v>161161</v>
      </c>
      <c r="J82" s="751">
        <v>0</v>
      </c>
      <c r="K82" s="751">
        <v>161161</v>
      </c>
      <c r="L82" s="751">
        <v>0</v>
      </c>
      <c r="M82" s="751">
        <v>0</v>
      </c>
      <c r="N82" s="751">
        <v>1142177</v>
      </c>
      <c r="O82" s="751">
        <v>1142177</v>
      </c>
      <c r="P82" s="751">
        <v>0</v>
      </c>
      <c r="Q82" s="751">
        <v>0</v>
      </c>
      <c r="R82" s="751">
        <v>39363850</v>
      </c>
      <c r="S82" s="749">
        <v>0.5</v>
      </c>
      <c r="T82" s="749">
        <v>0.4</v>
      </c>
      <c r="U82" s="749">
        <v>0.09</v>
      </c>
      <c r="V82" s="749">
        <v>0.01</v>
      </c>
      <c r="W82" s="749">
        <v>1</v>
      </c>
      <c r="X82" s="751">
        <v>19681924</v>
      </c>
      <c r="Y82" s="751">
        <v>15745540</v>
      </c>
      <c r="Z82" s="751">
        <v>3542747</v>
      </c>
      <c r="AA82" s="751">
        <v>393639</v>
      </c>
      <c r="AB82" s="751">
        <v>39363850</v>
      </c>
      <c r="AC82" s="751">
        <v>746719</v>
      </c>
      <c r="AD82" s="751">
        <v>746719</v>
      </c>
      <c r="AE82" s="751">
        <v>18935205</v>
      </c>
      <c r="AF82" s="751">
        <v>15745540</v>
      </c>
      <c r="AG82" s="751">
        <v>3542747</v>
      </c>
      <c r="AH82" s="751">
        <v>393639</v>
      </c>
      <c r="AI82" s="751">
        <v>38617131</v>
      </c>
      <c r="AJ82" s="751">
        <v>161161</v>
      </c>
      <c r="AK82" s="751">
        <v>161161</v>
      </c>
      <c r="AL82" s="751">
        <v>0</v>
      </c>
      <c r="AM82" s="751">
        <v>0</v>
      </c>
      <c r="AN82" s="751">
        <v>1142177</v>
      </c>
      <c r="AO82" s="751">
        <v>0</v>
      </c>
      <c r="AP82" s="751">
        <v>1142177</v>
      </c>
      <c r="AQ82" s="751">
        <v>0</v>
      </c>
      <c r="AR82" s="751">
        <v>0</v>
      </c>
      <c r="AS82" s="751">
        <v>0</v>
      </c>
      <c r="AT82" s="751">
        <v>0</v>
      </c>
      <c r="AU82" s="751">
        <v>597376</v>
      </c>
      <c r="AV82" s="751">
        <v>134409</v>
      </c>
      <c r="AW82" s="751">
        <v>14934</v>
      </c>
      <c r="AX82" s="751">
        <v>746719</v>
      </c>
      <c r="AY82" s="751">
        <v>0</v>
      </c>
      <c r="AZ82" s="751">
        <v>0</v>
      </c>
      <c r="BA82" s="751">
        <v>0</v>
      </c>
      <c r="BB82" s="751">
        <v>0</v>
      </c>
      <c r="BC82" s="751">
        <v>-7075640</v>
      </c>
      <c r="BD82" s="751">
        <v>-5660512</v>
      </c>
      <c r="BE82" s="751">
        <v>-1273615</v>
      </c>
      <c r="BF82" s="751">
        <v>-141513</v>
      </c>
      <c r="BG82" s="751">
        <v>-14151280</v>
      </c>
      <c r="BH82" s="751">
        <v>11859565</v>
      </c>
      <c r="BI82" s="751">
        <v>11985742</v>
      </c>
      <c r="BJ82" s="751">
        <v>2403541</v>
      </c>
      <c r="BK82" s="751">
        <v>267060</v>
      </c>
      <c r="BL82" s="751">
        <v>26515908</v>
      </c>
      <c r="BM82" s="751">
        <v>911047</v>
      </c>
      <c r="BN82" s="751">
        <v>191595</v>
      </c>
      <c r="BO82" s="751">
        <v>21288</v>
      </c>
      <c r="BP82" s="751">
        <v>1123930</v>
      </c>
      <c r="BQ82" s="751">
        <v>1231573</v>
      </c>
      <c r="BR82" s="751">
        <v>277104</v>
      </c>
      <c r="BS82" s="751">
        <v>30789</v>
      </c>
      <c r="BT82" s="751">
        <v>1539466</v>
      </c>
      <c r="BU82" s="751">
        <v>61099</v>
      </c>
      <c r="BV82" s="751">
        <v>13602</v>
      </c>
      <c r="BW82" s="751">
        <v>1511</v>
      </c>
      <c r="BX82" s="751">
        <v>76212</v>
      </c>
      <c r="BY82" s="751">
        <v>0</v>
      </c>
      <c r="BZ82" s="751">
        <v>0</v>
      </c>
      <c r="CA82" s="751">
        <v>0</v>
      </c>
      <c r="CB82" s="751">
        <v>0</v>
      </c>
      <c r="CC82" s="751">
        <v>5427</v>
      </c>
      <c r="CD82" s="751">
        <v>1221</v>
      </c>
      <c r="CE82" s="751">
        <v>136</v>
      </c>
      <c r="CF82" s="751">
        <v>6784</v>
      </c>
      <c r="CG82" s="751">
        <v>17267</v>
      </c>
      <c r="CH82" s="751">
        <v>3885</v>
      </c>
      <c r="CI82" s="751">
        <v>432</v>
      </c>
      <c r="CJ82" s="751">
        <v>21584</v>
      </c>
      <c r="CK82" s="751">
        <v>0</v>
      </c>
      <c r="CL82" s="751">
        <v>0</v>
      </c>
      <c r="CM82" s="751">
        <v>0</v>
      </c>
      <c r="CN82" s="751">
        <v>0</v>
      </c>
      <c r="CO82" s="751">
        <v>0</v>
      </c>
      <c r="CP82" s="751">
        <v>0</v>
      </c>
      <c r="CQ82" s="751">
        <v>0</v>
      </c>
      <c r="CR82" s="751">
        <v>0</v>
      </c>
      <c r="CS82" s="751">
        <v>631</v>
      </c>
      <c r="CT82" s="751">
        <v>142</v>
      </c>
      <c r="CU82" s="751">
        <v>16</v>
      </c>
      <c r="CV82" s="751">
        <v>789</v>
      </c>
      <c r="CW82" s="751">
        <v>2227044</v>
      </c>
      <c r="CX82" s="751">
        <v>487549</v>
      </c>
      <c r="CY82" s="751">
        <v>54172</v>
      </c>
      <c r="CZ82" s="751">
        <v>2768765</v>
      </c>
      <c r="DA82" s="662" t="s">
        <v>37</v>
      </c>
      <c r="DB82" s="324" t="s">
        <v>543</v>
      </c>
      <c r="DC82" s="663" t="s">
        <v>542</v>
      </c>
      <c r="DD82" s="529" t="s">
        <v>1289</v>
      </c>
    </row>
    <row r="83" spans="1:108" ht="12.75" x14ac:dyDescent="0.2">
      <c r="A83" s="664">
        <v>76</v>
      </c>
      <c r="B83" s="665" t="s">
        <v>40</v>
      </c>
      <c r="C83" s="666" t="s">
        <v>1217</v>
      </c>
      <c r="D83" s="667" t="s">
        <v>1228</v>
      </c>
      <c r="E83" s="668" t="s">
        <v>39</v>
      </c>
      <c r="F83" s="750">
        <v>85905993</v>
      </c>
      <c r="G83" s="751">
        <v>0</v>
      </c>
      <c r="H83" s="751">
        <v>498016</v>
      </c>
      <c r="I83" s="751">
        <v>399378</v>
      </c>
      <c r="J83" s="751">
        <v>0</v>
      </c>
      <c r="K83" s="751">
        <v>399378</v>
      </c>
      <c r="L83" s="751">
        <v>0</v>
      </c>
      <c r="M83" s="751">
        <v>91052</v>
      </c>
      <c r="N83" s="751">
        <v>0</v>
      </c>
      <c r="O83" s="751">
        <v>0</v>
      </c>
      <c r="P83" s="751">
        <v>0</v>
      </c>
      <c r="Q83" s="751">
        <v>0</v>
      </c>
      <c r="R83" s="751">
        <v>84917547</v>
      </c>
      <c r="S83" s="749">
        <v>0</v>
      </c>
      <c r="T83" s="749">
        <v>0.99</v>
      </c>
      <c r="U83" s="749">
        <v>0</v>
      </c>
      <c r="V83" s="749">
        <v>0.01</v>
      </c>
      <c r="W83" s="749">
        <v>1</v>
      </c>
      <c r="X83" s="751">
        <v>0</v>
      </c>
      <c r="Y83" s="751">
        <v>84068372</v>
      </c>
      <c r="Z83" s="751">
        <v>0</v>
      </c>
      <c r="AA83" s="751">
        <v>849175</v>
      </c>
      <c r="AB83" s="751">
        <v>84917547</v>
      </c>
      <c r="AC83" s="751">
        <v>0</v>
      </c>
      <c r="AD83" s="751">
        <v>0</v>
      </c>
      <c r="AE83" s="751">
        <v>0</v>
      </c>
      <c r="AF83" s="751">
        <v>84068372</v>
      </c>
      <c r="AG83" s="751">
        <v>0</v>
      </c>
      <c r="AH83" s="751">
        <v>849175</v>
      </c>
      <c r="AI83" s="751">
        <v>84917547</v>
      </c>
      <c r="AJ83" s="751">
        <v>399378</v>
      </c>
      <c r="AK83" s="751">
        <v>399378</v>
      </c>
      <c r="AL83" s="751">
        <v>91052</v>
      </c>
      <c r="AM83" s="751">
        <v>91052</v>
      </c>
      <c r="AN83" s="751">
        <v>0</v>
      </c>
      <c r="AO83" s="751">
        <v>0</v>
      </c>
      <c r="AP83" s="751">
        <v>0</v>
      </c>
      <c r="AQ83" s="751">
        <v>0</v>
      </c>
      <c r="AR83" s="751">
        <v>0</v>
      </c>
      <c r="AS83" s="751">
        <v>0</v>
      </c>
      <c r="AT83" s="751">
        <v>0</v>
      </c>
      <c r="AU83" s="751">
        <v>0</v>
      </c>
      <c r="AV83" s="751">
        <v>0</v>
      </c>
      <c r="AW83" s="751">
        <v>0</v>
      </c>
      <c r="AX83" s="751">
        <v>0</v>
      </c>
      <c r="AY83" s="751">
        <v>0</v>
      </c>
      <c r="AZ83" s="751">
        <v>0</v>
      </c>
      <c r="BA83" s="751">
        <v>0</v>
      </c>
      <c r="BB83" s="751">
        <v>0</v>
      </c>
      <c r="BC83" s="751">
        <v>0</v>
      </c>
      <c r="BD83" s="751">
        <v>-46677636</v>
      </c>
      <c r="BE83" s="751">
        <v>0</v>
      </c>
      <c r="BF83" s="751">
        <v>-471491</v>
      </c>
      <c r="BG83" s="751">
        <v>-47149127</v>
      </c>
      <c r="BH83" s="751">
        <v>0</v>
      </c>
      <c r="BI83" s="751">
        <v>37881166</v>
      </c>
      <c r="BJ83" s="751">
        <v>0</v>
      </c>
      <c r="BK83" s="751">
        <v>377684</v>
      </c>
      <c r="BL83" s="751">
        <v>38258850</v>
      </c>
      <c r="BM83" s="751">
        <v>4385060</v>
      </c>
      <c r="BN83" s="751">
        <v>0</v>
      </c>
      <c r="BO83" s="751">
        <v>44246</v>
      </c>
      <c r="BP83" s="751">
        <v>4429306</v>
      </c>
      <c r="BQ83" s="751">
        <v>8866355</v>
      </c>
      <c r="BR83" s="751">
        <v>0</v>
      </c>
      <c r="BS83" s="751">
        <v>89505</v>
      </c>
      <c r="BT83" s="751">
        <v>8955860</v>
      </c>
      <c r="BU83" s="751">
        <v>444162</v>
      </c>
      <c r="BV83" s="751">
        <v>0</v>
      </c>
      <c r="BW83" s="751">
        <v>4480</v>
      </c>
      <c r="BX83" s="751">
        <v>448642</v>
      </c>
      <c r="BY83" s="751">
        <v>15081</v>
      </c>
      <c r="BZ83" s="751">
        <v>0</v>
      </c>
      <c r="CA83" s="751">
        <v>152</v>
      </c>
      <c r="CB83" s="751">
        <v>15233</v>
      </c>
      <c r="CC83" s="751">
        <v>0</v>
      </c>
      <c r="CD83" s="751">
        <v>0</v>
      </c>
      <c r="CE83" s="751">
        <v>0</v>
      </c>
      <c r="CF83" s="751">
        <v>0</v>
      </c>
      <c r="CG83" s="751">
        <v>16256</v>
      </c>
      <c r="CH83" s="751">
        <v>0</v>
      </c>
      <c r="CI83" s="751">
        <v>164</v>
      </c>
      <c r="CJ83" s="751">
        <v>16420</v>
      </c>
      <c r="CK83" s="751">
        <v>467639</v>
      </c>
      <c r="CL83" s="751">
        <v>0</v>
      </c>
      <c r="CM83" s="751">
        <v>1832</v>
      </c>
      <c r="CN83" s="751">
        <v>469471</v>
      </c>
      <c r="CO83" s="751">
        <v>0</v>
      </c>
      <c r="CP83" s="751">
        <v>0</v>
      </c>
      <c r="CQ83" s="751">
        <v>0</v>
      </c>
      <c r="CR83" s="751">
        <v>0</v>
      </c>
      <c r="CS83" s="751">
        <v>688</v>
      </c>
      <c r="CT83" s="751">
        <v>0</v>
      </c>
      <c r="CU83" s="751">
        <v>7</v>
      </c>
      <c r="CV83" s="751">
        <v>695</v>
      </c>
      <c r="CW83" s="751">
        <v>14195241</v>
      </c>
      <c r="CX83" s="751">
        <v>0</v>
      </c>
      <c r="CY83" s="751">
        <v>140386</v>
      </c>
      <c r="CZ83" s="751">
        <v>14335627</v>
      </c>
      <c r="DA83" s="662" t="s">
        <v>39</v>
      </c>
      <c r="DB83" s="324" t="s">
        <v>570</v>
      </c>
      <c r="DC83" s="663" t="s">
        <v>574</v>
      </c>
      <c r="DD83" s="529" t="s">
        <v>1290</v>
      </c>
    </row>
    <row r="84" spans="1:108" ht="12.75" x14ac:dyDescent="0.2">
      <c r="A84" s="664">
        <v>77</v>
      </c>
      <c r="B84" s="665" t="s">
        <v>42</v>
      </c>
      <c r="C84" s="666" t="s">
        <v>486</v>
      </c>
      <c r="D84" s="667" t="s">
        <v>1283</v>
      </c>
      <c r="E84" s="668" t="s">
        <v>41</v>
      </c>
      <c r="F84" s="750">
        <v>118413968</v>
      </c>
      <c r="G84" s="751">
        <v>0</v>
      </c>
      <c r="H84" s="751">
        <v>441391</v>
      </c>
      <c r="I84" s="751">
        <v>576917</v>
      </c>
      <c r="J84" s="751">
        <v>0</v>
      </c>
      <c r="K84" s="751">
        <v>576917</v>
      </c>
      <c r="L84" s="751">
        <v>0</v>
      </c>
      <c r="M84" s="751">
        <v>0</v>
      </c>
      <c r="N84" s="751">
        <v>183762</v>
      </c>
      <c r="O84" s="751">
        <v>183762</v>
      </c>
      <c r="P84" s="751">
        <v>0</v>
      </c>
      <c r="Q84" s="751">
        <v>0</v>
      </c>
      <c r="R84" s="751">
        <v>117211898</v>
      </c>
      <c r="S84" s="749">
        <v>0.5</v>
      </c>
      <c r="T84" s="749">
        <v>0.49</v>
      </c>
      <c r="U84" s="749">
        <v>0</v>
      </c>
      <c r="V84" s="749">
        <v>0.01</v>
      </c>
      <c r="W84" s="749">
        <v>1</v>
      </c>
      <c r="X84" s="751">
        <v>58605949</v>
      </c>
      <c r="Y84" s="751">
        <v>57433830</v>
      </c>
      <c r="Z84" s="751">
        <v>0</v>
      </c>
      <c r="AA84" s="751">
        <v>1172119</v>
      </c>
      <c r="AB84" s="751">
        <v>117211898</v>
      </c>
      <c r="AC84" s="751">
        <v>261955</v>
      </c>
      <c r="AD84" s="751">
        <v>261955</v>
      </c>
      <c r="AE84" s="751">
        <v>58343994</v>
      </c>
      <c r="AF84" s="751">
        <v>57433830</v>
      </c>
      <c r="AG84" s="751">
        <v>0</v>
      </c>
      <c r="AH84" s="751">
        <v>1172119</v>
      </c>
      <c r="AI84" s="751">
        <v>116949943</v>
      </c>
      <c r="AJ84" s="751">
        <v>576917</v>
      </c>
      <c r="AK84" s="751">
        <v>576917</v>
      </c>
      <c r="AL84" s="751">
        <v>0</v>
      </c>
      <c r="AM84" s="751">
        <v>0</v>
      </c>
      <c r="AN84" s="751">
        <v>183762</v>
      </c>
      <c r="AO84" s="751">
        <v>0</v>
      </c>
      <c r="AP84" s="751">
        <v>183762</v>
      </c>
      <c r="AQ84" s="751">
        <v>0</v>
      </c>
      <c r="AR84" s="751">
        <v>0</v>
      </c>
      <c r="AS84" s="751">
        <v>0</v>
      </c>
      <c r="AT84" s="751">
        <v>0</v>
      </c>
      <c r="AU84" s="751">
        <v>261955</v>
      </c>
      <c r="AV84" s="751">
        <v>0</v>
      </c>
      <c r="AW84" s="751">
        <v>0</v>
      </c>
      <c r="AX84" s="751">
        <v>261955</v>
      </c>
      <c r="AY84" s="751">
        <v>0</v>
      </c>
      <c r="AZ84" s="751">
        <v>0</v>
      </c>
      <c r="BA84" s="751">
        <v>0</v>
      </c>
      <c r="BB84" s="751">
        <v>0</v>
      </c>
      <c r="BC84" s="751">
        <v>-20454994</v>
      </c>
      <c r="BD84" s="751">
        <v>-20045894</v>
      </c>
      <c r="BE84" s="751">
        <v>0</v>
      </c>
      <c r="BF84" s="751">
        <v>-409100</v>
      </c>
      <c r="BG84" s="751">
        <v>-40909988</v>
      </c>
      <c r="BH84" s="751">
        <v>37889000</v>
      </c>
      <c r="BI84" s="751">
        <v>38410570</v>
      </c>
      <c r="BJ84" s="751">
        <v>0</v>
      </c>
      <c r="BK84" s="751">
        <v>763019</v>
      </c>
      <c r="BL84" s="751">
        <v>77062589</v>
      </c>
      <c r="BM84" s="751">
        <v>3015768</v>
      </c>
      <c r="BN84" s="751">
        <v>0</v>
      </c>
      <c r="BO84" s="751">
        <v>61072</v>
      </c>
      <c r="BP84" s="751">
        <v>3076840</v>
      </c>
      <c r="BQ84" s="751">
        <v>5756917</v>
      </c>
      <c r="BR84" s="751">
        <v>0</v>
      </c>
      <c r="BS84" s="751">
        <v>117488</v>
      </c>
      <c r="BT84" s="751">
        <v>5874405</v>
      </c>
      <c r="BU84" s="751">
        <v>296479</v>
      </c>
      <c r="BV84" s="751">
        <v>0</v>
      </c>
      <c r="BW84" s="751">
        <v>5959</v>
      </c>
      <c r="BX84" s="751">
        <v>302438</v>
      </c>
      <c r="BY84" s="751">
        <v>1970</v>
      </c>
      <c r="BZ84" s="751">
        <v>0</v>
      </c>
      <c r="CA84" s="751">
        <v>40</v>
      </c>
      <c r="CB84" s="751">
        <v>2010</v>
      </c>
      <c r="CC84" s="751">
        <v>44910</v>
      </c>
      <c r="CD84" s="751">
        <v>0</v>
      </c>
      <c r="CE84" s="751">
        <v>917</v>
      </c>
      <c r="CF84" s="751">
        <v>45827</v>
      </c>
      <c r="CG84" s="751">
        <v>34304</v>
      </c>
      <c r="CH84" s="751">
        <v>0</v>
      </c>
      <c r="CI84" s="751">
        <v>700</v>
      </c>
      <c r="CJ84" s="751">
        <v>35004</v>
      </c>
      <c r="CK84" s="751">
        <v>0</v>
      </c>
      <c r="CL84" s="751">
        <v>0</v>
      </c>
      <c r="CM84" s="751">
        <v>0</v>
      </c>
      <c r="CN84" s="751">
        <v>0</v>
      </c>
      <c r="CO84" s="751">
        <v>0</v>
      </c>
      <c r="CP84" s="751">
        <v>0</v>
      </c>
      <c r="CQ84" s="751">
        <v>0</v>
      </c>
      <c r="CR84" s="751">
        <v>0</v>
      </c>
      <c r="CS84" s="751">
        <v>773</v>
      </c>
      <c r="CT84" s="751">
        <v>0</v>
      </c>
      <c r="CU84" s="751">
        <v>16</v>
      </c>
      <c r="CV84" s="751">
        <v>789</v>
      </c>
      <c r="CW84" s="751">
        <v>9151121</v>
      </c>
      <c r="CX84" s="751">
        <v>0</v>
      </c>
      <c r="CY84" s="751">
        <v>186192</v>
      </c>
      <c r="CZ84" s="751">
        <v>9337313</v>
      </c>
      <c r="DA84" s="662" t="s">
        <v>41</v>
      </c>
      <c r="DB84" s="324" t="s">
        <v>486</v>
      </c>
      <c r="DC84" s="663" t="s">
        <v>523</v>
      </c>
      <c r="DD84" s="529" t="s">
        <v>1291</v>
      </c>
    </row>
    <row r="85" spans="1:108" ht="12.75" x14ac:dyDescent="0.2">
      <c r="A85" s="664">
        <v>78</v>
      </c>
      <c r="B85" s="665" t="s">
        <v>44</v>
      </c>
      <c r="C85" s="666" t="s">
        <v>1213</v>
      </c>
      <c r="D85" s="667" t="s">
        <v>1214</v>
      </c>
      <c r="E85" s="668" t="s">
        <v>43</v>
      </c>
      <c r="F85" s="750">
        <v>150778031</v>
      </c>
      <c r="G85" s="751">
        <v>610375</v>
      </c>
      <c r="H85" s="751">
        <v>0</v>
      </c>
      <c r="I85" s="751">
        <v>498150</v>
      </c>
      <c r="J85" s="751">
        <v>0</v>
      </c>
      <c r="K85" s="751">
        <v>498150</v>
      </c>
      <c r="L85" s="751">
        <v>0</v>
      </c>
      <c r="M85" s="751">
        <v>0</v>
      </c>
      <c r="N85" s="751">
        <v>0</v>
      </c>
      <c r="O85" s="751">
        <v>0</v>
      </c>
      <c r="P85" s="751">
        <v>0</v>
      </c>
      <c r="Q85" s="751">
        <v>0</v>
      </c>
      <c r="R85" s="751">
        <v>150890256</v>
      </c>
      <c r="S85" s="749">
        <v>0.33</v>
      </c>
      <c r="T85" s="749">
        <v>0.3</v>
      </c>
      <c r="U85" s="749">
        <v>0.37</v>
      </c>
      <c r="V85" s="749">
        <v>0</v>
      </c>
      <c r="W85" s="749">
        <v>1</v>
      </c>
      <c r="X85" s="751">
        <v>49793784</v>
      </c>
      <c r="Y85" s="751">
        <v>45267077</v>
      </c>
      <c r="Z85" s="751">
        <v>55829395</v>
      </c>
      <c r="AA85" s="751">
        <v>0</v>
      </c>
      <c r="AB85" s="751">
        <v>150890256</v>
      </c>
      <c r="AC85" s="751">
        <v>0</v>
      </c>
      <c r="AD85" s="751">
        <v>0</v>
      </c>
      <c r="AE85" s="751">
        <v>49793784</v>
      </c>
      <c r="AF85" s="751">
        <v>45267077</v>
      </c>
      <c r="AG85" s="751">
        <v>55829395</v>
      </c>
      <c r="AH85" s="751">
        <v>0</v>
      </c>
      <c r="AI85" s="751">
        <v>150890256</v>
      </c>
      <c r="AJ85" s="751">
        <v>498150</v>
      </c>
      <c r="AK85" s="751">
        <v>498150</v>
      </c>
      <c r="AL85" s="751">
        <v>0</v>
      </c>
      <c r="AM85" s="751">
        <v>0</v>
      </c>
      <c r="AN85" s="751">
        <v>0</v>
      </c>
      <c r="AO85" s="751">
        <v>0</v>
      </c>
      <c r="AP85" s="751">
        <v>0</v>
      </c>
      <c r="AQ85" s="751">
        <v>0</v>
      </c>
      <c r="AR85" s="751">
        <v>0</v>
      </c>
      <c r="AS85" s="751">
        <v>0</v>
      </c>
      <c r="AT85" s="751">
        <v>0</v>
      </c>
      <c r="AU85" s="751">
        <v>0</v>
      </c>
      <c r="AV85" s="751">
        <v>0</v>
      </c>
      <c r="AW85" s="751">
        <v>0</v>
      </c>
      <c r="AX85" s="751">
        <v>0</v>
      </c>
      <c r="AY85" s="751">
        <v>0</v>
      </c>
      <c r="AZ85" s="751">
        <v>0</v>
      </c>
      <c r="BA85" s="751">
        <v>0</v>
      </c>
      <c r="BB85" s="751">
        <v>0</v>
      </c>
      <c r="BC85" s="751">
        <v>-19686439</v>
      </c>
      <c r="BD85" s="751">
        <v>-17847883</v>
      </c>
      <c r="BE85" s="751">
        <v>-22074667</v>
      </c>
      <c r="BF85" s="751">
        <v>0</v>
      </c>
      <c r="BG85" s="751">
        <v>-59608989</v>
      </c>
      <c r="BH85" s="751">
        <v>30107345</v>
      </c>
      <c r="BI85" s="751">
        <v>27917344</v>
      </c>
      <c r="BJ85" s="751">
        <v>33754728</v>
      </c>
      <c r="BK85" s="751">
        <v>0</v>
      </c>
      <c r="BL85" s="751">
        <v>91779417</v>
      </c>
      <c r="BM85" s="751">
        <v>2358605</v>
      </c>
      <c r="BN85" s="751">
        <v>2908946</v>
      </c>
      <c r="BO85" s="751">
        <v>0</v>
      </c>
      <c r="BP85" s="751">
        <v>5267551</v>
      </c>
      <c r="BQ85" s="751">
        <v>2669949</v>
      </c>
      <c r="BR85" s="751">
        <v>3292937</v>
      </c>
      <c r="BS85" s="751">
        <v>0</v>
      </c>
      <c r="BT85" s="751">
        <v>5962886</v>
      </c>
      <c r="BU85" s="751">
        <v>127298</v>
      </c>
      <c r="BV85" s="751">
        <v>157001</v>
      </c>
      <c r="BW85" s="751">
        <v>0</v>
      </c>
      <c r="BX85" s="751">
        <v>284299</v>
      </c>
      <c r="BY85" s="751">
        <v>2345</v>
      </c>
      <c r="BZ85" s="751">
        <v>2892</v>
      </c>
      <c r="CA85" s="751">
        <v>0</v>
      </c>
      <c r="CB85" s="751">
        <v>5237</v>
      </c>
      <c r="CC85" s="751">
        <v>0</v>
      </c>
      <c r="CD85" s="751">
        <v>0</v>
      </c>
      <c r="CE85" s="751">
        <v>0</v>
      </c>
      <c r="CF85" s="751">
        <v>0</v>
      </c>
      <c r="CG85" s="751">
        <v>28468</v>
      </c>
      <c r="CH85" s="751">
        <v>35111</v>
      </c>
      <c r="CI85" s="751">
        <v>0</v>
      </c>
      <c r="CJ85" s="751">
        <v>63579</v>
      </c>
      <c r="CK85" s="751">
        <v>0</v>
      </c>
      <c r="CL85" s="751">
        <v>0</v>
      </c>
      <c r="CM85" s="751">
        <v>0</v>
      </c>
      <c r="CN85" s="751">
        <v>0</v>
      </c>
      <c r="CO85" s="751">
        <v>0</v>
      </c>
      <c r="CP85" s="751">
        <v>0</v>
      </c>
      <c r="CQ85" s="751">
        <v>0</v>
      </c>
      <c r="CR85" s="751">
        <v>0</v>
      </c>
      <c r="CS85" s="751">
        <v>0</v>
      </c>
      <c r="CT85" s="751">
        <v>0</v>
      </c>
      <c r="CU85" s="751">
        <v>0</v>
      </c>
      <c r="CV85" s="751">
        <v>0</v>
      </c>
      <c r="CW85" s="751">
        <v>5186665</v>
      </c>
      <c r="CX85" s="751">
        <v>6396887</v>
      </c>
      <c r="CY85" s="751">
        <v>0</v>
      </c>
      <c r="CZ85" s="751">
        <v>11583552</v>
      </c>
      <c r="DA85" s="662" t="s">
        <v>43</v>
      </c>
      <c r="DB85" s="324" t="s">
        <v>576</v>
      </c>
      <c r="DC85" s="669" t="s">
        <v>485</v>
      </c>
      <c r="DD85" s="529" t="s">
        <v>1292</v>
      </c>
    </row>
    <row r="86" spans="1:108" ht="12.75" x14ac:dyDescent="0.2">
      <c r="A86" s="664">
        <v>79</v>
      </c>
      <c r="B86" s="665" t="s">
        <v>46</v>
      </c>
      <c r="C86" s="666" t="s">
        <v>1201</v>
      </c>
      <c r="D86" s="667" t="s">
        <v>1211</v>
      </c>
      <c r="E86" s="668" t="s">
        <v>45</v>
      </c>
      <c r="F86" s="750">
        <v>22346663</v>
      </c>
      <c r="G86" s="751">
        <v>177529</v>
      </c>
      <c r="H86" s="751">
        <v>0</v>
      </c>
      <c r="I86" s="751">
        <v>95388</v>
      </c>
      <c r="J86" s="751">
        <v>0</v>
      </c>
      <c r="K86" s="751">
        <v>95388</v>
      </c>
      <c r="L86" s="751">
        <v>0</v>
      </c>
      <c r="M86" s="751">
        <v>87062</v>
      </c>
      <c r="N86" s="751">
        <v>674728</v>
      </c>
      <c r="O86" s="751">
        <v>674728</v>
      </c>
      <c r="P86" s="751">
        <v>0</v>
      </c>
      <c r="Q86" s="751">
        <v>0</v>
      </c>
      <c r="R86" s="751">
        <v>21667014</v>
      </c>
      <c r="S86" s="749">
        <v>0.5</v>
      </c>
      <c r="T86" s="749">
        <v>0.4</v>
      </c>
      <c r="U86" s="749">
        <v>0.09</v>
      </c>
      <c r="V86" s="749">
        <v>0.01</v>
      </c>
      <c r="W86" s="749">
        <v>1</v>
      </c>
      <c r="X86" s="751">
        <v>10833507</v>
      </c>
      <c r="Y86" s="751">
        <v>8666806</v>
      </c>
      <c r="Z86" s="751">
        <v>1950031</v>
      </c>
      <c r="AA86" s="751">
        <v>216670</v>
      </c>
      <c r="AB86" s="751">
        <v>21667014</v>
      </c>
      <c r="AC86" s="751">
        <v>122483</v>
      </c>
      <c r="AD86" s="751">
        <v>122483</v>
      </c>
      <c r="AE86" s="751">
        <v>10711024</v>
      </c>
      <c r="AF86" s="751">
        <v>8666806</v>
      </c>
      <c r="AG86" s="751">
        <v>1950031</v>
      </c>
      <c r="AH86" s="751">
        <v>216670</v>
      </c>
      <c r="AI86" s="751">
        <v>21544531</v>
      </c>
      <c r="AJ86" s="751">
        <v>95388</v>
      </c>
      <c r="AK86" s="751">
        <v>95388</v>
      </c>
      <c r="AL86" s="751">
        <v>87062</v>
      </c>
      <c r="AM86" s="751">
        <v>87062</v>
      </c>
      <c r="AN86" s="751">
        <v>674728</v>
      </c>
      <c r="AO86" s="751">
        <v>0</v>
      </c>
      <c r="AP86" s="751">
        <v>674728</v>
      </c>
      <c r="AQ86" s="751">
        <v>0</v>
      </c>
      <c r="AR86" s="751">
        <v>0</v>
      </c>
      <c r="AS86" s="751">
        <v>0</v>
      </c>
      <c r="AT86" s="751">
        <v>0</v>
      </c>
      <c r="AU86" s="751">
        <v>122483</v>
      </c>
      <c r="AV86" s="751">
        <v>0</v>
      </c>
      <c r="AW86" s="751">
        <v>0</v>
      </c>
      <c r="AX86" s="751">
        <v>122483</v>
      </c>
      <c r="AY86" s="751">
        <v>0</v>
      </c>
      <c r="AZ86" s="751">
        <v>0</v>
      </c>
      <c r="BA86" s="751">
        <v>0</v>
      </c>
      <c r="BB86" s="751">
        <v>0</v>
      </c>
      <c r="BC86" s="751">
        <v>-3899515</v>
      </c>
      <c r="BD86" s="751">
        <v>-3119612</v>
      </c>
      <c r="BE86" s="751">
        <v>-701913</v>
      </c>
      <c r="BF86" s="751">
        <v>-77990</v>
      </c>
      <c r="BG86" s="751">
        <v>-7799031</v>
      </c>
      <c r="BH86" s="751">
        <v>6811509</v>
      </c>
      <c r="BI86" s="751">
        <v>6526855</v>
      </c>
      <c r="BJ86" s="751">
        <v>1248118</v>
      </c>
      <c r="BK86" s="751">
        <v>138680</v>
      </c>
      <c r="BL86" s="751">
        <v>14725161</v>
      </c>
      <c r="BM86" s="751">
        <v>497651</v>
      </c>
      <c r="BN86" s="751">
        <v>101605</v>
      </c>
      <c r="BO86" s="751">
        <v>11289</v>
      </c>
      <c r="BP86" s="751">
        <v>610545</v>
      </c>
      <c r="BQ86" s="751">
        <v>865933</v>
      </c>
      <c r="BR86" s="751">
        <v>194835</v>
      </c>
      <c r="BS86" s="751">
        <v>21648</v>
      </c>
      <c r="BT86" s="751">
        <v>1082416</v>
      </c>
      <c r="BU86" s="751">
        <v>61320</v>
      </c>
      <c r="BV86" s="751">
        <v>13797</v>
      </c>
      <c r="BW86" s="751">
        <v>1533</v>
      </c>
      <c r="BX86" s="751">
        <v>76650</v>
      </c>
      <c r="BY86" s="751">
        <v>0</v>
      </c>
      <c r="BZ86" s="751">
        <v>0</v>
      </c>
      <c r="CA86" s="751">
        <v>0</v>
      </c>
      <c r="CB86" s="751">
        <v>0</v>
      </c>
      <c r="CC86" s="751">
        <v>12473</v>
      </c>
      <c r="CD86" s="751">
        <v>2806</v>
      </c>
      <c r="CE86" s="751">
        <v>312</v>
      </c>
      <c r="CF86" s="751">
        <v>15591</v>
      </c>
      <c r="CG86" s="751">
        <v>14369</v>
      </c>
      <c r="CH86" s="751">
        <v>3233</v>
      </c>
      <c r="CI86" s="751">
        <v>359</v>
      </c>
      <c r="CJ86" s="751">
        <v>17961</v>
      </c>
      <c r="CK86" s="751">
        <v>0</v>
      </c>
      <c r="CL86" s="751">
        <v>0</v>
      </c>
      <c r="CM86" s="751">
        <v>0</v>
      </c>
      <c r="CN86" s="751">
        <v>0</v>
      </c>
      <c r="CO86" s="751">
        <v>0</v>
      </c>
      <c r="CP86" s="751">
        <v>0</v>
      </c>
      <c r="CQ86" s="751">
        <v>0</v>
      </c>
      <c r="CR86" s="751">
        <v>0</v>
      </c>
      <c r="CS86" s="751">
        <v>0</v>
      </c>
      <c r="CT86" s="751">
        <v>0</v>
      </c>
      <c r="CU86" s="751">
        <v>0</v>
      </c>
      <c r="CV86" s="751">
        <v>0</v>
      </c>
      <c r="CW86" s="751">
        <v>1451746</v>
      </c>
      <c r="CX86" s="751">
        <v>316276</v>
      </c>
      <c r="CY86" s="751">
        <v>35141</v>
      </c>
      <c r="CZ86" s="751">
        <v>1803163</v>
      </c>
      <c r="DA86" s="662" t="s">
        <v>45</v>
      </c>
      <c r="DB86" s="324" t="s">
        <v>503</v>
      </c>
      <c r="DC86" s="663" t="s">
        <v>502</v>
      </c>
      <c r="DD86" s="529" t="s">
        <v>1293</v>
      </c>
    </row>
    <row r="87" spans="1:108" ht="12.75" x14ac:dyDescent="0.2">
      <c r="A87" s="664">
        <v>80</v>
      </c>
      <c r="B87" s="665" t="s">
        <v>48</v>
      </c>
      <c r="C87" s="666" t="s">
        <v>1201</v>
      </c>
      <c r="D87" s="667" t="s">
        <v>1224</v>
      </c>
      <c r="E87" s="668" t="s">
        <v>47</v>
      </c>
      <c r="F87" s="750">
        <v>36468810</v>
      </c>
      <c r="G87" s="751">
        <v>144483</v>
      </c>
      <c r="H87" s="751">
        <v>0</v>
      </c>
      <c r="I87" s="751">
        <v>246767</v>
      </c>
      <c r="J87" s="751">
        <v>0</v>
      </c>
      <c r="K87" s="751">
        <v>246767</v>
      </c>
      <c r="L87" s="751">
        <v>0</v>
      </c>
      <c r="M87" s="751">
        <v>667255</v>
      </c>
      <c r="N87" s="751">
        <v>428309</v>
      </c>
      <c r="O87" s="751">
        <v>388240</v>
      </c>
      <c r="P87" s="751">
        <v>40069</v>
      </c>
      <c r="Q87" s="751">
        <v>0</v>
      </c>
      <c r="R87" s="751">
        <v>35270962</v>
      </c>
      <c r="S87" s="749">
        <v>0.5</v>
      </c>
      <c r="T87" s="749">
        <v>0.4</v>
      </c>
      <c r="U87" s="749">
        <v>0.09</v>
      </c>
      <c r="V87" s="749">
        <v>0.01</v>
      </c>
      <c r="W87" s="749">
        <v>1</v>
      </c>
      <c r="X87" s="751">
        <v>17635480</v>
      </c>
      <c r="Y87" s="751">
        <v>14108385</v>
      </c>
      <c r="Z87" s="751">
        <v>3174387</v>
      </c>
      <c r="AA87" s="751">
        <v>352710</v>
      </c>
      <c r="AB87" s="751">
        <v>35270962</v>
      </c>
      <c r="AC87" s="751">
        <v>139268</v>
      </c>
      <c r="AD87" s="751">
        <v>139268</v>
      </c>
      <c r="AE87" s="751">
        <v>17496212</v>
      </c>
      <c r="AF87" s="751">
        <v>14108385</v>
      </c>
      <c r="AG87" s="751">
        <v>3174387</v>
      </c>
      <c r="AH87" s="751">
        <v>352710</v>
      </c>
      <c r="AI87" s="751">
        <v>35131694</v>
      </c>
      <c r="AJ87" s="751">
        <v>246767</v>
      </c>
      <c r="AK87" s="751">
        <v>246767</v>
      </c>
      <c r="AL87" s="751">
        <v>667255</v>
      </c>
      <c r="AM87" s="751">
        <v>667255</v>
      </c>
      <c r="AN87" s="751">
        <v>388240</v>
      </c>
      <c r="AO87" s="751">
        <v>40069</v>
      </c>
      <c r="AP87" s="751">
        <v>428309</v>
      </c>
      <c r="AQ87" s="751">
        <v>0</v>
      </c>
      <c r="AR87" s="751">
        <v>0</v>
      </c>
      <c r="AS87" s="751">
        <v>0</v>
      </c>
      <c r="AT87" s="751">
        <v>0</v>
      </c>
      <c r="AU87" s="751">
        <v>139268</v>
      </c>
      <c r="AV87" s="751">
        <v>0</v>
      </c>
      <c r="AW87" s="751">
        <v>0</v>
      </c>
      <c r="AX87" s="751">
        <v>139268</v>
      </c>
      <c r="AY87" s="751">
        <v>0</v>
      </c>
      <c r="AZ87" s="751">
        <v>0</v>
      </c>
      <c r="BA87" s="751">
        <v>0</v>
      </c>
      <c r="BB87" s="751">
        <v>0</v>
      </c>
      <c r="BC87" s="751">
        <v>-9541854</v>
      </c>
      <c r="BD87" s="751">
        <v>-7633483</v>
      </c>
      <c r="BE87" s="751">
        <v>-1717534</v>
      </c>
      <c r="BF87" s="751">
        <v>-190837</v>
      </c>
      <c r="BG87" s="751">
        <v>-19083708</v>
      </c>
      <c r="BH87" s="751">
        <v>7954358</v>
      </c>
      <c r="BI87" s="751">
        <v>7916432</v>
      </c>
      <c r="BJ87" s="751">
        <v>1496922</v>
      </c>
      <c r="BK87" s="751">
        <v>161873</v>
      </c>
      <c r="BL87" s="751">
        <v>17529585</v>
      </c>
      <c r="BM87" s="751">
        <v>797358</v>
      </c>
      <c r="BN87" s="751">
        <v>167487</v>
      </c>
      <c r="BO87" s="751">
        <v>18378</v>
      </c>
      <c r="BP87" s="751">
        <v>983223</v>
      </c>
      <c r="BQ87" s="751">
        <v>2418991</v>
      </c>
      <c r="BR87" s="751">
        <v>537937</v>
      </c>
      <c r="BS87" s="751">
        <v>59771</v>
      </c>
      <c r="BT87" s="751">
        <v>3016699</v>
      </c>
      <c r="BU87" s="751">
        <v>93369</v>
      </c>
      <c r="BV87" s="751">
        <v>20555</v>
      </c>
      <c r="BW87" s="751">
        <v>2284</v>
      </c>
      <c r="BX87" s="751">
        <v>116208</v>
      </c>
      <c r="BY87" s="751">
        <v>1998</v>
      </c>
      <c r="BZ87" s="751">
        <v>449</v>
      </c>
      <c r="CA87" s="751">
        <v>50</v>
      </c>
      <c r="CB87" s="751">
        <v>2497</v>
      </c>
      <c r="CC87" s="751">
        <v>21333</v>
      </c>
      <c r="CD87" s="751">
        <v>4800</v>
      </c>
      <c r="CE87" s="751">
        <v>533</v>
      </c>
      <c r="CF87" s="751">
        <v>26666</v>
      </c>
      <c r="CG87" s="751">
        <v>8194</v>
      </c>
      <c r="CH87" s="751">
        <v>1844</v>
      </c>
      <c r="CI87" s="751">
        <v>205</v>
      </c>
      <c r="CJ87" s="751">
        <v>10243</v>
      </c>
      <c r="CK87" s="751">
        <v>0</v>
      </c>
      <c r="CL87" s="751">
        <v>0</v>
      </c>
      <c r="CM87" s="751">
        <v>0</v>
      </c>
      <c r="CN87" s="751">
        <v>0</v>
      </c>
      <c r="CO87" s="751">
        <v>0</v>
      </c>
      <c r="CP87" s="751">
        <v>0</v>
      </c>
      <c r="CQ87" s="751">
        <v>0</v>
      </c>
      <c r="CR87" s="751">
        <v>0</v>
      </c>
      <c r="CS87" s="751">
        <v>631</v>
      </c>
      <c r="CT87" s="751">
        <v>142</v>
      </c>
      <c r="CU87" s="751">
        <v>16</v>
      </c>
      <c r="CV87" s="751">
        <v>789</v>
      </c>
      <c r="CW87" s="751">
        <v>3341874</v>
      </c>
      <c r="CX87" s="751">
        <v>733214</v>
      </c>
      <c r="CY87" s="751">
        <v>81237</v>
      </c>
      <c r="CZ87" s="751">
        <v>4156325</v>
      </c>
      <c r="DA87" s="662" t="s">
        <v>47</v>
      </c>
      <c r="DB87" s="324" t="s">
        <v>521</v>
      </c>
      <c r="DC87" s="670" t="s">
        <v>519</v>
      </c>
      <c r="DD87" s="529" t="s">
        <v>1294</v>
      </c>
    </row>
    <row r="88" spans="1:108" ht="14.25" x14ac:dyDescent="0.2">
      <c r="A88" s="664">
        <v>81</v>
      </c>
      <c r="B88" s="665" t="s">
        <v>50</v>
      </c>
      <c r="C88" s="666" t="s">
        <v>1201</v>
      </c>
      <c r="D88" s="667" t="s">
        <v>1202</v>
      </c>
      <c r="E88" s="668" t="s">
        <v>1921</v>
      </c>
      <c r="F88" s="750">
        <v>30802929</v>
      </c>
      <c r="G88" s="751">
        <v>136013</v>
      </c>
      <c r="H88" s="751">
        <v>0</v>
      </c>
      <c r="I88" s="751">
        <v>156225</v>
      </c>
      <c r="J88" s="751">
        <v>0</v>
      </c>
      <c r="K88" s="751">
        <v>156225</v>
      </c>
      <c r="L88" s="751">
        <v>0</v>
      </c>
      <c r="M88" s="751">
        <v>33403</v>
      </c>
      <c r="N88" s="751">
        <v>51272</v>
      </c>
      <c r="O88" s="751">
        <v>20508</v>
      </c>
      <c r="P88" s="751">
        <v>30764</v>
      </c>
      <c r="Q88" s="751">
        <v>0</v>
      </c>
      <c r="R88" s="751">
        <v>30698042</v>
      </c>
      <c r="S88" s="749">
        <v>0.5</v>
      </c>
      <c r="T88" s="749">
        <v>0.4</v>
      </c>
      <c r="U88" s="749">
        <v>0.09</v>
      </c>
      <c r="V88" s="749">
        <v>0.01</v>
      </c>
      <c r="W88" s="749">
        <v>1</v>
      </c>
      <c r="X88" s="751">
        <v>15349021</v>
      </c>
      <c r="Y88" s="751">
        <v>12279217</v>
      </c>
      <c r="Z88" s="751">
        <v>2762824</v>
      </c>
      <c r="AA88" s="751">
        <v>306980</v>
      </c>
      <c r="AB88" s="751">
        <v>30698042</v>
      </c>
      <c r="AC88" s="751">
        <v>5399</v>
      </c>
      <c r="AD88" s="751">
        <v>5399</v>
      </c>
      <c r="AE88" s="751">
        <v>15343622</v>
      </c>
      <c r="AF88" s="751">
        <v>12279217</v>
      </c>
      <c r="AG88" s="751">
        <v>2762824</v>
      </c>
      <c r="AH88" s="751">
        <v>306980</v>
      </c>
      <c r="AI88" s="751">
        <v>30692643</v>
      </c>
      <c r="AJ88" s="751">
        <v>156225</v>
      </c>
      <c r="AK88" s="751">
        <v>156225</v>
      </c>
      <c r="AL88" s="751">
        <v>33403</v>
      </c>
      <c r="AM88" s="751">
        <v>33403</v>
      </c>
      <c r="AN88" s="751">
        <v>20508</v>
      </c>
      <c r="AO88" s="751">
        <v>30764</v>
      </c>
      <c r="AP88" s="751">
        <v>51272</v>
      </c>
      <c r="AQ88" s="751">
        <v>0</v>
      </c>
      <c r="AR88" s="751">
        <v>0</v>
      </c>
      <c r="AS88" s="751">
        <v>0</v>
      </c>
      <c r="AT88" s="751">
        <v>0</v>
      </c>
      <c r="AU88" s="751">
        <v>5399</v>
      </c>
      <c r="AV88" s="751">
        <v>0</v>
      </c>
      <c r="AW88" s="751">
        <v>0</v>
      </c>
      <c r="AX88" s="751">
        <v>5399</v>
      </c>
      <c r="AY88" s="751">
        <v>0</v>
      </c>
      <c r="AZ88" s="751">
        <v>0</v>
      </c>
      <c r="BA88" s="751">
        <v>0</v>
      </c>
      <c r="BB88" s="751">
        <v>0</v>
      </c>
      <c r="BC88" s="751">
        <v>-6548078</v>
      </c>
      <c r="BD88" s="751">
        <v>-5238462</v>
      </c>
      <c r="BE88" s="751">
        <v>-1178654</v>
      </c>
      <c r="BF88" s="751">
        <v>-130962</v>
      </c>
      <c r="BG88" s="751">
        <v>-13096156</v>
      </c>
      <c r="BH88" s="751">
        <v>8795544</v>
      </c>
      <c r="BI88" s="751">
        <v>7256290</v>
      </c>
      <c r="BJ88" s="751">
        <v>1614934</v>
      </c>
      <c r="BK88" s="751">
        <v>176018</v>
      </c>
      <c r="BL88" s="751">
        <v>17842786</v>
      </c>
      <c r="BM88" s="751">
        <v>642889</v>
      </c>
      <c r="BN88" s="751">
        <v>145558</v>
      </c>
      <c r="BO88" s="751">
        <v>15995</v>
      </c>
      <c r="BP88" s="751">
        <v>804442</v>
      </c>
      <c r="BQ88" s="751">
        <v>1481108</v>
      </c>
      <c r="BR88" s="751">
        <v>330533</v>
      </c>
      <c r="BS88" s="751">
        <v>36726</v>
      </c>
      <c r="BT88" s="751">
        <v>1848367</v>
      </c>
      <c r="BU88" s="751">
        <v>101941</v>
      </c>
      <c r="BV88" s="751">
        <v>22937</v>
      </c>
      <c r="BW88" s="751">
        <v>2549</v>
      </c>
      <c r="BX88" s="751">
        <v>127427</v>
      </c>
      <c r="BY88" s="751">
        <v>2175</v>
      </c>
      <c r="BZ88" s="751">
        <v>489</v>
      </c>
      <c r="CA88" s="751">
        <v>54</v>
      </c>
      <c r="CB88" s="751">
        <v>2718</v>
      </c>
      <c r="CC88" s="751">
        <v>9225</v>
      </c>
      <c r="CD88" s="751">
        <v>2076</v>
      </c>
      <c r="CE88" s="751">
        <v>231</v>
      </c>
      <c r="CF88" s="751">
        <v>11532</v>
      </c>
      <c r="CG88" s="751">
        <v>16539</v>
      </c>
      <c r="CH88" s="751">
        <v>3721</v>
      </c>
      <c r="CI88" s="751">
        <v>413</v>
      </c>
      <c r="CJ88" s="751">
        <v>20673</v>
      </c>
      <c r="CK88" s="751">
        <v>0</v>
      </c>
      <c r="CL88" s="751">
        <v>0</v>
      </c>
      <c r="CM88" s="751">
        <v>0</v>
      </c>
      <c r="CN88" s="751">
        <v>0</v>
      </c>
      <c r="CO88" s="751">
        <v>0</v>
      </c>
      <c r="CP88" s="751">
        <v>0</v>
      </c>
      <c r="CQ88" s="751">
        <v>0</v>
      </c>
      <c r="CR88" s="751">
        <v>0</v>
      </c>
      <c r="CS88" s="751">
        <v>504</v>
      </c>
      <c r="CT88" s="751">
        <v>114</v>
      </c>
      <c r="CU88" s="751">
        <v>13</v>
      </c>
      <c r="CV88" s="751">
        <v>631</v>
      </c>
      <c r="CW88" s="751">
        <v>2254381</v>
      </c>
      <c r="CX88" s="751">
        <v>505428</v>
      </c>
      <c r="CY88" s="751">
        <v>55981</v>
      </c>
      <c r="CZ88" s="751">
        <v>2815790</v>
      </c>
      <c r="DA88" s="662" t="s">
        <v>49</v>
      </c>
      <c r="DB88" s="324" t="s">
        <v>532</v>
      </c>
      <c r="DC88" s="663" t="s">
        <v>1920</v>
      </c>
      <c r="DD88" s="529" t="s">
        <v>1295</v>
      </c>
    </row>
    <row r="89" spans="1:108" ht="12.75" x14ac:dyDescent="0.2">
      <c r="A89" s="664">
        <v>82</v>
      </c>
      <c r="B89" s="665" t="s">
        <v>52</v>
      </c>
      <c r="C89" s="666" t="s">
        <v>1201</v>
      </c>
      <c r="D89" s="667" t="s">
        <v>1211</v>
      </c>
      <c r="E89" s="668" t="s">
        <v>51</v>
      </c>
      <c r="F89" s="750">
        <v>43847059</v>
      </c>
      <c r="G89" s="751">
        <v>88128</v>
      </c>
      <c r="H89" s="751">
        <v>0</v>
      </c>
      <c r="I89" s="751">
        <v>196780</v>
      </c>
      <c r="J89" s="751">
        <v>0</v>
      </c>
      <c r="K89" s="751">
        <v>196780</v>
      </c>
      <c r="L89" s="751">
        <v>0</v>
      </c>
      <c r="M89" s="751">
        <v>0</v>
      </c>
      <c r="N89" s="751">
        <v>0</v>
      </c>
      <c r="O89" s="751">
        <v>0</v>
      </c>
      <c r="P89" s="751">
        <v>0</v>
      </c>
      <c r="Q89" s="751">
        <v>0</v>
      </c>
      <c r="R89" s="751">
        <v>43738407</v>
      </c>
      <c r="S89" s="749">
        <v>0.5</v>
      </c>
      <c r="T89" s="749">
        <v>0.4</v>
      </c>
      <c r="U89" s="749">
        <v>0.1</v>
      </c>
      <c r="V89" s="749">
        <v>0</v>
      </c>
      <c r="W89" s="749">
        <v>1</v>
      </c>
      <c r="X89" s="751">
        <v>21869203</v>
      </c>
      <c r="Y89" s="751">
        <v>17495363</v>
      </c>
      <c r="Z89" s="751">
        <v>4373841</v>
      </c>
      <c r="AA89" s="751">
        <v>0</v>
      </c>
      <c r="AB89" s="751">
        <v>43738407</v>
      </c>
      <c r="AC89" s="751">
        <v>0</v>
      </c>
      <c r="AD89" s="751">
        <v>0</v>
      </c>
      <c r="AE89" s="751">
        <v>21869203</v>
      </c>
      <c r="AF89" s="751">
        <v>17495363</v>
      </c>
      <c r="AG89" s="751">
        <v>4373841</v>
      </c>
      <c r="AH89" s="751">
        <v>0</v>
      </c>
      <c r="AI89" s="751">
        <v>43738407</v>
      </c>
      <c r="AJ89" s="751">
        <v>196780</v>
      </c>
      <c r="AK89" s="751">
        <v>196780</v>
      </c>
      <c r="AL89" s="751">
        <v>0</v>
      </c>
      <c r="AM89" s="751">
        <v>0</v>
      </c>
      <c r="AN89" s="751">
        <v>0</v>
      </c>
      <c r="AO89" s="751">
        <v>0</v>
      </c>
      <c r="AP89" s="751">
        <v>0</v>
      </c>
      <c r="AQ89" s="751">
        <v>0</v>
      </c>
      <c r="AR89" s="751">
        <v>0</v>
      </c>
      <c r="AS89" s="751">
        <v>0</v>
      </c>
      <c r="AT89" s="751">
        <v>0</v>
      </c>
      <c r="AU89" s="751">
        <v>0</v>
      </c>
      <c r="AV89" s="751">
        <v>0</v>
      </c>
      <c r="AW89" s="751">
        <v>0</v>
      </c>
      <c r="AX89" s="751">
        <v>0</v>
      </c>
      <c r="AY89" s="751">
        <v>0</v>
      </c>
      <c r="AZ89" s="751">
        <v>0</v>
      </c>
      <c r="BA89" s="751">
        <v>0</v>
      </c>
      <c r="BB89" s="751">
        <v>0</v>
      </c>
      <c r="BC89" s="751">
        <v>-9365281</v>
      </c>
      <c r="BD89" s="751">
        <v>-7396832</v>
      </c>
      <c r="BE89" s="751">
        <v>-1650473</v>
      </c>
      <c r="BF89" s="751">
        <v>0</v>
      </c>
      <c r="BG89" s="751">
        <v>-18412586</v>
      </c>
      <c r="BH89" s="751">
        <v>12503922</v>
      </c>
      <c r="BI89" s="751">
        <v>10295311</v>
      </c>
      <c r="BJ89" s="751">
        <v>2723368</v>
      </c>
      <c r="BK89" s="751">
        <v>0</v>
      </c>
      <c r="BL89" s="751">
        <v>25522601</v>
      </c>
      <c r="BM89" s="751">
        <v>911582</v>
      </c>
      <c r="BN89" s="751">
        <v>227896</v>
      </c>
      <c r="BO89" s="751">
        <v>0</v>
      </c>
      <c r="BP89" s="751">
        <v>1139478</v>
      </c>
      <c r="BQ89" s="751">
        <v>1831281</v>
      </c>
      <c r="BR89" s="751">
        <v>457820</v>
      </c>
      <c r="BS89" s="751">
        <v>0</v>
      </c>
      <c r="BT89" s="751">
        <v>2289101</v>
      </c>
      <c r="BU89" s="751">
        <v>122355</v>
      </c>
      <c r="BV89" s="751">
        <v>30589</v>
      </c>
      <c r="BW89" s="751">
        <v>0</v>
      </c>
      <c r="BX89" s="751">
        <v>152944</v>
      </c>
      <c r="BY89" s="751">
        <v>0</v>
      </c>
      <c r="BZ89" s="751">
        <v>0</v>
      </c>
      <c r="CA89" s="751">
        <v>0</v>
      </c>
      <c r="CB89" s="751">
        <v>0</v>
      </c>
      <c r="CC89" s="751">
        <v>0</v>
      </c>
      <c r="CD89" s="751">
        <v>0</v>
      </c>
      <c r="CE89" s="751">
        <v>0</v>
      </c>
      <c r="CF89" s="751">
        <v>0</v>
      </c>
      <c r="CG89" s="751">
        <v>16055</v>
      </c>
      <c r="CH89" s="751">
        <v>4014</v>
      </c>
      <c r="CI89" s="751">
        <v>0</v>
      </c>
      <c r="CJ89" s="751">
        <v>20069</v>
      </c>
      <c r="CK89" s="751">
        <v>0</v>
      </c>
      <c r="CL89" s="751">
        <v>0</v>
      </c>
      <c r="CM89" s="751">
        <v>0</v>
      </c>
      <c r="CN89" s="751">
        <v>0</v>
      </c>
      <c r="CO89" s="751">
        <v>0</v>
      </c>
      <c r="CP89" s="751">
        <v>0</v>
      </c>
      <c r="CQ89" s="751">
        <v>0</v>
      </c>
      <c r="CR89" s="751">
        <v>0</v>
      </c>
      <c r="CS89" s="751">
        <v>631</v>
      </c>
      <c r="CT89" s="751">
        <v>158</v>
      </c>
      <c r="CU89" s="751">
        <v>0</v>
      </c>
      <c r="CV89" s="751">
        <v>789</v>
      </c>
      <c r="CW89" s="751">
        <v>2881904</v>
      </c>
      <c r="CX89" s="751">
        <v>720477</v>
      </c>
      <c r="CY89" s="751">
        <v>0</v>
      </c>
      <c r="CZ89" s="751">
        <v>3602381</v>
      </c>
      <c r="DA89" s="662" t="s">
        <v>51</v>
      </c>
      <c r="DB89" s="324" t="s">
        <v>536</v>
      </c>
      <c r="DC89" s="663" t="s">
        <v>512</v>
      </c>
      <c r="DD89" s="529" t="s">
        <v>1296</v>
      </c>
    </row>
    <row r="90" spans="1:108" ht="12.75" x14ac:dyDescent="0.2">
      <c r="A90" s="664">
        <v>83</v>
      </c>
      <c r="B90" s="665" t="s">
        <v>54</v>
      </c>
      <c r="C90" s="666" t="s">
        <v>1201</v>
      </c>
      <c r="D90" s="667" t="s">
        <v>1206</v>
      </c>
      <c r="E90" s="668" t="s">
        <v>53</v>
      </c>
      <c r="F90" s="750">
        <v>38063025</v>
      </c>
      <c r="G90" s="751">
        <v>270618</v>
      </c>
      <c r="H90" s="751">
        <v>0</v>
      </c>
      <c r="I90" s="751">
        <v>255629</v>
      </c>
      <c r="J90" s="751">
        <v>0</v>
      </c>
      <c r="K90" s="751">
        <v>255629</v>
      </c>
      <c r="L90" s="751">
        <v>0</v>
      </c>
      <c r="M90" s="751">
        <v>0</v>
      </c>
      <c r="N90" s="751">
        <v>818202</v>
      </c>
      <c r="O90" s="751">
        <v>699459</v>
      </c>
      <c r="P90" s="751">
        <v>118743</v>
      </c>
      <c r="Q90" s="751">
        <v>0</v>
      </c>
      <c r="R90" s="751">
        <v>37259812</v>
      </c>
      <c r="S90" s="749">
        <v>0.5</v>
      </c>
      <c r="T90" s="749">
        <v>0.4</v>
      </c>
      <c r="U90" s="749">
        <v>0.1</v>
      </c>
      <c r="V90" s="749">
        <v>0</v>
      </c>
      <c r="W90" s="749">
        <v>1</v>
      </c>
      <c r="X90" s="751">
        <v>18629906</v>
      </c>
      <c r="Y90" s="751">
        <v>14903925</v>
      </c>
      <c r="Z90" s="751">
        <v>3725981</v>
      </c>
      <c r="AA90" s="751">
        <v>0</v>
      </c>
      <c r="AB90" s="751">
        <v>37259812</v>
      </c>
      <c r="AC90" s="751">
        <v>0</v>
      </c>
      <c r="AD90" s="751">
        <v>0</v>
      </c>
      <c r="AE90" s="751">
        <v>18629906</v>
      </c>
      <c r="AF90" s="751">
        <v>14903925</v>
      </c>
      <c r="AG90" s="751">
        <v>3725981</v>
      </c>
      <c r="AH90" s="751">
        <v>0</v>
      </c>
      <c r="AI90" s="751">
        <v>37259812</v>
      </c>
      <c r="AJ90" s="751">
        <v>255629</v>
      </c>
      <c r="AK90" s="751">
        <v>255629</v>
      </c>
      <c r="AL90" s="751">
        <v>0</v>
      </c>
      <c r="AM90" s="751">
        <v>0</v>
      </c>
      <c r="AN90" s="751">
        <v>699459</v>
      </c>
      <c r="AO90" s="751">
        <v>118743</v>
      </c>
      <c r="AP90" s="751">
        <v>818202</v>
      </c>
      <c r="AQ90" s="751">
        <v>0</v>
      </c>
      <c r="AR90" s="751">
        <v>0</v>
      </c>
      <c r="AS90" s="751">
        <v>0</v>
      </c>
      <c r="AT90" s="751">
        <v>0</v>
      </c>
      <c r="AU90" s="751">
        <v>0</v>
      </c>
      <c r="AV90" s="751">
        <v>0</v>
      </c>
      <c r="AW90" s="751">
        <v>0</v>
      </c>
      <c r="AX90" s="751">
        <v>0</v>
      </c>
      <c r="AY90" s="751">
        <v>0</v>
      </c>
      <c r="AZ90" s="751">
        <v>0</v>
      </c>
      <c r="BA90" s="751">
        <v>0</v>
      </c>
      <c r="BB90" s="751">
        <v>0</v>
      </c>
      <c r="BC90" s="751">
        <v>-11398782</v>
      </c>
      <c r="BD90" s="751">
        <v>-9119025</v>
      </c>
      <c r="BE90" s="751">
        <v>-2279756</v>
      </c>
      <c r="BF90" s="751">
        <v>0</v>
      </c>
      <c r="BG90" s="751">
        <v>-22797563</v>
      </c>
      <c r="BH90" s="751">
        <v>7231125</v>
      </c>
      <c r="BI90" s="751">
        <v>6739988</v>
      </c>
      <c r="BJ90" s="751">
        <v>1564968</v>
      </c>
      <c r="BK90" s="751">
        <v>0</v>
      </c>
      <c r="BL90" s="751">
        <v>15536080</v>
      </c>
      <c r="BM90" s="751">
        <v>813002</v>
      </c>
      <c r="BN90" s="751">
        <v>200326</v>
      </c>
      <c r="BO90" s="751">
        <v>0</v>
      </c>
      <c r="BP90" s="751">
        <v>1013328</v>
      </c>
      <c r="BQ90" s="751">
        <v>2049207</v>
      </c>
      <c r="BR90" s="751">
        <v>512302</v>
      </c>
      <c r="BS90" s="751">
        <v>0</v>
      </c>
      <c r="BT90" s="751">
        <v>2561509</v>
      </c>
      <c r="BU90" s="751">
        <v>102135</v>
      </c>
      <c r="BV90" s="751">
        <v>25534</v>
      </c>
      <c r="BW90" s="751">
        <v>0</v>
      </c>
      <c r="BX90" s="751">
        <v>127669</v>
      </c>
      <c r="BY90" s="751">
        <v>0</v>
      </c>
      <c r="BZ90" s="751">
        <v>0</v>
      </c>
      <c r="CA90" s="751">
        <v>0</v>
      </c>
      <c r="CB90" s="751">
        <v>0</v>
      </c>
      <c r="CC90" s="751">
        <v>36077</v>
      </c>
      <c r="CD90" s="751">
        <v>9019</v>
      </c>
      <c r="CE90" s="751">
        <v>0</v>
      </c>
      <c r="CF90" s="751">
        <v>45096</v>
      </c>
      <c r="CG90" s="751">
        <v>31442</v>
      </c>
      <c r="CH90" s="751">
        <v>7861</v>
      </c>
      <c r="CI90" s="751">
        <v>0</v>
      </c>
      <c r="CJ90" s="751">
        <v>39303</v>
      </c>
      <c r="CK90" s="751">
        <v>0</v>
      </c>
      <c r="CL90" s="751">
        <v>0</v>
      </c>
      <c r="CM90" s="751">
        <v>0</v>
      </c>
      <c r="CN90" s="751">
        <v>0</v>
      </c>
      <c r="CO90" s="751">
        <v>0</v>
      </c>
      <c r="CP90" s="751">
        <v>0</v>
      </c>
      <c r="CQ90" s="751">
        <v>0</v>
      </c>
      <c r="CR90" s="751">
        <v>0</v>
      </c>
      <c r="CS90" s="751">
        <v>0</v>
      </c>
      <c r="CT90" s="751">
        <v>0</v>
      </c>
      <c r="CU90" s="751">
        <v>0</v>
      </c>
      <c r="CV90" s="751">
        <v>0</v>
      </c>
      <c r="CW90" s="751">
        <v>3031863</v>
      </c>
      <c r="CX90" s="751">
        <v>755042</v>
      </c>
      <c r="CY90" s="751">
        <v>0</v>
      </c>
      <c r="CZ90" s="751">
        <v>3786905</v>
      </c>
      <c r="DA90" s="662" t="s">
        <v>53</v>
      </c>
      <c r="DB90" s="324" t="s">
        <v>552</v>
      </c>
      <c r="DC90" s="663" t="s">
        <v>512</v>
      </c>
      <c r="DD90" s="529" t="s">
        <v>1297</v>
      </c>
    </row>
    <row r="91" spans="1:108" ht="12.75" x14ac:dyDescent="0.2">
      <c r="A91" s="664">
        <v>84</v>
      </c>
      <c r="B91" s="665" t="s">
        <v>56</v>
      </c>
      <c r="C91" s="666" t="s">
        <v>486</v>
      </c>
      <c r="D91" s="667" t="s">
        <v>1218</v>
      </c>
      <c r="E91" s="668" t="s">
        <v>537</v>
      </c>
      <c r="F91" s="750">
        <v>110672483</v>
      </c>
      <c r="G91" s="751">
        <v>0</v>
      </c>
      <c r="H91" s="751">
        <v>7606495</v>
      </c>
      <c r="I91" s="751">
        <v>444745</v>
      </c>
      <c r="J91" s="751">
        <v>0</v>
      </c>
      <c r="K91" s="751">
        <v>444745</v>
      </c>
      <c r="L91" s="751">
        <v>0</v>
      </c>
      <c r="M91" s="751">
        <v>466132</v>
      </c>
      <c r="N91" s="751">
        <v>5269225</v>
      </c>
      <c r="O91" s="751">
        <v>5269225</v>
      </c>
      <c r="P91" s="751">
        <v>0</v>
      </c>
      <c r="Q91" s="751">
        <v>0</v>
      </c>
      <c r="R91" s="751">
        <v>96885886</v>
      </c>
      <c r="S91" s="749">
        <v>0.5</v>
      </c>
      <c r="T91" s="749">
        <v>0.49</v>
      </c>
      <c r="U91" s="749">
        <v>0</v>
      </c>
      <c r="V91" s="749">
        <v>0.01</v>
      </c>
      <c r="W91" s="749">
        <v>1</v>
      </c>
      <c r="X91" s="751">
        <v>48442943</v>
      </c>
      <c r="Y91" s="751">
        <v>47474084</v>
      </c>
      <c r="Z91" s="751">
        <v>0</v>
      </c>
      <c r="AA91" s="751">
        <v>968859</v>
      </c>
      <c r="AB91" s="751">
        <v>96885886</v>
      </c>
      <c r="AC91" s="751">
        <v>41727</v>
      </c>
      <c r="AD91" s="751">
        <v>41727</v>
      </c>
      <c r="AE91" s="751">
        <v>48401216</v>
      </c>
      <c r="AF91" s="751">
        <v>47474084</v>
      </c>
      <c r="AG91" s="751">
        <v>0</v>
      </c>
      <c r="AH91" s="751">
        <v>968859</v>
      </c>
      <c r="AI91" s="751">
        <v>96844159</v>
      </c>
      <c r="AJ91" s="751">
        <v>444745</v>
      </c>
      <c r="AK91" s="751">
        <v>444745</v>
      </c>
      <c r="AL91" s="751">
        <v>466132</v>
      </c>
      <c r="AM91" s="751">
        <v>466132</v>
      </c>
      <c r="AN91" s="751">
        <v>5269225</v>
      </c>
      <c r="AO91" s="751">
        <v>0</v>
      </c>
      <c r="AP91" s="751">
        <v>5269225</v>
      </c>
      <c r="AQ91" s="751">
        <v>0</v>
      </c>
      <c r="AR91" s="751">
        <v>0</v>
      </c>
      <c r="AS91" s="751">
        <v>0</v>
      </c>
      <c r="AT91" s="751">
        <v>0</v>
      </c>
      <c r="AU91" s="751">
        <v>40892</v>
      </c>
      <c r="AV91" s="751">
        <v>0</v>
      </c>
      <c r="AW91" s="751">
        <v>835</v>
      </c>
      <c r="AX91" s="751">
        <v>41727</v>
      </c>
      <c r="AY91" s="751">
        <v>0</v>
      </c>
      <c r="AZ91" s="751">
        <v>0</v>
      </c>
      <c r="BA91" s="751">
        <v>0</v>
      </c>
      <c r="BB91" s="751">
        <v>0</v>
      </c>
      <c r="BC91" s="751">
        <v>-18790154</v>
      </c>
      <c r="BD91" s="751">
        <v>-18414351</v>
      </c>
      <c r="BE91" s="751">
        <v>0</v>
      </c>
      <c r="BF91" s="751">
        <v>-375803</v>
      </c>
      <c r="BG91" s="751">
        <v>-37580308</v>
      </c>
      <c r="BH91" s="751">
        <v>29611062</v>
      </c>
      <c r="BI91" s="751">
        <v>35280727</v>
      </c>
      <c r="BJ91" s="751">
        <v>0</v>
      </c>
      <c r="BK91" s="751">
        <v>593891</v>
      </c>
      <c r="BL91" s="751">
        <v>65485680</v>
      </c>
      <c r="BM91" s="751">
        <v>2774566</v>
      </c>
      <c r="BN91" s="751">
        <v>0</v>
      </c>
      <c r="BO91" s="751">
        <v>50525</v>
      </c>
      <c r="BP91" s="751">
        <v>2825091</v>
      </c>
      <c r="BQ91" s="751">
        <v>4970680</v>
      </c>
      <c r="BR91" s="751">
        <v>0</v>
      </c>
      <c r="BS91" s="751">
        <v>101442</v>
      </c>
      <c r="BT91" s="751">
        <v>5072122</v>
      </c>
      <c r="BU91" s="751">
        <v>239775</v>
      </c>
      <c r="BV91" s="751">
        <v>0</v>
      </c>
      <c r="BW91" s="751">
        <v>4893</v>
      </c>
      <c r="BX91" s="751">
        <v>244668</v>
      </c>
      <c r="BY91" s="751">
        <v>6055</v>
      </c>
      <c r="BZ91" s="751">
        <v>0</v>
      </c>
      <c r="CA91" s="751">
        <v>124</v>
      </c>
      <c r="CB91" s="751">
        <v>6179</v>
      </c>
      <c r="CC91" s="751">
        <v>27768</v>
      </c>
      <c r="CD91" s="751">
        <v>0</v>
      </c>
      <c r="CE91" s="751">
        <v>567</v>
      </c>
      <c r="CF91" s="751">
        <v>28335</v>
      </c>
      <c r="CG91" s="751">
        <v>89976</v>
      </c>
      <c r="CH91" s="751">
        <v>0</v>
      </c>
      <c r="CI91" s="751">
        <v>1836</v>
      </c>
      <c r="CJ91" s="751">
        <v>91812</v>
      </c>
      <c r="CK91" s="751">
        <v>0</v>
      </c>
      <c r="CL91" s="751">
        <v>0</v>
      </c>
      <c r="CM91" s="751">
        <v>0</v>
      </c>
      <c r="CN91" s="751">
        <v>0</v>
      </c>
      <c r="CO91" s="751">
        <v>0</v>
      </c>
      <c r="CP91" s="751">
        <v>0</v>
      </c>
      <c r="CQ91" s="751">
        <v>0</v>
      </c>
      <c r="CR91" s="751">
        <v>0</v>
      </c>
      <c r="CS91" s="751">
        <v>773</v>
      </c>
      <c r="CT91" s="751">
        <v>0</v>
      </c>
      <c r="CU91" s="751">
        <v>16</v>
      </c>
      <c r="CV91" s="751">
        <v>789</v>
      </c>
      <c r="CW91" s="751">
        <v>8109593</v>
      </c>
      <c r="CX91" s="751">
        <v>0</v>
      </c>
      <c r="CY91" s="751">
        <v>159403</v>
      </c>
      <c r="CZ91" s="751">
        <v>8268996</v>
      </c>
      <c r="DA91" s="662" t="s">
        <v>537</v>
      </c>
      <c r="DB91" s="324" t="s">
        <v>486</v>
      </c>
      <c r="DC91" s="663" t="s">
        <v>538</v>
      </c>
      <c r="DD91" s="529" t="s">
        <v>1298</v>
      </c>
    </row>
    <row r="92" spans="1:108" ht="12.75" x14ac:dyDescent="0.2">
      <c r="A92" s="664">
        <v>85</v>
      </c>
      <c r="B92" s="665" t="s">
        <v>58</v>
      </c>
      <c r="C92" s="666" t="s">
        <v>1201</v>
      </c>
      <c r="D92" s="667" t="s">
        <v>1228</v>
      </c>
      <c r="E92" s="668" t="s">
        <v>57</v>
      </c>
      <c r="F92" s="750">
        <v>55903628</v>
      </c>
      <c r="G92" s="751">
        <v>0</v>
      </c>
      <c r="H92" s="751">
        <v>1185952</v>
      </c>
      <c r="I92" s="751">
        <v>167247</v>
      </c>
      <c r="J92" s="751">
        <v>0</v>
      </c>
      <c r="K92" s="751">
        <v>167247</v>
      </c>
      <c r="L92" s="751">
        <v>0</v>
      </c>
      <c r="M92" s="751">
        <v>0</v>
      </c>
      <c r="N92" s="751">
        <v>0</v>
      </c>
      <c r="O92" s="751">
        <v>0</v>
      </c>
      <c r="P92" s="751">
        <v>0</v>
      </c>
      <c r="Q92" s="751">
        <v>0</v>
      </c>
      <c r="R92" s="751">
        <v>54550429</v>
      </c>
      <c r="S92" s="749">
        <v>0.5</v>
      </c>
      <c r="T92" s="749">
        <v>0.4</v>
      </c>
      <c r="U92" s="749">
        <v>0.09</v>
      </c>
      <c r="V92" s="749">
        <v>0.01</v>
      </c>
      <c r="W92" s="749">
        <v>1</v>
      </c>
      <c r="X92" s="751">
        <v>27275214</v>
      </c>
      <c r="Y92" s="751">
        <v>21820172</v>
      </c>
      <c r="Z92" s="751">
        <v>4909539</v>
      </c>
      <c r="AA92" s="751">
        <v>545504</v>
      </c>
      <c r="AB92" s="751">
        <v>54550429</v>
      </c>
      <c r="AC92" s="751">
        <v>0</v>
      </c>
      <c r="AD92" s="751">
        <v>0</v>
      </c>
      <c r="AE92" s="751">
        <v>27275214</v>
      </c>
      <c r="AF92" s="751">
        <v>21820172</v>
      </c>
      <c r="AG92" s="751">
        <v>4909539</v>
      </c>
      <c r="AH92" s="751">
        <v>545504</v>
      </c>
      <c r="AI92" s="751">
        <v>54550429</v>
      </c>
      <c r="AJ92" s="751">
        <v>167247</v>
      </c>
      <c r="AK92" s="751">
        <v>167247</v>
      </c>
      <c r="AL92" s="751">
        <v>0</v>
      </c>
      <c r="AM92" s="751">
        <v>0</v>
      </c>
      <c r="AN92" s="751">
        <v>0</v>
      </c>
      <c r="AO92" s="751">
        <v>0</v>
      </c>
      <c r="AP92" s="751">
        <v>0</v>
      </c>
      <c r="AQ92" s="751">
        <v>0</v>
      </c>
      <c r="AR92" s="751">
        <v>0</v>
      </c>
      <c r="AS92" s="751">
        <v>0</v>
      </c>
      <c r="AT92" s="751">
        <v>0</v>
      </c>
      <c r="AU92" s="751">
        <v>0</v>
      </c>
      <c r="AV92" s="751">
        <v>0</v>
      </c>
      <c r="AW92" s="751">
        <v>0</v>
      </c>
      <c r="AX92" s="751">
        <v>0</v>
      </c>
      <c r="AY92" s="751">
        <v>0</v>
      </c>
      <c r="AZ92" s="751">
        <v>0</v>
      </c>
      <c r="BA92" s="751">
        <v>0</v>
      </c>
      <c r="BB92" s="751">
        <v>0</v>
      </c>
      <c r="BC92" s="751">
        <v>-8765150</v>
      </c>
      <c r="BD92" s="751">
        <v>-6176385</v>
      </c>
      <c r="BE92" s="751">
        <v>-345018</v>
      </c>
      <c r="BF92" s="751">
        <v>-154410</v>
      </c>
      <c r="BG92" s="751">
        <v>-15440962</v>
      </c>
      <c r="BH92" s="751">
        <v>18510064</v>
      </c>
      <c r="BI92" s="751">
        <v>15811034</v>
      </c>
      <c r="BJ92" s="751">
        <v>4564521</v>
      </c>
      <c r="BK92" s="751">
        <v>391094</v>
      </c>
      <c r="BL92" s="751">
        <v>39276714</v>
      </c>
      <c r="BM92" s="751">
        <v>1136923</v>
      </c>
      <c r="BN92" s="751">
        <v>255808</v>
      </c>
      <c r="BO92" s="751">
        <v>28423</v>
      </c>
      <c r="BP92" s="751">
        <v>1421154</v>
      </c>
      <c r="BQ92" s="751">
        <v>1401051</v>
      </c>
      <c r="BR92" s="751">
        <v>315236</v>
      </c>
      <c r="BS92" s="751">
        <v>35026</v>
      </c>
      <c r="BT92" s="751">
        <v>1751313</v>
      </c>
      <c r="BU92" s="751">
        <v>87887</v>
      </c>
      <c r="BV92" s="751">
        <v>19775</v>
      </c>
      <c r="BW92" s="751">
        <v>2197</v>
      </c>
      <c r="BX92" s="751">
        <v>109859</v>
      </c>
      <c r="BY92" s="751">
        <v>0</v>
      </c>
      <c r="BZ92" s="751">
        <v>0</v>
      </c>
      <c r="CA92" s="751">
        <v>0</v>
      </c>
      <c r="CB92" s="751">
        <v>0</v>
      </c>
      <c r="CC92" s="751">
        <v>0</v>
      </c>
      <c r="CD92" s="751">
        <v>0</v>
      </c>
      <c r="CE92" s="751">
        <v>0</v>
      </c>
      <c r="CF92" s="751">
        <v>0</v>
      </c>
      <c r="CG92" s="751">
        <v>11388</v>
      </c>
      <c r="CH92" s="751">
        <v>2562</v>
      </c>
      <c r="CI92" s="751">
        <v>285</v>
      </c>
      <c r="CJ92" s="751">
        <v>14235</v>
      </c>
      <c r="CK92" s="751">
        <v>0</v>
      </c>
      <c r="CL92" s="751">
        <v>0</v>
      </c>
      <c r="CM92" s="751">
        <v>0</v>
      </c>
      <c r="CN92" s="751">
        <v>0</v>
      </c>
      <c r="CO92" s="751">
        <v>0</v>
      </c>
      <c r="CP92" s="751">
        <v>0</v>
      </c>
      <c r="CQ92" s="751">
        <v>0</v>
      </c>
      <c r="CR92" s="751">
        <v>0</v>
      </c>
      <c r="CS92" s="751">
        <v>631</v>
      </c>
      <c r="CT92" s="751">
        <v>142</v>
      </c>
      <c r="CU92" s="751">
        <v>16</v>
      </c>
      <c r="CV92" s="751">
        <v>789</v>
      </c>
      <c r="CW92" s="751">
        <v>2637880</v>
      </c>
      <c r="CX92" s="751">
        <v>593523</v>
      </c>
      <c r="CY92" s="751">
        <v>65947</v>
      </c>
      <c r="CZ92" s="751">
        <v>3297350</v>
      </c>
      <c r="DA92" s="662" t="s">
        <v>57</v>
      </c>
      <c r="DB92" s="324" t="s">
        <v>564</v>
      </c>
      <c r="DC92" s="663" t="s">
        <v>1917</v>
      </c>
      <c r="DD92" s="529" t="s">
        <v>1299</v>
      </c>
    </row>
    <row r="93" spans="1:108" ht="12.75" x14ac:dyDescent="0.2">
      <c r="A93" s="664">
        <v>86</v>
      </c>
      <c r="B93" s="665" t="s">
        <v>1021</v>
      </c>
      <c r="C93" s="666" t="s">
        <v>1201</v>
      </c>
      <c r="D93" s="667" t="s">
        <v>1211</v>
      </c>
      <c r="E93" s="668" t="s">
        <v>1020</v>
      </c>
      <c r="F93" s="750">
        <v>93833560</v>
      </c>
      <c r="G93" s="751">
        <v>0</v>
      </c>
      <c r="H93" s="751">
        <v>3154520</v>
      </c>
      <c r="I93" s="751">
        <v>461631</v>
      </c>
      <c r="J93" s="751">
        <v>0</v>
      </c>
      <c r="K93" s="751">
        <v>461631</v>
      </c>
      <c r="L93" s="751">
        <v>0</v>
      </c>
      <c r="M93" s="751">
        <v>495023</v>
      </c>
      <c r="N93" s="751">
        <v>1128621</v>
      </c>
      <c r="O93" s="751">
        <v>1128621</v>
      </c>
      <c r="P93" s="751">
        <v>0</v>
      </c>
      <c r="Q93" s="751">
        <v>0</v>
      </c>
      <c r="R93" s="751">
        <v>88593765</v>
      </c>
      <c r="S93" s="749">
        <v>0.5</v>
      </c>
      <c r="T93" s="749">
        <v>0.4</v>
      </c>
      <c r="U93" s="749">
        <v>0.1</v>
      </c>
      <c r="V93" s="749">
        <v>0</v>
      </c>
      <c r="W93" s="749">
        <v>1</v>
      </c>
      <c r="X93" s="751">
        <v>44296882</v>
      </c>
      <c r="Y93" s="751">
        <v>35437506</v>
      </c>
      <c r="Z93" s="751">
        <v>8859377</v>
      </c>
      <c r="AA93" s="751">
        <v>0</v>
      </c>
      <c r="AB93" s="751">
        <v>88593765</v>
      </c>
      <c r="AC93" s="751">
        <v>4790</v>
      </c>
      <c r="AD93" s="751">
        <v>4790</v>
      </c>
      <c r="AE93" s="751">
        <v>44292092</v>
      </c>
      <c r="AF93" s="751">
        <v>35437506</v>
      </c>
      <c r="AG93" s="751">
        <v>8859377</v>
      </c>
      <c r="AH93" s="751">
        <v>0</v>
      </c>
      <c r="AI93" s="751">
        <v>88588975</v>
      </c>
      <c r="AJ93" s="751">
        <v>461631</v>
      </c>
      <c r="AK93" s="751">
        <v>461631</v>
      </c>
      <c r="AL93" s="751">
        <v>495023</v>
      </c>
      <c r="AM93" s="751">
        <v>495023</v>
      </c>
      <c r="AN93" s="751">
        <v>1128621</v>
      </c>
      <c r="AO93" s="751">
        <v>0</v>
      </c>
      <c r="AP93" s="751">
        <v>1128621</v>
      </c>
      <c r="AQ93" s="751">
        <v>0</v>
      </c>
      <c r="AR93" s="751">
        <v>0</v>
      </c>
      <c r="AS93" s="751">
        <v>0</v>
      </c>
      <c r="AT93" s="751">
        <v>0</v>
      </c>
      <c r="AU93" s="751">
        <v>4790</v>
      </c>
      <c r="AV93" s="751">
        <v>0</v>
      </c>
      <c r="AW93" s="751">
        <v>0</v>
      </c>
      <c r="AX93" s="751">
        <v>4790</v>
      </c>
      <c r="AY93" s="751">
        <v>0</v>
      </c>
      <c r="AZ93" s="751">
        <v>0</v>
      </c>
      <c r="BA93" s="751">
        <v>0</v>
      </c>
      <c r="BB93" s="751">
        <v>0</v>
      </c>
      <c r="BC93" s="751">
        <v>-17276007</v>
      </c>
      <c r="BD93" s="751">
        <v>-13820806</v>
      </c>
      <c r="BE93" s="751">
        <v>-3455201</v>
      </c>
      <c r="BF93" s="751">
        <v>0</v>
      </c>
      <c r="BG93" s="751">
        <v>-34552015</v>
      </c>
      <c r="BH93" s="751">
        <v>27016085</v>
      </c>
      <c r="BI93" s="751">
        <v>23706765</v>
      </c>
      <c r="BJ93" s="751">
        <v>5404176</v>
      </c>
      <c r="BK93" s="751">
        <v>0</v>
      </c>
      <c r="BL93" s="751">
        <v>56127025</v>
      </c>
      <c r="BM93" s="751">
        <v>1931291</v>
      </c>
      <c r="BN93" s="751">
        <v>461611</v>
      </c>
      <c r="BO93" s="751">
        <v>0</v>
      </c>
      <c r="BP93" s="751">
        <v>2392902</v>
      </c>
      <c r="BQ93" s="751">
        <v>3320864</v>
      </c>
      <c r="BR93" s="751">
        <v>820823</v>
      </c>
      <c r="BS93" s="751">
        <v>0</v>
      </c>
      <c r="BT93" s="751">
        <v>4141687</v>
      </c>
      <c r="BU93" s="751">
        <v>136906</v>
      </c>
      <c r="BV93" s="751">
        <v>33873</v>
      </c>
      <c r="BW93" s="751">
        <v>0</v>
      </c>
      <c r="BX93" s="751">
        <v>170779</v>
      </c>
      <c r="BY93" s="751">
        <v>0</v>
      </c>
      <c r="BZ93" s="751">
        <v>0</v>
      </c>
      <c r="CA93" s="751">
        <v>0</v>
      </c>
      <c r="CB93" s="751">
        <v>0</v>
      </c>
      <c r="CC93" s="751">
        <v>35398</v>
      </c>
      <c r="CD93" s="751">
        <v>8850</v>
      </c>
      <c r="CE93" s="751">
        <v>0</v>
      </c>
      <c r="CF93" s="751">
        <v>44248</v>
      </c>
      <c r="CG93" s="751">
        <v>70047</v>
      </c>
      <c r="CH93" s="751">
        <v>17512</v>
      </c>
      <c r="CI93" s="751">
        <v>0</v>
      </c>
      <c r="CJ93" s="751">
        <v>87559</v>
      </c>
      <c r="CK93" s="751">
        <v>0</v>
      </c>
      <c r="CL93" s="751">
        <v>0</v>
      </c>
      <c r="CM93" s="751">
        <v>0</v>
      </c>
      <c r="CN93" s="751">
        <v>0</v>
      </c>
      <c r="CO93" s="751">
        <v>0</v>
      </c>
      <c r="CP93" s="751">
        <v>0</v>
      </c>
      <c r="CQ93" s="751">
        <v>0</v>
      </c>
      <c r="CR93" s="751">
        <v>0</v>
      </c>
      <c r="CS93" s="751">
        <v>0</v>
      </c>
      <c r="CT93" s="751">
        <v>0</v>
      </c>
      <c r="CU93" s="751">
        <v>0</v>
      </c>
      <c r="CV93" s="751">
        <v>0</v>
      </c>
      <c r="CW93" s="751">
        <v>5494506</v>
      </c>
      <c r="CX93" s="751">
        <v>1342669</v>
      </c>
      <c r="CY93" s="751">
        <v>0</v>
      </c>
      <c r="CZ93" s="751">
        <v>6837175</v>
      </c>
      <c r="DA93" s="662" t="s">
        <v>1020</v>
      </c>
      <c r="DB93" s="324" t="s">
        <v>565</v>
      </c>
      <c r="DC93" s="663" t="s">
        <v>512</v>
      </c>
      <c r="DD93" s="529" t="s">
        <v>1300</v>
      </c>
    </row>
    <row r="94" spans="1:108" ht="12.75" x14ac:dyDescent="0.2">
      <c r="A94" s="664">
        <v>87</v>
      </c>
      <c r="B94" s="665" t="s">
        <v>60</v>
      </c>
      <c r="C94" s="666" t="s">
        <v>1201</v>
      </c>
      <c r="D94" s="667" t="s">
        <v>1202</v>
      </c>
      <c r="E94" s="668" t="s">
        <v>59</v>
      </c>
      <c r="F94" s="750">
        <v>37705906</v>
      </c>
      <c r="G94" s="751">
        <v>109194</v>
      </c>
      <c r="H94" s="751">
        <v>0</v>
      </c>
      <c r="I94" s="751">
        <v>126722</v>
      </c>
      <c r="J94" s="751">
        <v>0</v>
      </c>
      <c r="K94" s="751">
        <v>126722</v>
      </c>
      <c r="L94" s="751">
        <v>0</v>
      </c>
      <c r="M94" s="751">
        <v>0</v>
      </c>
      <c r="N94" s="751">
        <v>0</v>
      </c>
      <c r="O94" s="751">
        <v>0</v>
      </c>
      <c r="P94" s="751">
        <v>0</v>
      </c>
      <c r="Q94" s="751">
        <v>0</v>
      </c>
      <c r="R94" s="751">
        <v>37688378</v>
      </c>
      <c r="S94" s="749">
        <v>0.5</v>
      </c>
      <c r="T94" s="749">
        <v>0.4</v>
      </c>
      <c r="U94" s="749">
        <v>0.09</v>
      </c>
      <c r="V94" s="749">
        <v>0.01</v>
      </c>
      <c r="W94" s="749">
        <v>1</v>
      </c>
      <c r="X94" s="751">
        <v>18844189</v>
      </c>
      <c r="Y94" s="751">
        <v>15075351</v>
      </c>
      <c r="Z94" s="751">
        <v>3391954</v>
      </c>
      <c r="AA94" s="751">
        <v>376884</v>
      </c>
      <c r="AB94" s="751">
        <v>37688378</v>
      </c>
      <c r="AC94" s="751">
        <v>0</v>
      </c>
      <c r="AD94" s="751">
        <v>0</v>
      </c>
      <c r="AE94" s="751">
        <v>18844189</v>
      </c>
      <c r="AF94" s="751">
        <v>15075351</v>
      </c>
      <c r="AG94" s="751">
        <v>3391954</v>
      </c>
      <c r="AH94" s="751">
        <v>376884</v>
      </c>
      <c r="AI94" s="751">
        <v>37688378</v>
      </c>
      <c r="AJ94" s="751">
        <v>126722</v>
      </c>
      <c r="AK94" s="751">
        <v>126722</v>
      </c>
      <c r="AL94" s="751">
        <v>0</v>
      </c>
      <c r="AM94" s="751">
        <v>0</v>
      </c>
      <c r="AN94" s="751">
        <v>0</v>
      </c>
      <c r="AO94" s="751">
        <v>0</v>
      </c>
      <c r="AP94" s="751">
        <v>0</v>
      </c>
      <c r="AQ94" s="751">
        <v>0</v>
      </c>
      <c r="AR94" s="751">
        <v>0</v>
      </c>
      <c r="AS94" s="751">
        <v>0</v>
      </c>
      <c r="AT94" s="751">
        <v>0</v>
      </c>
      <c r="AU94" s="751">
        <v>0</v>
      </c>
      <c r="AV94" s="751">
        <v>0</v>
      </c>
      <c r="AW94" s="751">
        <v>0</v>
      </c>
      <c r="AX94" s="751">
        <v>0</v>
      </c>
      <c r="AY94" s="751">
        <v>0</v>
      </c>
      <c r="AZ94" s="751">
        <v>0</v>
      </c>
      <c r="BA94" s="751">
        <v>0</v>
      </c>
      <c r="BB94" s="751">
        <v>0</v>
      </c>
      <c r="BC94" s="751">
        <v>-12895765</v>
      </c>
      <c r="BD94" s="751">
        <v>-10378560</v>
      </c>
      <c r="BE94" s="751">
        <v>-2376732</v>
      </c>
      <c r="BF94" s="751">
        <v>-269530</v>
      </c>
      <c r="BG94" s="751">
        <v>-25920588</v>
      </c>
      <c r="BH94" s="751">
        <v>5948424</v>
      </c>
      <c r="BI94" s="751">
        <v>4823513</v>
      </c>
      <c r="BJ94" s="751">
        <v>1015222</v>
      </c>
      <c r="BK94" s="751">
        <v>107354</v>
      </c>
      <c r="BL94" s="751">
        <v>11894512</v>
      </c>
      <c r="BM94" s="751">
        <v>785489</v>
      </c>
      <c r="BN94" s="751">
        <v>176735</v>
      </c>
      <c r="BO94" s="751">
        <v>19637</v>
      </c>
      <c r="BP94" s="751">
        <v>981861</v>
      </c>
      <c r="BQ94" s="751">
        <v>1092780</v>
      </c>
      <c r="BR94" s="751">
        <v>245875</v>
      </c>
      <c r="BS94" s="751">
        <v>27319</v>
      </c>
      <c r="BT94" s="751">
        <v>1365974</v>
      </c>
      <c r="BU94" s="751">
        <v>71893</v>
      </c>
      <c r="BV94" s="751">
        <v>16176</v>
      </c>
      <c r="BW94" s="751">
        <v>1797</v>
      </c>
      <c r="BX94" s="751">
        <v>89866</v>
      </c>
      <c r="BY94" s="751">
        <v>0</v>
      </c>
      <c r="BZ94" s="751">
        <v>0</v>
      </c>
      <c r="CA94" s="751">
        <v>0</v>
      </c>
      <c r="CB94" s="751">
        <v>0</v>
      </c>
      <c r="CC94" s="751">
        <v>0</v>
      </c>
      <c r="CD94" s="751">
        <v>0</v>
      </c>
      <c r="CE94" s="751">
        <v>0</v>
      </c>
      <c r="CF94" s="751">
        <v>0</v>
      </c>
      <c r="CG94" s="751">
        <v>17772</v>
      </c>
      <c r="CH94" s="751">
        <v>3999</v>
      </c>
      <c r="CI94" s="751">
        <v>444</v>
      </c>
      <c r="CJ94" s="751">
        <v>22215</v>
      </c>
      <c r="CK94" s="751">
        <v>0</v>
      </c>
      <c r="CL94" s="751">
        <v>0</v>
      </c>
      <c r="CM94" s="751">
        <v>0</v>
      </c>
      <c r="CN94" s="751">
        <v>0</v>
      </c>
      <c r="CO94" s="751">
        <v>0</v>
      </c>
      <c r="CP94" s="751">
        <v>0</v>
      </c>
      <c r="CQ94" s="751">
        <v>0</v>
      </c>
      <c r="CR94" s="751">
        <v>0</v>
      </c>
      <c r="CS94" s="751">
        <v>0</v>
      </c>
      <c r="CT94" s="751">
        <v>0</v>
      </c>
      <c r="CU94" s="751">
        <v>0</v>
      </c>
      <c r="CV94" s="751">
        <v>0</v>
      </c>
      <c r="CW94" s="751">
        <v>1967934</v>
      </c>
      <c r="CX94" s="751">
        <v>442785</v>
      </c>
      <c r="CY94" s="751">
        <v>49197</v>
      </c>
      <c r="CZ94" s="751">
        <v>2459916</v>
      </c>
      <c r="DA94" s="662" t="s">
        <v>59</v>
      </c>
      <c r="DB94" s="324" t="s">
        <v>525</v>
      </c>
      <c r="DC94" s="663" t="s">
        <v>524</v>
      </c>
      <c r="DD94" s="529" t="s">
        <v>1301</v>
      </c>
    </row>
    <row r="95" spans="1:108" ht="12.75" x14ac:dyDescent="0.2">
      <c r="A95" s="664">
        <v>88</v>
      </c>
      <c r="B95" s="665" t="s">
        <v>62</v>
      </c>
      <c r="C95" s="666" t="s">
        <v>1201</v>
      </c>
      <c r="D95" s="667" t="s">
        <v>1202</v>
      </c>
      <c r="E95" s="668" t="s">
        <v>61</v>
      </c>
      <c r="F95" s="750">
        <v>60473467</v>
      </c>
      <c r="G95" s="751">
        <v>0</v>
      </c>
      <c r="H95" s="751">
        <v>145355</v>
      </c>
      <c r="I95" s="751">
        <v>144639</v>
      </c>
      <c r="J95" s="751">
        <v>0</v>
      </c>
      <c r="K95" s="751">
        <v>144639</v>
      </c>
      <c r="L95" s="751">
        <v>0</v>
      </c>
      <c r="M95" s="751">
        <v>0</v>
      </c>
      <c r="N95" s="751">
        <v>0</v>
      </c>
      <c r="O95" s="751">
        <v>0</v>
      </c>
      <c r="P95" s="751">
        <v>0</v>
      </c>
      <c r="Q95" s="751">
        <v>0</v>
      </c>
      <c r="R95" s="751">
        <v>60183473</v>
      </c>
      <c r="S95" s="749">
        <v>0.5</v>
      </c>
      <c r="T95" s="749">
        <v>0.4</v>
      </c>
      <c r="U95" s="749">
        <v>0.09</v>
      </c>
      <c r="V95" s="749">
        <v>0.01</v>
      </c>
      <c r="W95" s="749">
        <v>1</v>
      </c>
      <c r="X95" s="751">
        <v>30091736</v>
      </c>
      <c r="Y95" s="751">
        <v>24073389</v>
      </c>
      <c r="Z95" s="751">
        <v>5416513</v>
      </c>
      <c r="AA95" s="751">
        <v>601835</v>
      </c>
      <c r="AB95" s="751">
        <v>60183473</v>
      </c>
      <c r="AC95" s="751">
        <v>0</v>
      </c>
      <c r="AD95" s="751">
        <v>0</v>
      </c>
      <c r="AE95" s="751">
        <v>30091736</v>
      </c>
      <c r="AF95" s="751">
        <v>24073389</v>
      </c>
      <c r="AG95" s="751">
        <v>5416513</v>
      </c>
      <c r="AH95" s="751">
        <v>601835</v>
      </c>
      <c r="AI95" s="751">
        <v>60183473</v>
      </c>
      <c r="AJ95" s="751">
        <v>144639</v>
      </c>
      <c r="AK95" s="751">
        <v>144639</v>
      </c>
      <c r="AL95" s="751">
        <v>0</v>
      </c>
      <c r="AM95" s="751">
        <v>0</v>
      </c>
      <c r="AN95" s="751">
        <v>0</v>
      </c>
      <c r="AO95" s="751">
        <v>0</v>
      </c>
      <c r="AP95" s="751">
        <v>0</v>
      </c>
      <c r="AQ95" s="751">
        <v>0</v>
      </c>
      <c r="AR95" s="751">
        <v>0</v>
      </c>
      <c r="AS95" s="751">
        <v>0</v>
      </c>
      <c r="AT95" s="751">
        <v>0</v>
      </c>
      <c r="AU95" s="751">
        <v>0</v>
      </c>
      <c r="AV95" s="751">
        <v>0</v>
      </c>
      <c r="AW95" s="751">
        <v>0</v>
      </c>
      <c r="AX95" s="751">
        <v>0</v>
      </c>
      <c r="AY95" s="751">
        <v>0</v>
      </c>
      <c r="AZ95" s="751">
        <v>0</v>
      </c>
      <c r="BA95" s="751">
        <v>0</v>
      </c>
      <c r="BB95" s="751">
        <v>0</v>
      </c>
      <c r="BC95" s="751">
        <v>-17335200</v>
      </c>
      <c r="BD95" s="751">
        <v>-13868160</v>
      </c>
      <c r="BE95" s="751">
        <v>-3120336</v>
      </c>
      <c r="BF95" s="751">
        <v>-346704</v>
      </c>
      <c r="BG95" s="751">
        <v>-34670400</v>
      </c>
      <c r="BH95" s="751">
        <v>12756536</v>
      </c>
      <c r="BI95" s="751">
        <v>10349868</v>
      </c>
      <c r="BJ95" s="751">
        <v>2296177</v>
      </c>
      <c r="BK95" s="751">
        <v>255131</v>
      </c>
      <c r="BL95" s="751">
        <v>25657712</v>
      </c>
      <c r="BM95" s="751">
        <v>1254325</v>
      </c>
      <c r="BN95" s="751">
        <v>282223</v>
      </c>
      <c r="BO95" s="751">
        <v>31358</v>
      </c>
      <c r="BP95" s="751">
        <v>1567906</v>
      </c>
      <c r="BQ95" s="751">
        <v>972505</v>
      </c>
      <c r="BR95" s="751">
        <v>218814</v>
      </c>
      <c r="BS95" s="751">
        <v>24313</v>
      </c>
      <c r="BT95" s="751">
        <v>1215632</v>
      </c>
      <c r="BU95" s="751">
        <v>100509</v>
      </c>
      <c r="BV95" s="751">
        <v>22615</v>
      </c>
      <c r="BW95" s="751">
        <v>2513</v>
      </c>
      <c r="BX95" s="751">
        <v>125637</v>
      </c>
      <c r="BY95" s="751">
        <v>4714</v>
      </c>
      <c r="BZ95" s="751">
        <v>1061</v>
      </c>
      <c r="CA95" s="751">
        <v>118</v>
      </c>
      <c r="CB95" s="751">
        <v>5893</v>
      </c>
      <c r="CC95" s="751">
        <v>0</v>
      </c>
      <c r="CD95" s="751">
        <v>0</v>
      </c>
      <c r="CE95" s="751">
        <v>0</v>
      </c>
      <c r="CF95" s="751">
        <v>0</v>
      </c>
      <c r="CG95" s="751">
        <v>1287</v>
      </c>
      <c r="CH95" s="751">
        <v>290</v>
      </c>
      <c r="CI95" s="751">
        <v>32</v>
      </c>
      <c r="CJ95" s="751">
        <v>1609</v>
      </c>
      <c r="CK95" s="751">
        <v>0</v>
      </c>
      <c r="CL95" s="751">
        <v>0</v>
      </c>
      <c r="CM95" s="751">
        <v>0</v>
      </c>
      <c r="CN95" s="751">
        <v>0</v>
      </c>
      <c r="CO95" s="751">
        <v>0</v>
      </c>
      <c r="CP95" s="751">
        <v>0</v>
      </c>
      <c r="CQ95" s="751">
        <v>0</v>
      </c>
      <c r="CR95" s="751">
        <v>0</v>
      </c>
      <c r="CS95" s="751">
        <v>0</v>
      </c>
      <c r="CT95" s="751">
        <v>0</v>
      </c>
      <c r="CU95" s="751">
        <v>0</v>
      </c>
      <c r="CV95" s="751">
        <v>0</v>
      </c>
      <c r="CW95" s="751">
        <v>2333340</v>
      </c>
      <c r="CX95" s="751">
        <v>525003</v>
      </c>
      <c r="CY95" s="751">
        <v>58334</v>
      </c>
      <c r="CZ95" s="751">
        <v>2916677</v>
      </c>
      <c r="DA95" s="662" t="s">
        <v>61</v>
      </c>
      <c r="DB95" s="324" t="s">
        <v>532</v>
      </c>
      <c r="DC95" s="663" t="s">
        <v>1914</v>
      </c>
      <c r="DD95" s="529" t="s">
        <v>1302</v>
      </c>
    </row>
    <row r="96" spans="1:108" ht="14.25" x14ac:dyDescent="0.2">
      <c r="A96" s="664">
        <v>89</v>
      </c>
      <c r="B96" s="665" t="s">
        <v>64</v>
      </c>
      <c r="C96" s="666" t="s">
        <v>1201</v>
      </c>
      <c r="D96" s="667" t="s">
        <v>1204</v>
      </c>
      <c r="E96" s="668" t="s">
        <v>1868</v>
      </c>
      <c r="F96" s="750">
        <v>22387807</v>
      </c>
      <c r="G96" s="751">
        <v>74517</v>
      </c>
      <c r="H96" s="751">
        <v>0</v>
      </c>
      <c r="I96" s="751">
        <v>126917</v>
      </c>
      <c r="J96" s="751">
        <v>0</v>
      </c>
      <c r="K96" s="751">
        <v>126917</v>
      </c>
      <c r="L96" s="751">
        <v>0</v>
      </c>
      <c r="M96" s="751">
        <v>0</v>
      </c>
      <c r="N96" s="751">
        <v>15347</v>
      </c>
      <c r="O96" s="751">
        <v>15347</v>
      </c>
      <c r="P96" s="751">
        <v>0</v>
      </c>
      <c r="Q96" s="751">
        <v>0</v>
      </c>
      <c r="R96" s="751">
        <v>22320060</v>
      </c>
      <c r="S96" s="749">
        <v>0.5</v>
      </c>
      <c r="T96" s="749">
        <v>0.4</v>
      </c>
      <c r="U96" s="749">
        <v>0.1</v>
      </c>
      <c r="V96" s="749">
        <v>0</v>
      </c>
      <c r="W96" s="749">
        <v>1</v>
      </c>
      <c r="X96" s="751">
        <v>11160030</v>
      </c>
      <c r="Y96" s="751">
        <v>8928024</v>
      </c>
      <c r="Z96" s="751">
        <v>2232006</v>
      </c>
      <c r="AA96" s="751">
        <v>0</v>
      </c>
      <c r="AB96" s="751">
        <v>22320060</v>
      </c>
      <c r="AC96" s="751">
        <v>0</v>
      </c>
      <c r="AD96" s="751">
        <v>0</v>
      </c>
      <c r="AE96" s="751">
        <v>11160030</v>
      </c>
      <c r="AF96" s="751">
        <v>8928024</v>
      </c>
      <c r="AG96" s="751">
        <v>2232006</v>
      </c>
      <c r="AH96" s="751">
        <v>0</v>
      </c>
      <c r="AI96" s="751">
        <v>22320060</v>
      </c>
      <c r="AJ96" s="751">
        <v>126917</v>
      </c>
      <c r="AK96" s="751">
        <v>126917</v>
      </c>
      <c r="AL96" s="751">
        <v>0</v>
      </c>
      <c r="AM96" s="751">
        <v>0</v>
      </c>
      <c r="AN96" s="751">
        <v>15347</v>
      </c>
      <c r="AO96" s="751">
        <v>0</v>
      </c>
      <c r="AP96" s="751">
        <v>15347</v>
      </c>
      <c r="AQ96" s="751">
        <v>0</v>
      </c>
      <c r="AR96" s="751">
        <v>0</v>
      </c>
      <c r="AS96" s="751">
        <v>0</v>
      </c>
      <c r="AT96" s="751">
        <v>0</v>
      </c>
      <c r="AU96" s="751">
        <v>0</v>
      </c>
      <c r="AV96" s="751">
        <v>0</v>
      </c>
      <c r="AW96" s="751">
        <v>0</v>
      </c>
      <c r="AX96" s="751">
        <v>0</v>
      </c>
      <c r="AY96" s="751">
        <v>0</v>
      </c>
      <c r="AZ96" s="751">
        <v>0</v>
      </c>
      <c r="BA96" s="751">
        <v>0</v>
      </c>
      <c r="BB96" s="751">
        <v>0</v>
      </c>
      <c r="BC96" s="751">
        <v>-6463136</v>
      </c>
      <c r="BD96" s="751">
        <v>-5170509</v>
      </c>
      <c r="BE96" s="751">
        <v>-1292627</v>
      </c>
      <c r="BF96" s="751">
        <v>0</v>
      </c>
      <c r="BG96" s="751">
        <v>-12926272</v>
      </c>
      <c r="BH96" s="751">
        <v>4696894</v>
      </c>
      <c r="BI96" s="751">
        <v>3899779</v>
      </c>
      <c r="BJ96" s="751">
        <v>939379</v>
      </c>
      <c r="BK96" s="751">
        <v>0</v>
      </c>
      <c r="BL96" s="751">
        <v>9536052</v>
      </c>
      <c r="BM96" s="751">
        <v>465987</v>
      </c>
      <c r="BN96" s="751">
        <v>116297</v>
      </c>
      <c r="BO96" s="751">
        <v>0</v>
      </c>
      <c r="BP96" s="751">
        <v>582284</v>
      </c>
      <c r="BQ96" s="751">
        <v>1161734</v>
      </c>
      <c r="BR96" s="751">
        <v>290434</v>
      </c>
      <c r="BS96" s="751">
        <v>0</v>
      </c>
      <c r="BT96" s="751">
        <v>1452168</v>
      </c>
      <c r="BU96" s="751">
        <v>40193</v>
      </c>
      <c r="BV96" s="751">
        <v>10048</v>
      </c>
      <c r="BW96" s="751">
        <v>0</v>
      </c>
      <c r="BX96" s="751">
        <v>50241</v>
      </c>
      <c r="BY96" s="751">
        <v>0</v>
      </c>
      <c r="BZ96" s="751">
        <v>0</v>
      </c>
      <c r="CA96" s="751">
        <v>0</v>
      </c>
      <c r="CB96" s="751">
        <v>0</v>
      </c>
      <c r="CC96" s="751">
        <v>26632</v>
      </c>
      <c r="CD96" s="751">
        <v>6658</v>
      </c>
      <c r="CE96" s="751">
        <v>0</v>
      </c>
      <c r="CF96" s="751">
        <v>33290</v>
      </c>
      <c r="CG96" s="751">
        <v>0</v>
      </c>
      <c r="CH96" s="751">
        <v>0</v>
      </c>
      <c r="CI96" s="751">
        <v>0</v>
      </c>
      <c r="CJ96" s="751">
        <v>0</v>
      </c>
      <c r="CK96" s="751">
        <v>0</v>
      </c>
      <c r="CL96" s="751">
        <v>0</v>
      </c>
      <c r="CM96" s="751">
        <v>0</v>
      </c>
      <c r="CN96" s="751">
        <v>0</v>
      </c>
      <c r="CO96" s="751">
        <v>0</v>
      </c>
      <c r="CP96" s="751">
        <v>0</v>
      </c>
      <c r="CQ96" s="751">
        <v>0</v>
      </c>
      <c r="CR96" s="751">
        <v>0</v>
      </c>
      <c r="CS96" s="751">
        <v>631</v>
      </c>
      <c r="CT96" s="751">
        <v>158</v>
      </c>
      <c r="CU96" s="751">
        <v>0</v>
      </c>
      <c r="CV96" s="751">
        <v>789</v>
      </c>
      <c r="CW96" s="751">
        <v>1695177</v>
      </c>
      <c r="CX96" s="751">
        <v>423595</v>
      </c>
      <c r="CY96" s="751">
        <v>0</v>
      </c>
      <c r="CZ96" s="751">
        <v>2118772</v>
      </c>
      <c r="DA96" s="662" t="s">
        <v>63</v>
      </c>
      <c r="DB96" s="324" t="s">
        <v>513</v>
      </c>
      <c r="DC96" s="663" t="s">
        <v>512</v>
      </c>
      <c r="DD96" s="529" t="s">
        <v>1303</v>
      </c>
    </row>
    <row r="97" spans="1:108" ht="12.75" x14ac:dyDescent="0.2">
      <c r="A97" s="664">
        <v>90</v>
      </c>
      <c r="B97" s="665" t="s">
        <v>66</v>
      </c>
      <c r="C97" s="666" t="s">
        <v>1201</v>
      </c>
      <c r="D97" s="667" t="s">
        <v>1202</v>
      </c>
      <c r="E97" s="668" t="s">
        <v>65</v>
      </c>
      <c r="F97" s="750">
        <v>64075783</v>
      </c>
      <c r="G97" s="751">
        <v>136577</v>
      </c>
      <c r="H97" s="751">
        <v>0</v>
      </c>
      <c r="I97" s="751">
        <v>181905</v>
      </c>
      <c r="J97" s="751">
        <v>0</v>
      </c>
      <c r="K97" s="751">
        <v>181905</v>
      </c>
      <c r="L97" s="751">
        <v>0</v>
      </c>
      <c r="M97" s="751">
        <v>0</v>
      </c>
      <c r="N97" s="751">
        <v>14845</v>
      </c>
      <c r="O97" s="751">
        <v>14845</v>
      </c>
      <c r="P97" s="751">
        <v>0</v>
      </c>
      <c r="Q97" s="751">
        <v>0</v>
      </c>
      <c r="R97" s="751">
        <v>64015610</v>
      </c>
      <c r="S97" s="749">
        <v>0.5</v>
      </c>
      <c r="T97" s="749">
        <v>0.4</v>
      </c>
      <c r="U97" s="749">
        <v>0.1</v>
      </c>
      <c r="V97" s="749">
        <v>0</v>
      </c>
      <c r="W97" s="749">
        <v>1</v>
      </c>
      <c r="X97" s="751">
        <v>32007805</v>
      </c>
      <c r="Y97" s="751">
        <v>25606244</v>
      </c>
      <c r="Z97" s="751">
        <v>6401561</v>
      </c>
      <c r="AA97" s="751">
        <v>0</v>
      </c>
      <c r="AB97" s="751">
        <v>64015610</v>
      </c>
      <c r="AC97" s="751">
        <v>0</v>
      </c>
      <c r="AD97" s="751">
        <v>0</v>
      </c>
      <c r="AE97" s="751">
        <v>32007805</v>
      </c>
      <c r="AF97" s="751">
        <v>25606244</v>
      </c>
      <c r="AG97" s="751">
        <v>6401561</v>
      </c>
      <c r="AH97" s="751">
        <v>0</v>
      </c>
      <c r="AI97" s="751">
        <v>64015610</v>
      </c>
      <c r="AJ97" s="751">
        <v>181905</v>
      </c>
      <c r="AK97" s="751">
        <v>181905</v>
      </c>
      <c r="AL97" s="751">
        <v>0</v>
      </c>
      <c r="AM97" s="751">
        <v>0</v>
      </c>
      <c r="AN97" s="751">
        <v>14845</v>
      </c>
      <c r="AO97" s="751">
        <v>0</v>
      </c>
      <c r="AP97" s="751">
        <v>14845</v>
      </c>
      <c r="AQ97" s="751">
        <v>0</v>
      </c>
      <c r="AR97" s="751">
        <v>0</v>
      </c>
      <c r="AS97" s="751">
        <v>0</v>
      </c>
      <c r="AT97" s="751">
        <v>0</v>
      </c>
      <c r="AU97" s="751">
        <v>0</v>
      </c>
      <c r="AV97" s="751">
        <v>0</v>
      </c>
      <c r="AW97" s="751">
        <v>0</v>
      </c>
      <c r="AX97" s="751">
        <v>0</v>
      </c>
      <c r="AY97" s="751">
        <v>0</v>
      </c>
      <c r="AZ97" s="751">
        <v>0</v>
      </c>
      <c r="BA97" s="751">
        <v>0</v>
      </c>
      <c r="BB97" s="751">
        <v>0</v>
      </c>
      <c r="BC97" s="751">
        <v>-16503938</v>
      </c>
      <c r="BD97" s="751">
        <v>-13203150</v>
      </c>
      <c r="BE97" s="751">
        <v>-3300788</v>
      </c>
      <c r="BF97" s="751">
        <v>0</v>
      </c>
      <c r="BG97" s="751">
        <v>-33007876</v>
      </c>
      <c r="BH97" s="751">
        <v>15503867</v>
      </c>
      <c r="BI97" s="751">
        <v>12599844</v>
      </c>
      <c r="BJ97" s="751">
        <v>3100773</v>
      </c>
      <c r="BK97" s="751">
        <v>0</v>
      </c>
      <c r="BL97" s="751">
        <v>31204484</v>
      </c>
      <c r="BM97" s="751">
        <v>1334967</v>
      </c>
      <c r="BN97" s="751">
        <v>333548</v>
      </c>
      <c r="BO97" s="751">
        <v>0</v>
      </c>
      <c r="BP97" s="751">
        <v>1668515</v>
      </c>
      <c r="BQ97" s="751">
        <v>1214626</v>
      </c>
      <c r="BR97" s="751">
        <v>303656</v>
      </c>
      <c r="BS97" s="751">
        <v>0</v>
      </c>
      <c r="BT97" s="751">
        <v>1518282</v>
      </c>
      <c r="BU97" s="751">
        <v>120248</v>
      </c>
      <c r="BV97" s="751">
        <v>30062</v>
      </c>
      <c r="BW97" s="751">
        <v>0</v>
      </c>
      <c r="BX97" s="751">
        <v>150310</v>
      </c>
      <c r="BY97" s="751">
        <v>0</v>
      </c>
      <c r="BZ97" s="751">
        <v>0</v>
      </c>
      <c r="CA97" s="751">
        <v>0</v>
      </c>
      <c r="CB97" s="751">
        <v>0</v>
      </c>
      <c r="CC97" s="751">
        <v>0</v>
      </c>
      <c r="CD97" s="751">
        <v>0</v>
      </c>
      <c r="CE97" s="751">
        <v>0</v>
      </c>
      <c r="CF97" s="751">
        <v>0</v>
      </c>
      <c r="CG97" s="751">
        <v>32594</v>
      </c>
      <c r="CH97" s="751">
        <v>8149</v>
      </c>
      <c r="CI97" s="751">
        <v>0</v>
      </c>
      <c r="CJ97" s="751">
        <v>40743</v>
      </c>
      <c r="CK97" s="751">
        <v>0</v>
      </c>
      <c r="CL97" s="751">
        <v>0</v>
      </c>
      <c r="CM97" s="751">
        <v>0</v>
      </c>
      <c r="CN97" s="751">
        <v>0</v>
      </c>
      <c r="CO97" s="751">
        <v>0</v>
      </c>
      <c r="CP97" s="751">
        <v>0</v>
      </c>
      <c r="CQ97" s="751">
        <v>0</v>
      </c>
      <c r="CR97" s="751">
        <v>0</v>
      </c>
      <c r="CS97" s="751">
        <v>0</v>
      </c>
      <c r="CT97" s="751">
        <v>0</v>
      </c>
      <c r="CU97" s="751">
        <v>0</v>
      </c>
      <c r="CV97" s="751">
        <v>0</v>
      </c>
      <c r="CW97" s="751">
        <v>2702435</v>
      </c>
      <c r="CX97" s="751">
        <v>675415</v>
      </c>
      <c r="CY97" s="751">
        <v>0</v>
      </c>
      <c r="CZ97" s="751">
        <v>3377850</v>
      </c>
      <c r="DA97" s="662" t="s">
        <v>65</v>
      </c>
      <c r="DB97" s="324" t="s">
        <v>566</v>
      </c>
      <c r="DC97" s="663" t="s">
        <v>512</v>
      </c>
      <c r="DD97" s="529" t="s">
        <v>1304</v>
      </c>
    </row>
    <row r="98" spans="1:108" ht="12.75" x14ac:dyDescent="0.2">
      <c r="A98" s="664">
        <v>91</v>
      </c>
      <c r="B98" s="665" t="s">
        <v>68</v>
      </c>
      <c r="C98" s="666" t="s">
        <v>1213</v>
      </c>
      <c r="D98" s="667" t="s">
        <v>1214</v>
      </c>
      <c r="E98" s="668" t="s">
        <v>67</v>
      </c>
      <c r="F98" s="750">
        <v>105678374</v>
      </c>
      <c r="G98" s="751">
        <v>0</v>
      </c>
      <c r="H98" s="751">
        <v>637055</v>
      </c>
      <c r="I98" s="751">
        <v>319339</v>
      </c>
      <c r="J98" s="751">
        <v>0</v>
      </c>
      <c r="K98" s="751">
        <v>319339</v>
      </c>
      <c r="L98" s="751">
        <v>0</v>
      </c>
      <c r="M98" s="751">
        <v>0</v>
      </c>
      <c r="N98" s="751">
        <v>0</v>
      </c>
      <c r="O98" s="751">
        <v>0</v>
      </c>
      <c r="P98" s="751">
        <v>0</v>
      </c>
      <c r="Q98" s="751">
        <v>0</v>
      </c>
      <c r="R98" s="751">
        <v>104721980</v>
      </c>
      <c r="S98" s="749">
        <v>0.33</v>
      </c>
      <c r="T98" s="749">
        <v>0.3</v>
      </c>
      <c r="U98" s="749">
        <v>0.37</v>
      </c>
      <c r="V98" s="749">
        <v>0</v>
      </c>
      <c r="W98" s="749">
        <v>1</v>
      </c>
      <c r="X98" s="751">
        <v>34558253</v>
      </c>
      <c r="Y98" s="751">
        <v>31416594</v>
      </c>
      <c r="Z98" s="751">
        <v>38747133</v>
      </c>
      <c r="AA98" s="751">
        <v>0</v>
      </c>
      <c r="AB98" s="751">
        <v>104721980</v>
      </c>
      <c r="AC98" s="751">
        <v>0</v>
      </c>
      <c r="AD98" s="751">
        <v>0</v>
      </c>
      <c r="AE98" s="751">
        <v>34558253</v>
      </c>
      <c r="AF98" s="751">
        <v>31416594</v>
      </c>
      <c r="AG98" s="751">
        <v>38747133</v>
      </c>
      <c r="AH98" s="751">
        <v>0</v>
      </c>
      <c r="AI98" s="751">
        <v>104721980</v>
      </c>
      <c r="AJ98" s="751">
        <v>319339</v>
      </c>
      <c r="AK98" s="751">
        <v>319339</v>
      </c>
      <c r="AL98" s="751">
        <v>0</v>
      </c>
      <c r="AM98" s="751">
        <v>0</v>
      </c>
      <c r="AN98" s="751">
        <v>0</v>
      </c>
      <c r="AO98" s="751">
        <v>0</v>
      </c>
      <c r="AP98" s="751">
        <v>0</v>
      </c>
      <c r="AQ98" s="751">
        <v>0</v>
      </c>
      <c r="AR98" s="751">
        <v>0</v>
      </c>
      <c r="AS98" s="751">
        <v>0</v>
      </c>
      <c r="AT98" s="751">
        <v>0</v>
      </c>
      <c r="AU98" s="751">
        <v>0</v>
      </c>
      <c r="AV98" s="751">
        <v>0</v>
      </c>
      <c r="AW98" s="751">
        <v>0</v>
      </c>
      <c r="AX98" s="751">
        <v>0</v>
      </c>
      <c r="AY98" s="751">
        <v>0</v>
      </c>
      <c r="AZ98" s="751">
        <v>0</v>
      </c>
      <c r="BA98" s="751">
        <v>0</v>
      </c>
      <c r="BB98" s="751">
        <v>0</v>
      </c>
      <c r="BC98" s="751">
        <v>-14392693</v>
      </c>
      <c r="BD98" s="751">
        <v>-13091237</v>
      </c>
      <c r="BE98" s="751">
        <v>-16136977</v>
      </c>
      <c r="BF98" s="751">
        <v>0</v>
      </c>
      <c r="BG98" s="751">
        <v>-43620907</v>
      </c>
      <c r="BH98" s="751">
        <v>20165560</v>
      </c>
      <c r="BI98" s="751">
        <v>18644696</v>
      </c>
      <c r="BJ98" s="751">
        <v>22610156</v>
      </c>
      <c r="BK98" s="751">
        <v>0</v>
      </c>
      <c r="BL98" s="751">
        <v>61420412</v>
      </c>
      <c r="BM98" s="751">
        <v>1636937</v>
      </c>
      <c r="BN98" s="751">
        <v>2018889</v>
      </c>
      <c r="BO98" s="751">
        <v>0</v>
      </c>
      <c r="BP98" s="751">
        <v>3655826</v>
      </c>
      <c r="BQ98" s="751">
        <v>1846951</v>
      </c>
      <c r="BR98" s="751">
        <v>2277905</v>
      </c>
      <c r="BS98" s="751">
        <v>0</v>
      </c>
      <c r="BT98" s="751">
        <v>4124856</v>
      </c>
      <c r="BU98" s="751">
        <v>103261</v>
      </c>
      <c r="BV98" s="751">
        <v>127355</v>
      </c>
      <c r="BW98" s="751">
        <v>0</v>
      </c>
      <c r="BX98" s="751">
        <v>230616</v>
      </c>
      <c r="BY98" s="751">
        <v>0</v>
      </c>
      <c r="BZ98" s="751">
        <v>0</v>
      </c>
      <c r="CA98" s="751">
        <v>0</v>
      </c>
      <c r="CB98" s="751">
        <v>0</v>
      </c>
      <c r="CC98" s="751">
        <v>0</v>
      </c>
      <c r="CD98" s="751">
        <v>0</v>
      </c>
      <c r="CE98" s="751">
        <v>0</v>
      </c>
      <c r="CF98" s="751">
        <v>0</v>
      </c>
      <c r="CG98" s="751">
        <v>9229</v>
      </c>
      <c r="CH98" s="751">
        <v>11383</v>
      </c>
      <c r="CI98" s="751">
        <v>0</v>
      </c>
      <c r="CJ98" s="751">
        <v>20612</v>
      </c>
      <c r="CK98" s="751">
        <v>0</v>
      </c>
      <c r="CL98" s="751">
        <v>0</v>
      </c>
      <c r="CM98" s="751">
        <v>0</v>
      </c>
      <c r="CN98" s="751">
        <v>0</v>
      </c>
      <c r="CO98" s="751">
        <v>0</v>
      </c>
      <c r="CP98" s="751">
        <v>0</v>
      </c>
      <c r="CQ98" s="751">
        <v>0</v>
      </c>
      <c r="CR98" s="751">
        <v>0</v>
      </c>
      <c r="CS98" s="751">
        <v>473</v>
      </c>
      <c r="CT98" s="751">
        <v>584</v>
      </c>
      <c r="CU98" s="751">
        <v>0</v>
      </c>
      <c r="CV98" s="751">
        <v>1057</v>
      </c>
      <c r="CW98" s="751">
        <v>3596851</v>
      </c>
      <c r="CX98" s="751">
        <v>4436116</v>
      </c>
      <c r="CY98" s="751">
        <v>0</v>
      </c>
      <c r="CZ98" s="751">
        <v>8032967</v>
      </c>
      <c r="DA98" s="662" t="s">
        <v>67</v>
      </c>
      <c r="DB98" s="324" t="s">
        <v>576</v>
      </c>
      <c r="DC98" s="669" t="s">
        <v>485</v>
      </c>
      <c r="DD98" s="529" t="s">
        <v>1305</v>
      </c>
    </row>
    <row r="99" spans="1:108" ht="12.75" x14ac:dyDescent="0.2">
      <c r="A99" s="664">
        <v>92</v>
      </c>
      <c r="B99" s="665" t="s">
        <v>70</v>
      </c>
      <c r="C99" s="666" t="s">
        <v>1201</v>
      </c>
      <c r="D99" s="667" t="s">
        <v>1211</v>
      </c>
      <c r="E99" s="668" t="s">
        <v>69</v>
      </c>
      <c r="F99" s="750">
        <v>35837643</v>
      </c>
      <c r="G99" s="751">
        <v>51055</v>
      </c>
      <c r="H99" s="751">
        <v>0</v>
      </c>
      <c r="I99" s="751">
        <v>174164</v>
      </c>
      <c r="J99" s="751">
        <v>0</v>
      </c>
      <c r="K99" s="751">
        <v>174164</v>
      </c>
      <c r="L99" s="751">
        <v>0</v>
      </c>
      <c r="M99" s="751">
        <v>0</v>
      </c>
      <c r="N99" s="751">
        <v>0</v>
      </c>
      <c r="O99" s="751">
        <v>0</v>
      </c>
      <c r="P99" s="751">
        <v>0</v>
      </c>
      <c r="Q99" s="751">
        <v>0</v>
      </c>
      <c r="R99" s="751">
        <v>35714534</v>
      </c>
      <c r="S99" s="749">
        <v>0.5</v>
      </c>
      <c r="T99" s="749">
        <v>0.4</v>
      </c>
      <c r="U99" s="749">
        <v>0.09</v>
      </c>
      <c r="V99" s="749">
        <v>0.01</v>
      </c>
      <c r="W99" s="749">
        <v>1</v>
      </c>
      <c r="X99" s="751">
        <v>17857267</v>
      </c>
      <c r="Y99" s="751">
        <v>14285814</v>
      </c>
      <c r="Z99" s="751">
        <v>3214308</v>
      </c>
      <c r="AA99" s="751">
        <v>357145</v>
      </c>
      <c r="AB99" s="751">
        <v>35714534</v>
      </c>
      <c r="AC99" s="751">
        <v>0</v>
      </c>
      <c r="AD99" s="751">
        <v>0</v>
      </c>
      <c r="AE99" s="751">
        <v>17857267</v>
      </c>
      <c r="AF99" s="751">
        <v>14285814</v>
      </c>
      <c r="AG99" s="751">
        <v>3214308</v>
      </c>
      <c r="AH99" s="751">
        <v>357145</v>
      </c>
      <c r="AI99" s="751">
        <v>35714534</v>
      </c>
      <c r="AJ99" s="751">
        <v>174164</v>
      </c>
      <c r="AK99" s="751">
        <v>174164</v>
      </c>
      <c r="AL99" s="751">
        <v>0</v>
      </c>
      <c r="AM99" s="751">
        <v>0</v>
      </c>
      <c r="AN99" s="751">
        <v>0</v>
      </c>
      <c r="AO99" s="751">
        <v>0</v>
      </c>
      <c r="AP99" s="751">
        <v>0</v>
      </c>
      <c r="AQ99" s="751">
        <v>0</v>
      </c>
      <c r="AR99" s="751">
        <v>0</v>
      </c>
      <c r="AS99" s="751">
        <v>0</v>
      </c>
      <c r="AT99" s="751">
        <v>0</v>
      </c>
      <c r="AU99" s="751">
        <v>0</v>
      </c>
      <c r="AV99" s="751">
        <v>0</v>
      </c>
      <c r="AW99" s="751">
        <v>0</v>
      </c>
      <c r="AX99" s="751">
        <v>0</v>
      </c>
      <c r="AY99" s="751">
        <v>0</v>
      </c>
      <c r="AZ99" s="751">
        <v>0</v>
      </c>
      <c r="BA99" s="751">
        <v>0</v>
      </c>
      <c r="BB99" s="751">
        <v>0</v>
      </c>
      <c r="BC99" s="751">
        <v>-8620750</v>
      </c>
      <c r="BD99" s="751">
        <v>-6896600</v>
      </c>
      <c r="BE99" s="751">
        <v>-1551735</v>
      </c>
      <c r="BF99" s="751">
        <v>-172415</v>
      </c>
      <c r="BG99" s="751">
        <v>-17241500</v>
      </c>
      <c r="BH99" s="751">
        <v>9236517</v>
      </c>
      <c r="BI99" s="751">
        <v>7563378</v>
      </c>
      <c r="BJ99" s="751">
        <v>1662573</v>
      </c>
      <c r="BK99" s="751">
        <v>184730</v>
      </c>
      <c r="BL99" s="751">
        <v>18647198</v>
      </c>
      <c r="BM99" s="751">
        <v>744351</v>
      </c>
      <c r="BN99" s="751">
        <v>167479</v>
      </c>
      <c r="BO99" s="751">
        <v>18609</v>
      </c>
      <c r="BP99" s="751">
        <v>930439</v>
      </c>
      <c r="BQ99" s="751">
        <v>1768622</v>
      </c>
      <c r="BR99" s="751">
        <v>397940</v>
      </c>
      <c r="BS99" s="751">
        <v>44216</v>
      </c>
      <c r="BT99" s="751">
        <v>2210778</v>
      </c>
      <c r="BU99" s="751">
        <v>110830</v>
      </c>
      <c r="BV99" s="751">
        <v>24937</v>
      </c>
      <c r="BW99" s="751">
        <v>2771</v>
      </c>
      <c r="BX99" s="751">
        <v>138538</v>
      </c>
      <c r="BY99" s="751">
        <v>0</v>
      </c>
      <c r="BZ99" s="751">
        <v>0</v>
      </c>
      <c r="CA99" s="751">
        <v>0</v>
      </c>
      <c r="CB99" s="751">
        <v>0</v>
      </c>
      <c r="CC99" s="751">
        <v>2542</v>
      </c>
      <c r="CD99" s="751">
        <v>572</v>
      </c>
      <c r="CE99" s="751">
        <v>64</v>
      </c>
      <c r="CF99" s="751">
        <v>3178</v>
      </c>
      <c r="CG99" s="751">
        <v>50</v>
      </c>
      <c r="CH99" s="751">
        <v>11</v>
      </c>
      <c r="CI99" s="751">
        <v>1</v>
      </c>
      <c r="CJ99" s="751">
        <v>62</v>
      </c>
      <c r="CK99" s="751">
        <v>0</v>
      </c>
      <c r="CL99" s="751">
        <v>0</v>
      </c>
      <c r="CM99" s="751">
        <v>0</v>
      </c>
      <c r="CN99" s="751">
        <v>0</v>
      </c>
      <c r="CO99" s="751">
        <v>0</v>
      </c>
      <c r="CP99" s="751">
        <v>0</v>
      </c>
      <c r="CQ99" s="751">
        <v>0</v>
      </c>
      <c r="CR99" s="751">
        <v>0</v>
      </c>
      <c r="CS99" s="751">
        <v>0</v>
      </c>
      <c r="CT99" s="751">
        <v>0</v>
      </c>
      <c r="CU99" s="751">
        <v>0</v>
      </c>
      <c r="CV99" s="751">
        <v>0</v>
      </c>
      <c r="CW99" s="751">
        <v>2626395</v>
      </c>
      <c r="CX99" s="751">
        <v>590939</v>
      </c>
      <c r="CY99" s="751">
        <v>65661</v>
      </c>
      <c r="CZ99" s="751">
        <v>3282995</v>
      </c>
      <c r="DA99" s="662" t="s">
        <v>69</v>
      </c>
      <c r="DB99" s="324" t="s">
        <v>528</v>
      </c>
      <c r="DC99" s="663" t="s">
        <v>1913</v>
      </c>
      <c r="DD99" s="529" t="s">
        <v>1306</v>
      </c>
    </row>
    <row r="100" spans="1:108" ht="12.75" x14ac:dyDescent="0.2">
      <c r="A100" s="664">
        <v>93</v>
      </c>
      <c r="B100" s="665" t="s">
        <v>71</v>
      </c>
      <c r="C100" s="666" t="s">
        <v>1201</v>
      </c>
      <c r="D100" s="667" t="s">
        <v>1202</v>
      </c>
      <c r="E100" s="668" t="s">
        <v>822</v>
      </c>
      <c r="F100" s="750">
        <v>25559531</v>
      </c>
      <c r="G100" s="751">
        <v>0</v>
      </c>
      <c r="H100" s="751">
        <v>106093</v>
      </c>
      <c r="I100" s="751">
        <v>80682</v>
      </c>
      <c r="J100" s="751">
        <v>0</v>
      </c>
      <c r="K100" s="751">
        <v>80682</v>
      </c>
      <c r="L100" s="751">
        <v>0</v>
      </c>
      <c r="M100" s="751">
        <v>0</v>
      </c>
      <c r="N100" s="751">
        <v>0</v>
      </c>
      <c r="O100" s="751">
        <v>0</v>
      </c>
      <c r="P100" s="751">
        <v>0</v>
      </c>
      <c r="Q100" s="751">
        <v>0</v>
      </c>
      <c r="R100" s="751">
        <v>25372756</v>
      </c>
      <c r="S100" s="749">
        <v>0.5</v>
      </c>
      <c r="T100" s="749">
        <v>0.4</v>
      </c>
      <c r="U100" s="749">
        <v>0.1</v>
      </c>
      <c r="V100" s="749">
        <v>0</v>
      </c>
      <c r="W100" s="749">
        <v>1</v>
      </c>
      <c r="X100" s="751">
        <v>12686378</v>
      </c>
      <c r="Y100" s="751">
        <v>10149102</v>
      </c>
      <c r="Z100" s="751">
        <v>2537276</v>
      </c>
      <c r="AA100" s="751">
        <v>0</v>
      </c>
      <c r="AB100" s="751">
        <v>25372756</v>
      </c>
      <c r="AC100" s="751">
        <v>0</v>
      </c>
      <c r="AD100" s="751">
        <v>0</v>
      </c>
      <c r="AE100" s="751">
        <v>12686378</v>
      </c>
      <c r="AF100" s="751">
        <v>10149102</v>
      </c>
      <c r="AG100" s="751">
        <v>2537276</v>
      </c>
      <c r="AH100" s="751">
        <v>0</v>
      </c>
      <c r="AI100" s="751">
        <v>25372756</v>
      </c>
      <c r="AJ100" s="751">
        <v>80682</v>
      </c>
      <c r="AK100" s="751">
        <v>80682</v>
      </c>
      <c r="AL100" s="751">
        <v>0</v>
      </c>
      <c r="AM100" s="751">
        <v>0</v>
      </c>
      <c r="AN100" s="751">
        <v>0</v>
      </c>
      <c r="AO100" s="751">
        <v>0</v>
      </c>
      <c r="AP100" s="751">
        <v>0</v>
      </c>
      <c r="AQ100" s="751">
        <v>0</v>
      </c>
      <c r="AR100" s="751">
        <v>0</v>
      </c>
      <c r="AS100" s="751">
        <v>0</v>
      </c>
      <c r="AT100" s="751">
        <v>0</v>
      </c>
      <c r="AU100" s="751">
        <v>0</v>
      </c>
      <c r="AV100" s="751">
        <v>0</v>
      </c>
      <c r="AW100" s="751">
        <v>0</v>
      </c>
      <c r="AX100" s="751">
        <v>0</v>
      </c>
      <c r="AY100" s="751">
        <v>0</v>
      </c>
      <c r="AZ100" s="751">
        <v>0</v>
      </c>
      <c r="BA100" s="751">
        <v>0</v>
      </c>
      <c r="BB100" s="751">
        <v>0</v>
      </c>
      <c r="BC100" s="751">
        <v>-8029562</v>
      </c>
      <c r="BD100" s="751">
        <v>-6423650</v>
      </c>
      <c r="BE100" s="751">
        <v>-1605912</v>
      </c>
      <c r="BF100" s="751">
        <v>0</v>
      </c>
      <c r="BG100" s="751">
        <v>-16059124</v>
      </c>
      <c r="BH100" s="751">
        <v>4656816</v>
      </c>
      <c r="BI100" s="751">
        <v>3806134</v>
      </c>
      <c r="BJ100" s="751">
        <v>931364</v>
      </c>
      <c r="BK100" s="751">
        <v>0</v>
      </c>
      <c r="BL100" s="751">
        <v>9394314</v>
      </c>
      <c r="BM100" s="751">
        <v>528811</v>
      </c>
      <c r="BN100" s="751">
        <v>132203</v>
      </c>
      <c r="BO100" s="751">
        <v>0</v>
      </c>
      <c r="BP100" s="751">
        <v>661014</v>
      </c>
      <c r="BQ100" s="751">
        <v>629738</v>
      </c>
      <c r="BR100" s="751">
        <v>157435</v>
      </c>
      <c r="BS100" s="751">
        <v>0</v>
      </c>
      <c r="BT100" s="751">
        <v>787173</v>
      </c>
      <c r="BU100" s="751">
        <v>44757</v>
      </c>
      <c r="BV100" s="751">
        <v>11189</v>
      </c>
      <c r="BW100" s="751">
        <v>0</v>
      </c>
      <c r="BX100" s="751">
        <v>55946</v>
      </c>
      <c r="BY100" s="751">
        <v>0</v>
      </c>
      <c r="BZ100" s="751">
        <v>0</v>
      </c>
      <c r="CA100" s="751">
        <v>0</v>
      </c>
      <c r="CB100" s="751">
        <v>0</v>
      </c>
      <c r="CC100" s="751">
        <v>2609</v>
      </c>
      <c r="CD100" s="751">
        <v>652</v>
      </c>
      <c r="CE100" s="751">
        <v>0</v>
      </c>
      <c r="CF100" s="751">
        <v>3261</v>
      </c>
      <c r="CG100" s="751">
        <v>2609</v>
      </c>
      <c r="CH100" s="751">
        <v>652</v>
      </c>
      <c r="CI100" s="751">
        <v>0</v>
      </c>
      <c r="CJ100" s="751">
        <v>3261</v>
      </c>
      <c r="CK100" s="751">
        <v>0</v>
      </c>
      <c r="CL100" s="751">
        <v>0</v>
      </c>
      <c r="CM100" s="751">
        <v>0</v>
      </c>
      <c r="CN100" s="751">
        <v>0</v>
      </c>
      <c r="CO100" s="751">
        <v>0</v>
      </c>
      <c r="CP100" s="751">
        <v>0</v>
      </c>
      <c r="CQ100" s="751">
        <v>0</v>
      </c>
      <c r="CR100" s="751">
        <v>0</v>
      </c>
      <c r="CS100" s="751">
        <v>0</v>
      </c>
      <c r="CT100" s="751">
        <v>0</v>
      </c>
      <c r="CU100" s="751">
        <v>0</v>
      </c>
      <c r="CV100" s="751">
        <v>0</v>
      </c>
      <c r="CW100" s="751">
        <v>1208524</v>
      </c>
      <c r="CX100" s="751">
        <v>302131</v>
      </c>
      <c r="CY100" s="751">
        <v>0</v>
      </c>
      <c r="CZ100" s="751">
        <v>1510655</v>
      </c>
      <c r="DA100" s="662" t="s">
        <v>822</v>
      </c>
      <c r="DB100" s="324" t="s">
        <v>566</v>
      </c>
      <c r="DC100" s="663" t="s">
        <v>512</v>
      </c>
      <c r="DD100" s="529" t="s">
        <v>1307</v>
      </c>
    </row>
    <row r="101" spans="1:108" ht="12.75" x14ac:dyDescent="0.2">
      <c r="A101" s="664">
        <v>94</v>
      </c>
      <c r="B101" s="665" t="s">
        <v>73</v>
      </c>
      <c r="C101" s="666" t="s">
        <v>1201</v>
      </c>
      <c r="D101" s="667" t="s">
        <v>1206</v>
      </c>
      <c r="E101" s="668" t="s">
        <v>72</v>
      </c>
      <c r="F101" s="750">
        <v>24510083</v>
      </c>
      <c r="G101" s="751">
        <v>45168</v>
      </c>
      <c r="H101" s="751">
        <v>0</v>
      </c>
      <c r="I101" s="751">
        <v>130736</v>
      </c>
      <c r="J101" s="751">
        <v>0</v>
      </c>
      <c r="K101" s="751">
        <v>130736</v>
      </c>
      <c r="L101" s="751">
        <v>0</v>
      </c>
      <c r="M101" s="751">
        <v>0</v>
      </c>
      <c r="N101" s="751">
        <v>0</v>
      </c>
      <c r="O101" s="751">
        <v>0</v>
      </c>
      <c r="P101" s="751">
        <v>0</v>
      </c>
      <c r="Q101" s="751">
        <v>0</v>
      </c>
      <c r="R101" s="751">
        <v>24424515</v>
      </c>
      <c r="S101" s="749">
        <v>0.5</v>
      </c>
      <c r="T101" s="749">
        <v>0.4</v>
      </c>
      <c r="U101" s="749">
        <v>0.09</v>
      </c>
      <c r="V101" s="749">
        <v>0.01</v>
      </c>
      <c r="W101" s="749">
        <v>1</v>
      </c>
      <c r="X101" s="751">
        <v>12212258</v>
      </c>
      <c r="Y101" s="751">
        <v>9769806</v>
      </c>
      <c r="Z101" s="751">
        <v>2198206</v>
      </c>
      <c r="AA101" s="751">
        <v>244245</v>
      </c>
      <c r="AB101" s="751">
        <v>24424515</v>
      </c>
      <c r="AC101" s="751">
        <v>0</v>
      </c>
      <c r="AD101" s="751">
        <v>0</v>
      </c>
      <c r="AE101" s="751">
        <v>12212258</v>
      </c>
      <c r="AF101" s="751">
        <v>9769806</v>
      </c>
      <c r="AG101" s="751">
        <v>2198206</v>
      </c>
      <c r="AH101" s="751">
        <v>244245</v>
      </c>
      <c r="AI101" s="751">
        <v>24424515</v>
      </c>
      <c r="AJ101" s="751">
        <v>130736</v>
      </c>
      <c r="AK101" s="751">
        <v>130736</v>
      </c>
      <c r="AL101" s="751">
        <v>0</v>
      </c>
      <c r="AM101" s="751">
        <v>0</v>
      </c>
      <c r="AN101" s="751">
        <v>0</v>
      </c>
      <c r="AO101" s="751">
        <v>0</v>
      </c>
      <c r="AP101" s="751">
        <v>0</v>
      </c>
      <c r="AQ101" s="751">
        <v>0</v>
      </c>
      <c r="AR101" s="751">
        <v>0</v>
      </c>
      <c r="AS101" s="751">
        <v>0</v>
      </c>
      <c r="AT101" s="751">
        <v>0</v>
      </c>
      <c r="AU101" s="751">
        <v>0</v>
      </c>
      <c r="AV101" s="751">
        <v>0</v>
      </c>
      <c r="AW101" s="751">
        <v>0</v>
      </c>
      <c r="AX101" s="751">
        <v>0</v>
      </c>
      <c r="AY101" s="751">
        <v>0</v>
      </c>
      <c r="AZ101" s="751">
        <v>0</v>
      </c>
      <c r="BA101" s="751">
        <v>0</v>
      </c>
      <c r="BB101" s="751">
        <v>0</v>
      </c>
      <c r="BC101" s="751">
        <v>-5640118</v>
      </c>
      <c r="BD101" s="751">
        <v>-4512094</v>
      </c>
      <c r="BE101" s="751">
        <v>-1015221</v>
      </c>
      <c r="BF101" s="751">
        <v>-112802</v>
      </c>
      <c r="BG101" s="751">
        <v>-11280236</v>
      </c>
      <c r="BH101" s="751">
        <v>6572140</v>
      </c>
      <c r="BI101" s="751">
        <v>5388448</v>
      </c>
      <c r="BJ101" s="751">
        <v>1182985</v>
      </c>
      <c r="BK101" s="751">
        <v>131443</v>
      </c>
      <c r="BL101" s="751">
        <v>13275015</v>
      </c>
      <c r="BM101" s="751">
        <v>509048</v>
      </c>
      <c r="BN101" s="751">
        <v>114536</v>
      </c>
      <c r="BO101" s="751">
        <v>12726</v>
      </c>
      <c r="BP101" s="751">
        <v>636310</v>
      </c>
      <c r="BQ101" s="751">
        <v>1259930</v>
      </c>
      <c r="BR101" s="751">
        <v>283484</v>
      </c>
      <c r="BS101" s="751">
        <v>31498</v>
      </c>
      <c r="BT101" s="751">
        <v>1574912</v>
      </c>
      <c r="BU101" s="751">
        <v>67598</v>
      </c>
      <c r="BV101" s="751">
        <v>15210</v>
      </c>
      <c r="BW101" s="751">
        <v>1690</v>
      </c>
      <c r="BX101" s="751">
        <v>84498</v>
      </c>
      <c r="BY101" s="751">
        <v>7781</v>
      </c>
      <c r="BZ101" s="751">
        <v>1750</v>
      </c>
      <c r="CA101" s="751">
        <v>194</v>
      </c>
      <c r="CB101" s="751">
        <v>9725</v>
      </c>
      <c r="CC101" s="751">
        <v>2989</v>
      </c>
      <c r="CD101" s="751">
        <v>672</v>
      </c>
      <c r="CE101" s="751">
        <v>75</v>
      </c>
      <c r="CF101" s="751">
        <v>3736</v>
      </c>
      <c r="CG101" s="751">
        <v>7513</v>
      </c>
      <c r="CH101" s="751">
        <v>1690</v>
      </c>
      <c r="CI101" s="751">
        <v>188</v>
      </c>
      <c r="CJ101" s="751">
        <v>9391</v>
      </c>
      <c r="CK101" s="751">
        <v>0</v>
      </c>
      <c r="CL101" s="751">
        <v>0</v>
      </c>
      <c r="CM101" s="751">
        <v>0</v>
      </c>
      <c r="CN101" s="751">
        <v>0</v>
      </c>
      <c r="CO101" s="751">
        <v>0</v>
      </c>
      <c r="CP101" s="751">
        <v>0</v>
      </c>
      <c r="CQ101" s="751">
        <v>0</v>
      </c>
      <c r="CR101" s="751">
        <v>0</v>
      </c>
      <c r="CS101" s="751">
        <v>0</v>
      </c>
      <c r="CT101" s="751">
        <v>0</v>
      </c>
      <c r="CU101" s="751">
        <v>0</v>
      </c>
      <c r="CV101" s="751">
        <v>0</v>
      </c>
      <c r="CW101" s="751">
        <v>1854859</v>
      </c>
      <c r="CX101" s="751">
        <v>417342</v>
      </c>
      <c r="CY101" s="751">
        <v>46371</v>
      </c>
      <c r="CZ101" s="751">
        <v>2318572</v>
      </c>
      <c r="DA101" s="662" t="s">
        <v>72</v>
      </c>
      <c r="DB101" s="324" t="s">
        <v>516</v>
      </c>
      <c r="DC101" s="663" t="s">
        <v>515</v>
      </c>
      <c r="DD101" s="529" t="s">
        <v>1308</v>
      </c>
    </row>
    <row r="102" spans="1:108" ht="12.75" x14ac:dyDescent="0.2">
      <c r="A102" s="664">
        <v>95</v>
      </c>
      <c r="B102" s="665" t="s">
        <v>75</v>
      </c>
      <c r="C102" s="666" t="s">
        <v>1201</v>
      </c>
      <c r="D102" s="667" t="s">
        <v>1224</v>
      </c>
      <c r="E102" s="668" t="s">
        <v>74</v>
      </c>
      <c r="F102" s="750">
        <v>81196704</v>
      </c>
      <c r="G102" s="751">
        <v>0</v>
      </c>
      <c r="H102" s="751">
        <v>696608</v>
      </c>
      <c r="I102" s="751">
        <v>209283</v>
      </c>
      <c r="J102" s="751">
        <v>0</v>
      </c>
      <c r="K102" s="751">
        <v>209283</v>
      </c>
      <c r="L102" s="751">
        <v>0</v>
      </c>
      <c r="M102" s="751">
        <v>0</v>
      </c>
      <c r="N102" s="751">
        <v>0</v>
      </c>
      <c r="O102" s="751">
        <v>0</v>
      </c>
      <c r="P102" s="751">
        <v>0</v>
      </c>
      <c r="Q102" s="751">
        <v>0</v>
      </c>
      <c r="R102" s="751">
        <v>80290813</v>
      </c>
      <c r="S102" s="749">
        <v>0.5</v>
      </c>
      <c r="T102" s="749">
        <v>0.4</v>
      </c>
      <c r="U102" s="749">
        <v>0.09</v>
      </c>
      <c r="V102" s="749">
        <v>0.01</v>
      </c>
      <c r="W102" s="749">
        <v>1</v>
      </c>
      <c r="X102" s="751">
        <v>40145407</v>
      </c>
      <c r="Y102" s="751">
        <v>32116325</v>
      </c>
      <c r="Z102" s="751">
        <v>7226173</v>
      </c>
      <c r="AA102" s="751">
        <v>802908</v>
      </c>
      <c r="AB102" s="751">
        <v>80290813</v>
      </c>
      <c r="AC102" s="751">
        <v>0</v>
      </c>
      <c r="AD102" s="751">
        <v>0</v>
      </c>
      <c r="AE102" s="751">
        <v>40145407</v>
      </c>
      <c r="AF102" s="751">
        <v>32116325</v>
      </c>
      <c r="AG102" s="751">
        <v>7226173</v>
      </c>
      <c r="AH102" s="751">
        <v>802908</v>
      </c>
      <c r="AI102" s="751">
        <v>80290813</v>
      </c>
      <c r="AJ102" s="751">
        <v>209283</v>
      </c>
      <c r="AK102" s="751">
        <v>209283</v>
      </c>
      <c r="AL102" s="751">
        <v>0</v>
      </c>
      <c r="AM102" s="751">
        <v>0</v>
      </c>
      <c r="AN102" s="751">
        <v>0</v>
      </c>
      <c r="AO102" s="751">
        <v>0</v>
      </c>
      <c r="AP102" s="751">
        <v>0</v>
      </c>
      <c r="AQ102" s="751">
        <v>0</v>
      </c>
      <c r="AR102" s="751">
        <v>0</v>
      </c>
      <c r="AS102" s="751">
        <v>0</v>
      </c>
      <c r="AT102" s="751">
        <v>0</v>
      </c>
      <c r="AU102" s="751">
        <v>0</v>
      </c>
      <c r="AV102" s="751">
        <v>0</v>
      </c>
      <c r="AW102" s="751">
        <v>0</v>
      </c>
      <c r="AX102" s="751">
        <v>0</v>
      </c>
      <c r="AY102" s="751">
        <v>0</v>
      </c>
      <c r="AZ102" s="751">
        <v>0</v>
      </c>
      <c r="BA102" s="751">
        <v>0</v>
      </c>
      <c r="BB102" s="751">
        <v>0</v>
      </c>
      <c r="BC102" s="751">
        <v>-21762494</v>
      </c>
      <c r="BD102" s="751">
        <v>-17409995</v>
      </c>
      <c r="BE102" s="751">
        <v>-3917249</v>
      </c>
      <c r="BF102" s="751">
        <v>-435250</v>
      </c>
      <c r="BG102" s="751">
        <v>-43524987</v>
      </c>
      <c r="BH102" s="751">
        <v>18382914</v>
      </c>
      <c r="BI102" s="751">
        <v>14915613</v>
      </c>
      <c r="BJ102" s="751">
        <v>3308924</v>
      </c>
      <c r="BK102" s="751">
        <v>367658</v>
      </c>
      <c r="BL102" s="751">
        <v>36975109</v>
      </c>
      <c r="BM102" s="751">
        <v>1673396</v>
      </c>
      <c r="BN102" s="751">
        <v>376514</v>
      </c>
      <c r="BO102" s="751">
        <v>41835</v>
      </c>
      <c r="BP102" s="751">
        <v>2091745</v>
      </c>
      <c r="BQ102" s="751">
        <v>1238527</v>
      </c>
      <c r="BR102" s="751">
        <v>278668</v>
      </c>
      <c r="BS102" s="751">
        <v>30963</v>
      </c>
      <c r="BT102" s="751">
        <v>1548158</v>
      </c>
      <c r="BU102" s="751">
        <v>125550</v>
      </c>
      <c r="BV102" s="751">
        <v>28249</v>
      </c>
      <c r="BW102" s="751">
        <v>3139</v>
      </c>
      <c r="BX102" s="751">
        <v>156938</v>
      </c>
      <c r="BY102" s="751">
        <v>0</v>
      </c>
      <c r="BZ102" s="751">
        <v>0</v>
      </c>
      <c r="CA102" s="751">
        <v>0</v>
      </c>
      <c r="CB102" s="751">
        <v>0</v>
      </c>
      <c r="CC102" s="751">
        <v>0</v>
      </c>
      <c r="CD102" s="751">
        <v>0</v>
      </c>
      <c r="CE102" s="751">
        <v>0</v>
      </c>
      <c r="CF102" s="751">
        <v>0</v>
      </c>
      <c r="CG102" s="751">
        <v>34673</v>
      </c>
      <c r="CH102" s="751">
        <v>7802</v>
      </c>
      <c r="CI102" s="751">
        <v>867</v>
      </c>
      <c r="CJ102" s="751">
        <v>43342</v>
      </c>
      <c r="CK102" s="751">
        <v>0</v>
      </c>
      <c r="CL102" s="751">
        <v>0</v>
      </c>
      <c r="CM102" s="751">
        <v>0</v>
      </c>
      <c r="CN102" s="751">
        <v>0</v>
      </c>
      <c r="CO102" s="751">
        <v>0</v>
      </c>
      <c r="CP102" s="751">
        <v>0</v>
      </c>
      <c r="CQ102" s="751">
        <v>0</v>
      </c>
      <c r="CR102" s="751">
        <v>0</v>
      </c>
      <c r="CS102" s="751">
        <v>0</v>
      </c>
      <c r="CT102" s="751">
        <v>0</v>
      </c>
      <c r="CU102" s="751">
        <v>0</v>
      </c>
      <c r="CV102" s="751">
        <v>0</v>
      </c>
      <c r="CW102" s="751">
        <v>3072146</v>
      </c>
      <c r="CX102" s="751">
        <v>691233</v>
      </c>
      <c r="CY102" s="751">
        <v>76804</v>
      </c>
      <c r="CZ102" s="751">
        <v>3840183</v>
      </c>
      <c r="DA102" s="662" t="s">
        <v>74</v>
      </c>
      <c r="DB102" s="324" t="s">
        <v>521</v>
      </c>
      <c r="DC102" s="663" t="s">
        <v>519</v>
      </c>
      <c r="DD102" s="529" t="s">
        <v>1309</v>
      </c>
    </row>
    <row r="103" spans="1:108" ht="12.75" x14ac:dyDescent="0.2">
      <c r="A103" s="664">
        <v>96</v>
      </c>
      <c r="B103" s="665" t="s">
        <v>77</v>
      </c>
      <c r="C103" s="666" t="s">
        <v>1201</v>
      </c>
      <c r="D103" s="667" t="s">
        <v>1202</v>
      </c>
      <c r="E103" s="668" t="s">
        <v>76</v>
      </c>
      <c r="F103" s="750">
        <v>42104402</v>
      </c>
      <c r="G103" s="751">
        <v>0</v>
      </c>
      <c r="H103" s="751">
        <v>285896</v>
      </c>
      <c r="I103" s="751">
        <v>136089</v>
      </c>
      <c r="J103" s="751">
        <v>0</v>
      </c>
      <c r="K103" s="751">
        <v>136089</v>
      </c>
      <c r="L103" s="751">
        <v>0</v>
      </c>
      <c r="M103" s="751">
        <v>196356</v>
      </c>
      <c r="N103" s="751">
        <v>80950</v>
      </c>
      <c r="O103" s="751">
        <v>80950</v>
      </c>
      <c r="P103" s="751">
        <v>0</v>
      </c>
      <c r="Q103" s="751">
        <v>0</v>
      </c>
      <c r="R103" s="751">
        <v>41405111</v>
      </c>
      <c r="S103" s="749">
        <v>0.5</v>
      </c>
      <c r="T103" s="749">
        <v>0.4</v>
      </c>
      <c r="U103" s="749">
        <v>0.09</v>
      </c>
      <c r="V103" s="749">
        <v>0.01</v>
      </c>
      <c r="W103" s="749">
        <v>1</v>
      </c>
      <c r="X103" s="751">
        <v>20702556</v>
      </c>
      <c r="Y103" s="751">
        <v>16562044</v>
      </c>
      <c r="Z103" s="751">
        <v>3726460</v>
      </c>
      <c r="AA103" s="751">
        <v>414051</v>
      </c>
      <c r="AB103" s="751">
        <v>41405111</v>
      </c>
      <c r="AC103" s="751">
        <v>179919</v>
      </c>
      <c r="AD103" s="751">
        <v>179919</v>
      </c>
      <c r="AE103" s="751">
        <v>20522637</v>
      </c>
      <c r="AF103" s="751">
        <v>16562044</v>
      </c>
      <c r="AG103" s="751">
        <v>3726460</v>
      </c>
      <c r="AH103" s="751">
        <v>414051</v>
      </c>
      <c r="AI103" s="751">
        <v>41225192</v>
      </c>
      <c r="AJ103" s="751">
        <v>136089</v>
      </c>
      <c r="AK103" s="751">
        <v>136089</v>
      </c>
      <c r="AL103" s="751">
        <v>196356</v>
      </c>
      <c r="AM103" s="751">
        <v>196356</v>
      </c>
      <c r="AN103" s="751">
        <v>80950</v>
      </c>
      <c r="AO103" s="751">
        <v>0</v>
      </c>
      <c r="AP103" s="751">
        <v>80950</v>
      </c>
      <c r="AQ103" s="751">
        <v>0</v>
      </c>
      <c r="AR103" s="751">
        <v>0</v>
      </c>
      <c r="AS103" s="751">
        <v>0</v>
      </c>
      <c r="AT103" s="751">
        <v>0</v>
      </c>
      <c r="AU103" s="751">
        <v>179919</v>
      </c>
      <c r="AV103" s="751">
        <v>0</v>
      </c>
      <c r="AW103" s="751">
        <v>0</v>
      </c>
      <c r="AX103" s="751">
        <v>179919</v>
      </c>
      <c r="AY103" s="751">
        <v>0</v>
      </c>
      <c r="AZ103" s="751">
        <v>0</v>
      </c>
      <c r="BA103" s="751">
        <v>0</v>
      </c>
      <c r="BB103" s="751">
        <v>0</v>
      </c>
      <c r="BC103" s="751">
        <v>-9943667</v>
      </c>
      <c r="BD103" s="751">
        <v>-7954933</v>
      </c>
      <c r="BE103" s="751">
        <v>-1789860</v>
      </c>
      <c r="BF103" s="751">
        <v>-198873</v>
      </c>
      <c r="BG103" s="751">
        <v>-19887333</v>
      </c>
      <c r="BH103" s="751">
        <v>10578970</v>
      </c>
      <c r="BI103" s="751">
        <v>9200425</v>
      </c>
      <c r="BJ103" s="751">
        <v>1936600</v>
      </c>
      <c r="BK103" s="751">
        <v>215178</v>
      </c>
      <c r="BL103" s="751">
        <v>21931173</v>
      </c>
      <c r="BM103" s="751">
        <v>886776</v>
      </c>
      <c r="BN103" s="751">
        <v>194164</v>
      </c>
      <c r="BO103" s="751">
        <v>21574</v>
      </c>
      <c r="BP103" s="751">
        <v>1102514</v>
      </c>
      <c r="BQ103" s="751">
        <v>1113078</v>
      </c>
      <c r="BR103" s="751">
        <v>238644</v>
      </c>
      <c r="BS103" s="751">
        <v>26516</v>
      </c>
      <c r="BT103" s="751">
        <v>1378238</v>
      </c>
      <c r="BU103" s="751">
        <v>80913</v>
      </c>
      <c r="BV103" s="751">
        <v>18121</v>
      </c>
      <c r="BW103" s="751">
        <v>2013</v>
      </c>
      <c r="BX103" s="751">
        <v>101047</v>
      </c>
      <c r="BY103" s="751">
        <v>3224</v>
      </c>
      <c r="BZ103" s="751">
        <v>725</v>
      </c>
      <c r="CA103" s="751">
        <v>81</v>
      </c>
      <c r="CB103" s="751">
        <v>4030</v>
      </c>
      <c r="CC103" s="751">
        <v>0</v>
      </c>
      <c r="CD103" s="751">
        <v>0</v>
      </c>
      <c r="CE103" s="751">
        <v>0</v>
      </c>
      <c r="CF103" s="751">
        <v>0</v>
      </c>
      <c r="CG103" s="751">
        <v>3224</v>
      </c>
      <c r="CH103" s="751">
        <v>725</v>
      </c>
      <c r="CI103" s="751">
        <v>81</v>
      </c>
      <c r="CJ103" s="751">
        <v>4030</v>
      </c>
      <c r="CK103" s="751">
        <v>0</v>
      </c>
      <c r="CL103" s="751">
        <v>0</v>
      </c>
      <c r="CM103" s="751">
        <v>0</v>
      </c>
      <c r="CN103" s="751">
        <v>0</v>
      </c>
      <c r="CO103" s="751">
        <v>0</v>
      </c>
      <c r="CP103" s="751">
        <v>0</v>
      </c>
      <c r="CQ103" s="751">
        <v>0</v>
      </c>
      <c r="CR103" s="751">
        <v>0</v>
      </c>
      <c r="CS103" s="751">
        <v>0</v>
      </c>
      <c r="CT103" s="751">
        <v>0</v>
      </c>
      <c r="CU103" s="751">
        <v>0</v>
      </c>
      <c r="CV103" s="751">
        <v>0</v>
      </c>
      <c r="CW103" s="751">
        <v>2087215</v>
      </c>
      <c r="CX103" s="751">
        <v>452379</v>
      </c>
      <c r="CY103" s="751">
        <v>50265</v>
      </c>
      <c r="CZ103" s="751">
        <v>2589859</v>
      </c>
      <c r="DA103" s="662" t="s">
        <v>76</v>
      </c>
      <c r="DB103" s="324" t="s">
        <v>532</v>
      </c>
      <c r="DC103" s="663" t="s">
        <v>1914</v>
      </c>
      <c r="DD103" s="529" t="s">
        <v>1310</v>
      </c>
    </row>
    <row r="104" spans="1:108" ht="12.75" x14ac:dyDescent="0.2">
      <c r="A104" s="664">
        <v>97</v>
      </c>
      <c r="B104" s="665" t="s">
        <v>79</v>
      </c>
      <c r="C104" s="666" t="s">
        <v>1201</v>
      </c>
      <c r="D104" s="667" t="s">
        <v>1211</v>
      </c>
      <c r="E104" s="668" t="s">
        <v>78</v>
      </c>
      <c r="F104" s="750">
        <v>25274828</v>
      </c>
      <c r="G104" s="751">
        <v>46694</v>
      </c>
      <c r="H104" s="751">
        <v>0</v>
      </c>
      <c r="I104" s="751">
        <v>119751</v>
      </c>
      <c r="J104" s="751">
        <v>0</v>
      </c>
      <c r="K104" s="751">
        <v>119751</v>
      </c>
      <c r="L104" s="751">
        <v>0</v>
      </c>
      <c r="M104" s="751">
        <v>0</v>
      </c>
      <c r="N104" s="751">
        <v>361646</v>
      </c>
      <c r="O104" s="751">
        <v>361646</v>
      </c>
      <c r="P104" s="751">
        <v>0</v>
      </c>
      <c r="Q104" s="751">
        <v>0</v>
      </c>
      <c r="R104" s="751">
        <v>24840125</v>
      </c>
      <c r="S104" s="749">
        <v>0.5</v>
      </c>
      <c r="T104" s="749">
        <v>0.4</v>
      </c>
      <c r="U104" s="749">
        <v>0.09</v>
      </c>
      <c r="V104" s="749">
        <v>0.01</v>
      </c>
      <c r="W104" s="749">
        <v>1</v>
      </c>
      <c r="X104" s="751">
        <v>12420063</v>
      </c>
      <c r="Y104" s="751">
        <v>9936050</v>
      </c>
      <c r="Z104" s="751">
        <v>2235611</v>
      </c>
      <c r="AA104" s="751">
        <v>248401</v>
      </c>
      <c r="AB104" s="751">
        <v>24840125</v>
      </c>
      <c r="AC104" s="751">
        <v>0</v>
      </c>
      <c r="AD104" s="751">
        <v>0</v>
      </c>
      <c r="AE104" s="751">
        <v>12420063</v>
      </c>
      <c r="AF104" s="751">
        <v>9936050</v>
      </c>
      <c r="AG104" s="751">
        <v>2235611</v>
      </c>
      <c r="AH104" s="751">
        <v>248401</v>
      </c>
      <c r="AI104" s="751">
        <v>24840125</v>
      </c>
      <c r="AJ104" s="751">
        <v>119751</v>
      </c>
      <c r="AK104" s="751">
        <v>119751</v>
      </c>
      <c r="AL104" s="751">
        <v>0</v>
      </c>
      <c r="AM104" s="751">
        <v>0</v>
      </c>
      <c r="AN104" s="751">
        <v>361646</v>
      </c>
      <c r="AO104" s="751">
        <v>0</v>
      </c>
      <c r="AP104" s="751">
        <v>361646</v>
      </c>
      <c r="AQ104" s="751">
        <v>0</v>
      </c>
      <c r="AR104" s="751">
        <v>0</v>
      </c>
      <c r="AS104" s="751">
        <v>0</v>
      </c>
      <c r="AT104" s="751">
        <v>0</v>
      </c>
      <c r="AU104" s="751">
        <v>0</v>
      </c>
      <c r="AV104" s="751">
        <v>0</v>
      </c>
      <c r="AW104" s="751">
        <v>0</v>
      </c>
      <c r="AX104" s="751">
        <v>0</v>
      </c>
      <c r="AY104" s="751">
        <v>0</v>
      </c>
      <c r="AZ104" s="751">
        <v>0</v>
      </c>
      <c r="BA104" s="751">
        <v>0</v>
      </c>
      <c r="BB104" s="751">
        <v>0</v>
      </c>
      <c r="BC104" s="751">
        <v>-4525966</v>
      </c>
      <c r="BD104" s="751">
        <v>-3620773</v>
      </c>
      <c r="BE104" s="751">
        <v>-814674</v>
      </c>
      <c r="BF104" s="751">
        <v>-90519</v>
      </c>
      <c r="BG104" s="751">
        <v>-9051931</v>
      </c>
      <c r="BH104" s="751">
        <v>7894097</v>
      </c>
      <c r="BI104" s="751">
        <v>6796674</v>
      </c>
      <c r="BJ104" s="751">
        <v>1420937</v>
      </c>
      <c r="BK104" s="751">
        <v>157882</v>
      </c>
      <c r="BL104" s="751">
        <v>16269591</v>
      </c>
      <c r="BM104" s="751">
        <v>536553</v>
      </c>
      <c r="BN104" s="751">
        <v>116485</v>
      </c>
      <c r="BO104" s="751">
        <v>12943</v>
      </c>
      <c r="BP104" s="751">
        <v>665981</v>
      </c>
      <c r="BQ104" s="751">
        <v>1119768</v>
      </c>
      <c r="BR104" s="751">
        <v>251948</v>
      </c>
      <c r="BS104" s="751">
        <v>27994</v>
      </c>
      <c r="BT104" s="751">
        <v>1399710</v>
      </c>
      <c r="BU104" s="751">
        <v>50070</v>
      </c>
      <c r="BV104" s="751">
        <v>11266</v>
      </c>
      <c r="BW104" s="751">
        <v>1252</v>
      </c>
      <c r="BX104" s="751">
        <v>62588</v>
      </c>
      <c r="BY104" s="751">
        <v>0</v>
      </c>
      <c r="BZ104" s="751">
        <v>0</v>
      </c>
      <c r="CA104" s="751">
        <v>0</v>
      </c>
      <c r="CB104" s="751">
        <v>0</v>
      </c>
      <c r="CC104" s="751">
        <v>7776</v>
      </c>
      <c r="CD104" s="751">
        <v>1750</v>
      </c>
      <c r="CE104" s="751">
        <v>194</v>
      </c>
      <c r="CF104" s="751">
        <v>9720</v>
      </c>
      <c r="CG104" s="751">
        <v>9123</v>
      </c>
      <c r="CH104" s="751">
        <v>2053</v>
      </c>
      <c r="CI104" s="751">
        <v>228</v>
      </c>
      <c r="CJ104" s="751">
        <v>11404</v>
      </c>
      <c r="CK104" s="751">
        <v>0</v>
      </c>
      <c r="CL104" s="751">
        <v>0</v>
      </c>
      <c r="CM104" s="751">
        <v>0</v>
      </c>
      <c r="CN104" s="751">
        <v>0</v>
      </c>
      <c r="CO104" s="751">
        <v>0</v>
      </c>
      <c r="CP104" s="751">
        <v>0</v>
      </c>
      <c r="CQ104" s="751">
        <v>0</v>
      </c>
      <c r="CR104" s="751">
        <v>0</v>
      </c>
      <c r="CS104" s="751">
        <v>0</v>
      </c>
      <c r="CT104" s="751">
        <v>0</v>
      </c>
      <c r="CU104" s="751">
        <v>0</v>
      </c>
      <c r="CV104" s="751">
        <v>0</v>
      </c>
      <c r="CW104" s="751">
        <v>1723290</v>
      </c>
      <c r="CX104" s="751">
        <v>383502</v>
      </c>
      <c r="CY104" s="751">
        <v>42611</v>
      </c>
      <c r="CZ104" s="751">
        <v>2149403</v>
      </c>
      <c r="DA104" s="662" t="s">
        <v>78</v>
      </c>
      <c r="DB104" s="324" t="s">
        <v>503</v>
      </c>
      <c r="DC104" s="663" t="s">
        <v>502</v>
      </c>
      <c r="DD104" s="529" t="s">
        <v>1311</v>
      </c>
    </row>
    <row r="105" spans="1:108" ht="12.75" x14ac:dyDescent="0.2">
      <c r="A105" s="664">
        <v>98</v>
      </c>
      <c r="B105" s="665" t="s">
        <v>322</v>
      </c>
      <c r="C105" s="666" t="s">
        <v>1201</v>
      </c>
      <c r="D105" s="667" t="s">
        <v>1211</v>
      </c>
      <c r="E105" s="668" t="s">
        <v>1016</v>
      </c>
      <c r="F105" s="750">
        <v>29830808</v>
      </c>
      <c r="G105" s="751">
        <v>0</v>
      </c>
      <c r="H105" s="751">
        <v>177307</v>
      </c>
      <c r="I105" s="751">
        <v>143944</v>
      </c>
      <c r="J105" s="751">
        <v>0</v>
      </c>
      <c r="K105" s="751">
        <v>143944</v>
      </c>
      <c r="L105" s="751">
        <v>0</v>
      </c>
      <c r="M105" s="751">
        <v>0</v>
      </c>
      <c r="N105" s="751">
        <v>0</v>
      </c>
      <c r="O105" s="751">
        <v>0</v>
      </c>
      <c r="P105" s="751">
        <v>0</v>
      </c>
      <c r="Q105" s="751">
        <v>0</v>
      </c>
      <c r="R105" s="751">
        <v>29509557</v>
      </c>
      <c r="S105" s="749">
        <v>0.5</v>
      </c>
      <c r="T105" s="749">
        <v>0.4</v>
      </c>
      <c r="U105" s="749">
        <v>0.09</v>
      </c>
      <c r="V105" s="749">
        <v>0.01</v>
      </c>
      <c r="W105" s="749">
        <v>1</v>
      </c>
      <c r="X105" s="751">
        <v>14754778</v>
      </c>
      <c r="Y105" s="751">
        <v>11803823</v>
      </c>
      <c r="Z105" s="751">
        <v>2655860</v>
      </c>
      <c r="AA105" s="751">
        <v>295096</v>
      </c>
      <c r="AB105" s="751">
        <v>29509557</v>
      </c>
      <c r="AC105" s="751">
        <v>0</v>
      </c>
      <c r="AD105" s="751">
        <v>0</v>
      </c>
      <c r="AE105" s="751">
        <v>14754778</v>
      </c>
      <c r="AF105" s="751">
        <v>11803823</v>
      </c>
      <c r="AG105" s="751">
        <v>2655860</v>
      </c>
      <c r="AH105" s="751">
        <v>295096</v>
      </c>
      <c r="AI105" s="751">
        <v>29509557</v>
      </c>
      <c r="AJ105" s="751">
        <v>143944</v>
      </c>
      <c r="AK105" s="751">
        <v>143944</v>
      </c>
      <c r="AL105" s="751">
        <v>0</v>
      </c>
      <c r="AM105" s="751">
        <v>0</v>
      </c>
      <c r="AN105" s="751">
        <v>0</v>
      </c>
      <c r="AO105" s="751">
        <v>0</v>
      </c>
      <c r="AP105" s="751">
        <v>0</v>
      </c>
      <c r="AQ105" s="751">
        <v>0</v>
      </c>
      <c r="AR105" s="751">
        <v>0</v>
      </c>
      <c r="AS105" s="751">
        <v>0</v>
      </c>
      <c r="AT105" s="751">
        <v>0</v>
      </c>
      <c r="AU105" s="751">
        <v>0</v>
      </c>
      <c r="AV105" s="751">
        <v>0</v>
      </c>
      <c r="AW105" s="751">
        <v>0</v>
      </c>
      <c r="AX105" s="751">
        <v>0</v>
      </c>
      <c r="AY105" s="751">
        <v>0</v>
      </c>
      <c r="AZ105" s="751">
        <v>0</v>
      </c>
      <c r="BA105" s="751">
        <v>0</v>
      </c>
      <c r="BB105" s="751">
        <v>0</v>
      </c>
      <c r="BC105" s="751">
        <v>-6587099</v>
      </c>
      <c r="BD105" s="751">
        <v>-5269679</v>
      </c>
      <c r="BE105" s="751">
        <v>-1185678</v>
      </c>
      <c r="BF105" s="751">
        <v>-131742</v>
      </c>
      <c r="BG105" s="751">
        <v>-13174198</v>
      </c>
      <c r="BH105" s="751">
        <v>8167679</v>
      </c>
      <c r="BI105" s="751">
        <v>6678088</v>
      </c>
      <c r="BJ105" s="751">
        <v>1470182</v>
      </c>
      <c r="BK105" s="751">
        <v>163354</v>
      </c>
      <c r="BL105" s="751">
        <v>16479303</v>
      </c>
      <c r="BM105" s="751">
        <v>615029</v>
      </c>
      <c r="BN105" s="751">
        <v>138381</v>
      </c>
      <c r="BO105" s="751">
        <v>15376</v>
      </c>
      <c r="BP105" s="751">
        <v>768786</v>
      </c>
      <c r="BQ105" s="751">
        <v>1272643</v>
      </c>
      <c r="BR105" s="751">
        <v>286345</v>
      </c>
      <c r="BS105" s="751">
        <v>31816</v>
      </c>
      <c r="BT105" s="751">
        <v>1590804</v>
      </c>
      <c r="BU105" s="751">
        <v>49114</v>
      </c>
      <c r="BV105" s="751">
        <v>11051</v>
      </c>
      <c r="BW105" s="751">
        <v>1228</v>
      </c>
      <c r="BX105" s="751">
        <v>61393</v>
      </c>
      <c r="BY105" s="751">
        <v>8389</v>
      </c>
      <c r="BZ105" s="751">
        <v>1888</v>
      </c>
      <c r="CA105" s="751">
        <v>210</v>
      </c>
      <c r="CB105" s="751">
        <v>10487</v>
      </c>
      <c r="CC105" s="751">
        <v>6529</v>
      </c>
      <c r="CD105" s="751">
        <v>1469</v>
      </c>
      <c r="CE105" s="751">
        <v>163</v>
      </c>
      <c r="CF105" s="751">
        <v>8161</v>
      </c>
      <c r="CG105" s="751">
        <v>11340</v>
      </c>
      <c r="CH105" s="751">
        <v>2552</v>
      </c>
      <c r="CI105" s="751">
        <v>284</v>
      </c>
      <c r="CJ105" s="751">
        <v>14176</v>
      </c>
      <c r="CK105" s="751">
        <v>0</v>
      </c>
      <c r="CL105" s="751">
        <v>0</v>
      </c>
      <c r="CM105" s="751">
        <v>0</v>
      </c>
      <c r="CN105" s="751">
        <v>0</v>
      </c>
      <c r="CO105" s="751">
        <v>0</v>
      </c>
      <c r="CP105" s="751">
        <v>0</v>
      </c>
      <c r="CQ105" s="751">
        <v>0</v>
      </c>
      <c r="CR105" s="751">
        <v>0</v>
      </c>
      <c r="CS105" s="751">
        <v>0</v>
      </c>
      <c r="CT105" s="751">
        <v>0</v>
      </c>
      <c r="CU105" s="751">
        <v>0</v>
      </c>
      <c r="CV105" s="751">
        <v>0</v>
      </c>
      <c r="CW105" s="751">
        <v>1963044</v>
      </c>
      <c r="CX105" s="751">
        <v>441686</v>
      </c>
      <c r="CY105" s="751">
        <v>49077</v>
      </c>
      <c r="CZ105" s="751">
        <v>2453807</v>
      </c>
      <c r="DA105" s="662" t="s">
        <v>1016</v>
      </c>
      <c r="DB105" s="324" t="s">
        <v>543</v>
      </c>
      <c r="DC105" s="663" t="s">
        <v>542</v>
      </c>
      <c r="DD105" s="529" t="s">
        <v>1312</v>
      </c>
    </row>
    <row r="106" spans="1:108" ht="12.75" x14ac:dyDescent="0.2">
      <c r="A106" s="664">
        <v>99</v>
      </c>
      <c r="B106" s="665" t="s">
        <v>81</v>
      </c>
      <c r="C106" s="666" t="s">
        <v>1201</v>
      </c>
      <c r="D106" s="667" t="s">
        <v>1224</v>
      </c>
      <c r="E106" s="668" t="s">
        <v>80</v>
      </c>
      <c r="F106" s="750">
        <v>13715374</v>
      </c>
      <c r="G106" s="751">
        <v>156703</v>
      </c>
      <c r="H106" s="751">
        <v>0</v>
      </c>
      <c r="I106" s="751">
        <v>117181</v>
      </c>
      <c r="J106" s="751">
        <v>0</v>
      </c>
      <c r="K106" s="751">
        <v>117181</v>
      </c>
      <c r="L106" s="751">
        <v>0</v>
      </c>
      <c r="M106" s="751">
        <v>0</v>
      </c>
      <c r="N106" s="751">
        <v>164700</v>
      </c>
      <c r="O106" s="751">
        <v>164700</v>
      </c>
      <c r="P106" s="751">
        <v>0</v>
      </c>
      <c r="Q106" s="751">
        <v>0</v>
      </c>
      <c r="R106" s="751">
        <v>13590196</v>
      </c>
      <c r="S106" s="749">
        <v>0.5</v>
      </c>
      <c r="T106" s="749">
        <v>0.4</v>
      </c>
      <c r="U106" s="749">
        <v>0.1</v>
      </c>
      <c r="V106" s="749">
        <v>0</v>
      </c>
      <c r="W106" s="749">
        <v>1</v>
      </c>
      <c r="X106" s="751">
        <v>6795098</v>
      </c>
      <c r="Y106" s="751">
        <v>5436078</v>
      </c>
      <c r="Z106" s="751">
        <v>1359020</v>
      </c>
      <c r="AA106" s="751">
        <v>0</v>
      </c>
      <c r="AB106" s="751">
        <v>13590196</v>
      </c>
      <c r="AC106" s="751">
        <v>0</v>
      </c>
      <c r="AD106" s="751">
        <v>0</v>
      </c>
      <c r="AE106" s="751">
        <v>6795098</v>
      </c>
      <c r="AF106" s="751">
        <v>5436078</v>
      </c>
      <c r="AG106" s="751">
        <v>1359020</v>
      </c>
      <c r="AH106" s="751">
        <v>0</v>
      </c>
      <c r="AI106" s="751">
        <v>13590196</v>
      </c>
      <c r="AJ106" s="751">
        <v>117181</v>
      </c>
      <c r="AK106" s="751">
        <v>117181</v>
      </c>
      <c r="AL106" s="751">
        <v>0</v>
      </c>
      <c r="AM106" s="751">
        <v>0</v>
      </c>
      <c r="AN106" s="751">
        <v>164700</v>
      </c>
      <c r="AO106" s="751">
        <v>0</v>
      </c>
      <c r="AP106" s="751">
        <v>164700</v>
      </c>
      <c r="AQ106" s="751">
        <v>0</v>
      </c>
      <c r="AR106" s="751">
        <v>0</v>
      </c>
      <c r="AS106" s="751">
        <v>0</v>
      </c>
      <c r="AT106" s="751">
        <v>0</v>
      </c>
      <c r="AU106" s="751">
        <v>0</v>
      </c>
      <c r="AV106" s="751">
        <v>0</v>
      </c>
      <c r="AW106" s="751">
        <v>0</v>
      </c>
      <c r="AX106" s="751">
        <v>0</v>
      </c>
      <c r="AY106" s="751">
        <v>0</v>
      </c>
      <c r="AZ106" s="751">
        <v>0</v>
      </c>
      <c r="BA106" s="751">
        <v>0</v>
      </c>
      <c r="BB106" s="751">
        <v>0</v>
      </c>
      <c r="BC106" s="751">
        <v>-2389809</v>
      </c>
      <c r="BD106" s="751">
        <v>-1911847</v>
      </c>
      <c r="BE106" s="751">
        <v>-477962</v>
      </c>
      <c r="BF106" s="751">
        <v>0</v>
      </c>
      <c r="BG106" s="751">
        <v>-4779617</v>
      </c>
      <c r="BH106" s="751">
        <v>4405289</v>
      </c>
      <c r="BI106" s="751">
        <v>3806112</v>
      </c>
      <c r="BJ106" s="751">
        <v>881058</v>
      </c>
      <c r="BK106" s="751">
        <v>0</v>
      </c>
      <c r="BL106" s="751">
        <v>9092460</v>
      </c>
      <c r="BM106" s="751">
        <v>291824</v>
      </c>
      <c r="BN106" s="751">
        <v>70811</v>
      </c>
      <c r="BO106" s="751">
        <v>0</v>
      </c>
      <c r="BP106" s="751">
        <v>362635</v>
      </c>
      <c r="BQ106" s="751">
        <v>1068276</v>
      </c>
      <c r="BR106" s="751">
        <v>267069</v>
      </c>
      <c r="BS106" s="751">
        <v>0</v>
      </c>
      <c r="BT106" s="751">
        <v>1335345</v>
      </c>
      <c r="BU106" s="751">
        <v>33803</v>
      </c>
      <c r="BV106" s="751">
        <v>8451</v>
      </c>
      <c r="BW106" s="751">
        <v>0</v>
      </c>
      <c r="BX106" s="751">
        <v>42254</v>
      </c>
      <c r="BY106" s="751">
        <v>0</v>
      </c>
      <c r="BZ106" s="751">
        <v>0</v>
      </c>
      <c r="CA106" s="751">
        <v>0</v>
      </c>
      <c r="CB106" s="751">
        <v>0</v>
      </c>
      <c r="CC106" s="751">
        <v>8338</v>
      </c>
      <c r="CD106" s="751">
        <v>2085</v>
      </c>
      <c r="CE106" s="751">
        <v>0</v>
      </c>
      <c r="CF106" s="751">
        <v>10423</v>
      </c>
      <c r="CG106" s="751">
        <v>3765</v>
      </c>
      <c r="CH106" s="751">
        <v>941</v>
      </c>
      <c r="CI106" s="751">
        <v>0</v>
      </c>
      <c r="CJ106" s="751">
        <v>4706</v>
      </c>
      <c r="CK106" s="751">
        <v>0</v>
      </c>
      <c r="CL106" s="751">
        <v>0</v>
      </c>
      <c r="CM106" s="751">
        <v>0</v>
      </c>
      <c r="CN106" s="751">
        <v>0</v>
      </c>
      <c r="CO106" s="751">
        <v>0</v>
      </c>
      <c r="CP106" s="751">
        <v>0</v>
      </c>
      <c r="CQ106" s="751">
        <v>0</v>
      </c>
      <c r="CR106" s="751">
        <v>0</v>
      </c>
      <c r="CS106" s="751">
        <v>0</v>
      </c>
      <c r="CT106" s="751">
        <v>0</v>
      </c>
      <c r="CU106" s="751">
        <v>0</v>
      </c>
      <c r="CV106" s="751">
        <v>0</v>
      </c>
      <c r="CW106" s="751">
        <v>1406006</v>
      </c>
      <c r="CX106" s="751">
        <v>349357</v>
      </c>
      <c r="CY106" s="751">
        <v>0</v>
      </c>
      <c r="CZ106" s="751">
        <v>1755363</v>
      </c>
      <c r="DA106" s="662" t="s">
        <v>80</v>
      </c>
      <c r="DB106" s="324" t="s">
        <v>529</v>
      </c>
      <c r="DC106" s="663" t="s">
        <v>512</v>
      </c>
      <c r="DD106" s="529" t="s">
        <v>1313</v>
      </c>
    </row>
    <row r="107" spans="1:108" ht="12.75" x14ac:dyDescent="0.2">
      <c r="A107" s="664">
        <v>100</v>
      </c>
      <c r="B107" s="665" t="s">
        <v>83</v>
      </c>
      <c r="C107" s="666" t="s">
        <v>1201</v>
      </c>
      <c r="D107" s="667" t="s">
        <v>1204</v>
      </c>
      <c r="E107" s="668" t="s">
        <v>82</v>
      </c>
      <c r="F107" s="750">
        <v>26481691</v>
      </c>
      <c r="G107" s="751">
        <v>1267</v>
      </c>
      <c r="H107" s="751">
        <v>0</v>
      </c>
      <c r="I107" s="751">
        <v>110738</v>
      </c>
      <c r="J107" s="751">
        <v>0</v>
      </c>
      <c r="K107" s="751">
        <v>110738</v>
      </c>
      <c r="L107" s="751">
        <v>0</v>
      </c>
      <c r="M107" s="751">
        <v>0</v>
      </c>
      <c r="N107" s="751">
        <v>58133</v>
      </c>
      <c r="O107" s="751">
        <v>58133</v>
      </c>
      <c r="P107" s="751">
        <v>0</v>
      </c>
      <c r="Q107" s="751">
        <v>26368</v>
      </c>
      <c r="R107" s="751">
        <v>26287719</v>
      </c>
      <c r="S107" s="749">
        <v>0.5</v>
      </c>
      <c r="T107" s="749">
        <v>0.4</v>
      </c>
      <c r="U107" s="749">
        <v>0.09</v>
      </c>
      <c r="V107" s="749">
        <v>0.01</v>
      </c>
      <c r="W107" s="749">
        <v>1</v>
      </c>
      <c r="X107" s="751">
        <v>13143859</v>
      </c>
      <c r="Y107" s="751">
        <v>10515088</v>
      </c>
      <c r="Z107" s="751">
        <v>2365895</v>
      </c>
      <c r="AA107" s="751">
        <v>262877</v>
      </c>
      <c r="AB107" s="751">
        <v>26287719</v>
      </c>
      <c r="AC107" s="751">
        <v>231083</v>
      </c>
      <c r="AD107" s="751">
        <v>231083</v>
      </c>
      <c r="AE107" s="751">
        <v>12912776</v>
      </c>
      <c r="AF107" s="751">
        <v>10515088</v>
      </c>
      <c r="AG107" s="751">
        <v>2365895</v>
      </c>
      <c r="AH107" s="751">
        <v>262877</v>
      </c>
      <c r="AI107" s="751">
        <v>26056636</v>
      </c>
      <c r="AJ107" s="751">
        <v>110738</v>
      </c>
      <c r="AK107" s="751">
        <v>110738</v>
      </c>
      <c r="AL107" s="751">
        <v>0</v>
      </c>
      <c r="AM107" s="751">
        <v>0</v>
      </c>
      <c r="AN107" s="751">
        <v>58133</v>
      </c>
      <c r="AO107" s="751">
        <v>0</v>
      </c>
      <c r="AP107" s="751">
        <v>58133</v>
      </c>
      <c r="AQ107" s="751">
        <v>10547</v>
      </c>
      <c r="AR107" s="751">
        <v>15557</v>
      </c>
      <c r="AS107" s="751">
        <v>264</v>
      </c>
      <c r="AT107" s="751">
        <v>26368</v>
      </c>
      <c r="AU107" s="751">
        <v>231083</v>
      </c>
      <c r="AV107" s="751">
        <v>0</v>
      </c>
      <c r="AW107" s="751">
        <v>0</v>
      </c>
      <c r="AX107" s="751">
        <v>231083</v>
      </c>
      <c r="AY107" s="751">
        <v>0</v>
      </c>
      <c r="AZ107" s="751">
        <v>0</v>
      </c>
      <c r="BA107" s="751">
        <v>0</v>
      </c>
      <c r="BB107" s="751">
        <v>0</v>
      </c>
      <c r="BC107" s="751">
        <v>-5605693</v>
      </c>
      <c r="BD107" s="751">
        <v>-3234296</v>
      </c>
      <c r="BE107" s="751">
        <v>-557542</v>
      </c>
      <c r="BF107" s="751">
        <v>-77384</v>
      </c>
      <c r="BG107" s="751">
        <v>-9474916</v>
      </c>
      <c r="BH107" s="751">
        <v>7307083</v>
      </c>
      <c r="BI107" s="751">
        <v>7691293</v>
      </c>
      <c r="BJ107" s="751">
        <v>1823910</v>
      </c>
      <c r="BK107" s="751">
        <v>185756</v>
      </c>
      <c r="BL107" s="751">
        <v>17008042</v>
      </c>
      <c r="BM107" s="751">
        <v>563499</v>
      </c>
      <c r="BN107" s="751">
        <v>124084</v>
      </c>
      <c r="BO107" s="751">
        <v>13711</v>
      </c>
      <c r="BP107" s="751">
        <v>701294</v>
      </c>
      <c r="BQ107" s="751">
        <v>1075813</v>
      </c>
      <c r="BR107" s="751">
        <v>238308</v>
      </c>
      <c r="BS107" s="751">
        <v>26479</v>
      </c>
      <c r="BT107" s="751">
        <v>1340600</v>
      </c>
      <c r="BU107" s="751">
        <v>51829</v>
      </c>
      <c r="BV107" s="751">
        <v>9821</v>
      </c>
      <c r="BW107" s="751">
        <v>1091</v>
      </c>
      <c r="BX107" s="751">
        <v>62741</v>
      </c>
      <c r="BY107" s="751">
        <v>1533</v>
      </c>
      <c r="BZ107" s="751">
        <v>345</v>
      </c>
      <c r="CA107" s="751">
        <v>38</v>
      </c>
      <c r="CB107" s="751">
        <v>1916</v>
      </c>
      <c r="CC107" s="751">
        <v>1807</v>
      </c>
      <c r="CD107" s="751">
        <v>407</v>
      </c>
      <c r="CE107" s="751">
        <v>45</v>
      </c>
      <c r="CF107" s="751">
        <v>2259</v>
      </c>
      <c r="CG107" s="751">
        <v>4616</v>
      </c>
      <c r="CH107" s="751">
        <v>1039</v>
      </c>
      <c r="CI107" s="751">
        <v>115</v>
      </c>
      <c r="CJ107" s="751">
        <v>5770</v>
      </c>
      <c r="CK107" s="751">
        <v>0</v>
      </c>
      <c r="CL107" s="751">
        <v>0</v>
      </c>
      <c r="CM107" s="751">
        <v>0</v>
      </c>
      <c r="CN107" s="751">
        <v>0</v>
      </c>
      <c r="CO107" s="751">
        <v>0</v>
      </c>
      <c r="CP107" s="751">
        <v>0</v>
      </c>
      <c r="CQ107" s="751">
        <v>0</v>
      </c>
      <c r="CR107" s="751">
        <v>0</v>
      </c>
      <c r="CS107" s="751">
        <v>0</v>
      </c>
      <c r="CT107" s="751">
        <v>0</v>
      </c>
      <c r="CU107" s="751">
        <v>0</v>
      </c>
      <c r="CV107" s="751">
        <v>0</v>
      </c>
      <c r="CW107" s="751">
        <v>1699097</v>
      </c>
      <c r="CX107" s="751">
        <v>374004</v>
      </c>
      <c r="CY107" s="751">
        <v>41479</v>
      </c>
      <c r="CZ107" s="751">
        <v>2114580</v>
      </c>
      <c r="DA107" s="662" t="s">
        <v>82</v>
      </c>
      <c r="DB107" s="324" t="s">
        <v>547</v>
      </c>
      <c r="DC107" s="663" t="s">
        <v>545</v>
      </c>
      <c r="DD107" s="529" t="s">
        <v>1314</v>
      </c>
    </row>
    <row r="108" spans="1:108" ht="12.75" x14ac:dyDescent="0.2">
      <c r="A108" s="664">
        <v>101</v>
      </c>
      <c r="B108" s="665" t="s">
        <v>85</v>
      </c>
      <c r="C108" s="666" t="s">
        <v>1217</v>
      </c>
      <c r="D108" s="667" t="s">
        <v>1283</v>
      </c>
      <c r="E108" s="668" t="s">
        <v>84</v>
      </c>
      <c r="F108" s="750">
        <v>85808210</v>
      </c>
      <c r="G108" s="751">
        <v>0</v>
      </c>
      <c r="H108" s="751">
        <v>461253</v>
      </c>
      <c r="I108" s="751">
        <v>272506</v>
      </c>
      <c r="J108" s="751">
        <v>0</v>
      </c>
      <c r="K108" s="751">
        <v>272506</v>
      </c>
      <c r="L108" s="751">
        <v>0</v>
      </c>
      <c r="M108" s="751">
        <v>1373767</v>
      </c>
      <c r="N108" s="751">
        <v>3656</v>
      </c>
      <c r="O108" s="751">
        <v>3656</v>
      </c>
      <c r="P108" s="751">
        <v>0</v>
      </c>
      <c r="Q108" s="751">
        <v>0</v>
      </c>
      <c r="R108" s="751">
        <v>83697028</v>
      </c>
      <c r="S108" s="749">
        <v>0.5</v>
      </c>
      <c r="T108" s="749">
        <v>0.49</v>
      </c>
      <c r="U108" s="749">
        <v>0</v>
      </c>
      <c r="V108" s="749">
        <v>0.01</v>
      </c>
      <c r="W108" s="749">
        <v>1</v>
      </c>
      <c r="X108" s="751">
        <v>41848514</v>
      </c>
      <c r="Y108" s="751">
        <v>41011544</v>
      </c>
      <c r="Z108" s="751">
        <v>0</v>
      </c>
      <c r="AA108" s="751">
        <v>836970</v>
      </c>
      <c r="AB108" s="751">
        <v>83697028</v>
      </c>
      <c r="AC108" s="751">
        <v>91694</v>
      </c>
      <c r="AD108" s="751">
        <v>91694</v>
      </c>
      <c r="AE108" s="751">
        <v>41756820</v>
      </c>
      <c r="AF108" s="751">
        <v>41011544</v>
      </c>
      <c r="AG108" s="751">
        <v>0</v>
      </c>
      <c r="AH108" s="751">
        <v>836970</v>
      </c>
      <c r="AI108" s="751">
        <v>83605334</v>
      </c>
      <c r="AJ108" s="751">
        <v>272506</v>
      </c>
      <c r="AK108" s="751">
        <v>272506</v>
      </c>
      <c r="AL108" s="751">
        <v>1373767</v>
      </c>
      <c r="AM108" s="751">
        <v>1373767</v>
      </c>
      <c r="AN108" s="751">
        <v>3656</v>
      </c>
      <c r="AO108" s="751">
        <v>0</v>
      </c>
      <c r="AP108" s="751">
        <v>3656</v>
      </c>
      <c r="AQ108" s="751">
        <v>0</v>
      </c>
      <c r="AR108" s="751">
        <v>0</v>
      </c>
      <c r="AS108" s="751">
        <v>0</v>
      </c>
      <c r="AT108" s="751">
        <v>0</v>
      </c>
      <c r="AU108" s="751">
        <v>91694</v>
      </c>
      <c r="AV108" s="751">
        <v>0</v>
      </c>
      <c r="AW108" s="751">
        <v>0</v>
      </c>
      <c r="AX108" s="751">
        <v>91694</v>
      </c>
      <c r="AY108" s="751">
        <v>0</v>
      </c>
      <c r="AZ108" s="751">
        <v>0</v>
      </c>
      <c r="BA108" s="751">
        <v>0</v>
      </c>
      <c r="BB108" s="751">
        <v>0</v>
      </c>
      <c r="BC108" s="751">
        <v>-22037652</v>
      </c>
      <c r="BD108" s="751">
        <v>-21596898</v>
      </c>
      <c r="BE108" s="751">
        <v>0</v>
      </c>
      <c r="BF108" s="751">
        <v>-440753</v>
      </c>
      <c r="BG108" s="751">
        <v>-44075303</v>
      </c>
      <c r="BH108" s="751">
        <v>19719169</v>
      </c>
      <c r="BI108" s="751">
        <v>21156269</v>
      </c>
      <c r="BJ108" s="751">
        <v>0</v>
      </c>
      <c r="BK108" s="751">
        <v>396217</v>
      </c>
      <c r="BL108" s="751">
        <v>41271654</v>
      </c>
      <c r="BM108" s="751">
        <v>2213421</v>
      </c>
      <c r="BN108" s="751">
        <v>0</v>
      </c>
      <c r="BO108" s="751">
        <v>43610</v>
      </c>
      <c r="BP108" s="751">
        <v>2257031</v>
      </c>
      <c r="BQ108" s="751">
        <v>2576266</v>
      </c>
      <c r="BR108" s="751">
        <v>0</v>
      </c>
      <c r="BS108" s="751">
        <v>50535</v>
      </c>
      <c r="BT108" s="751">
        <v>2626801</v>
      </c>
      <c r="BU108" s="751">
        <v>172554</v>
      </c>
      <c r="BV108" s="751">
        <v>0</v>
      </c>
      <c r="BW108" s="751">
        <v>3384</v>
      </c>
      <c r="BX108" s="751">
        <v>175938</v>
      </c>
      <c r="BY108" s="751">
        <v>0</v>
      </c>
      <c r="BZ108" s="751">
        <v>0</v>
      </c>
      <c r="CA108" s="751">
        <v>0</v>
      </c>
      <c r="CB108" s="751">
        <v>0</v>
      </c>
      <c r="CC108" s="751">
        <v>6885</v>
      </c>
      <c r="CD108" s="751">
        <v>0</v>
      </c>
      <c r="CE108" s="751">
        <v>140</v>
      </c>
      <c r="CF108" s="751">
        <v>7025</v>
      </c>
      <c r="CG108" s="751">
        <v>19130</v>
      </c>
      <c r="CH108" s="751">
        <v>0</v>
      </c>
      <c r="CI108" s="751">
        <v>390</v>
      </c>
      <c r="CJ108" s="751">
        <v>19520</v>
      </c>
      <c r="CK108" s="751">
        <v>0</v>
      </c>
      <c r="CL108" s="751">
        <v>0</v>
      </c>
      <c r="CM108" s="751">
        <v>0</v>
      </c>
      <c r="CN108" s="751">
        <v>0</v>
      </c>
      <c r="CO108" s="751">
        <v>0</v>
      </c>
      <c r="CP108" s="751">
        <v>0</v>
      </c>
      <c r="CQ108" s="751">
        <v>0</v>
      </c>
      <c r="CR108" s="751">
        <v>0</v>
      </c>
      <c r="CS108" s="751">
        <v>0</v>
      </c>
      <c r="CT108" s="751">
        <v>0</v>
      </c>
      <c r="CU108" s="751">
        <v>0</v>
      </c>
      <c r="CV108" s="751">
        <v>0</v>
      </c>
      <c r="CW108" s="751">
        <v>4988256</v>
      </c>
      <c r="CX108" s="751">
        <v>0</v>
      </c>
      <c r="CY108" s="751">
        <v>98059</v>
      </c>
      <c r="CZ108" s="751">
        <v>5086315</v>
      </c>
      <c r="DA108" s="662" t="s">
        <v>84</v>
      </c>
      <c r="DB108" s="324" t="s">
        <v>570</v>
      </c>
      <c r="DC108" s="663" t="s">
        <v>573</v>
      </c>
      <c r="DD108" s="529" t="s">
        <v>1315</v>
      </c>
    </row>
    <row r="109" spans="1:108" ht="12.75" x14ac:dyDescent="0.2">
      <c r="A109" s="664">
        <v>102</v>
      </c>
      <c r="B109" s="665" t="s">
        <v>87</v>
      </c>
      <c r="C109" s="666" t="s">
        <v>1201</v>
      </c>
      <c r="D109" s="667" t="s">
        <v>1206</v>
      </c>
      <c r="E109" s="668" t="s">
        <v>86</v>
      </c>
      <c r="F109" s="750">
        <v>23735382</v>
      </c>
      <c r="G109" s="751">
        <v>51928</v>
      </c>
      <c r="H109" s="751">
        <v>0</v>
      </c>
      <c r="I109" s="751">
        <v>97132</v>
      </c>
      <c r="J109" s="751">
        <v>0</v>
      </c>
      <c r="K109" s="751">
        <v>97132</v>
      </c>
      <c r="L109" s="751">
        <v>0</v>
      </c>
      <c r="M109" s="751">
        <v>0</v>
      </c>
      <c r="N109" s="751">
        <v>200072</v>
      </c>
      <c r="O109" s="751">
        <v>46131</v>
      </c>
      <c r="P109" s="751">
        <v>153941</v>
      </c>
      <c r="Q109" s="751">
        <v>0</v>
      </c>
      <c r="R109" s="751">
        <v>23490106</v>
      </c>
      <c r="S109" s="749">
        <v>0.5</v>
      </c>
      <c r="T109" s="749">
        <v>0.4</v>
      </c>
      <c r="U109" s="749">
        <v>0.09</v>
      </c>
      <c r="V109" s="749">
        <v>0.01</v>
      </c>
      <c r="W109" s="749">
        <v>1</v>
      </c>
      <c r="X109" s="751">
        <v>11745053</v>
      </c>
      <c r="Y109" s="751">
        <v>9396042</v>
      </c>
      <c r="Z109" s="751">
        <v>2114110</v>
      </c>
      <c r="AA109" s="751">
        <v>234901</v>
      </c>
      <c r="AB109" s="751">
        <v>23490106</v>
      </c>
      <c r="AC109" s="751">
        <v>0</v>
      </c>
      <c r="AD109" s="751">
        <v>0</v>
      </c>
      <c r="AE109" s="751">
        <v>11745053</v>
      </c>
      <c r="AF109" s="751">
        <v>9396042</v>
      </c>
      <c r="AG109" s="751">
        <v>2114110</v>
      </c>
      <c r="AH109" s="751">
        <v>234901</v>
      </c>
      <c r="AI109" s="751">
        <v>23490106</v>
      </c>
      <c r="AJ109" s="751">
        <v>97132</v>
      </c>
      <c r="AK109" s="751">
        <v>97132</v>
      </c>
      <c r="AL109" s="751">
        <v>0</v>
      </c>
      <c r="AM109" s="751">
        <v>0</v>
      </c>
      <c r="AN109" s="751">
        <v>46131</v>
      </c>
      <c r="AO109" s="751">
        <v>153941</v>
      </c>
      <c r="AP109" s="751">
        <v>200072</v>
      </c>
      <c r="AQ109" s="751">
        <v>0</v>
      </c>
      <c r="AR109" s="751">
        <v>0</v>
      </c>
      <c r="AS109" s="751">
        <v>0</v>
      </c>
      <c r="AT109" s="751">
        <v>0</v>
      </c>
      <c r="AU109" s="751">
        <v>0</v>
      </c>
      <c r="AV109" s="751">
        <v>0</v>
      </c>
      <c r="AW109" s="751">
        <v>0</v>
      </c>
      <c r="AX109" s="751">
        <v>0</v>
      </c>
      <c r="AY109" s="751">
        <v>0</v>
      </c>
      <c r="AZ109" s="751">
        <v>0</v>
      </c>
      <c r="BA109" s="751">
        <v>0</v>
      </c>
      <c r="BB109" s="751">
        <v>0</v>
      </c>
      <c r="BC109" s="751">
        <v>-6067499</v>
      </c>
      <c r="BD109" s="751">
        <v>-4853999</v>
      </c>
      <c r="BE109" s="751">
        <v>-1092150</v>
      </c>
      <c r="BF109" s="751">
        <v>-121350</v>
      </c>
      <c r="BG109" s="751">
        <v>-12134998</v>
      </c>
      <c r="BH109" s="751">
        <v>5677554</v>
      </c>
      <c r="BI109" s="751">
        <v>4685306</v>
      </c>
      <c r="BJ109" s="751">
        <v>1175901</v>
      </c>
      <c r="BK109" s="751">
        <v>113551</v>
      </c>
      <c r="BL109" s="751">
        <v>11652312</v>
      </c>
      <c r="BM109" s="751">
        <v>491977</v>
      </c>
      <c r="BN109" s="751">
        <v>118175</v>
      </c>
      <c r="BO109" s="751">
        <v>12239</v>
      </c>
      <c r="BP109" s="751">
        <v>622391</v>
      </c>
      <c r="BQ109" s="751">
        <v>911794</v>
      </c>
      <c r="BR109" s="751">
        <v>205154</v>
      </c>
      <c r="BS109" s="751">
        <v>22795</v>
      </c>
      <c r="BT109" s="751">
        <v>1139743</v>
      </c>
      <c r="BU109" s="751">
        <v>50786</v>
      </c>
      <c r="BV109" s="751">
        <v>11241</v>
      </c>
      <c r="BW109" s="751">
        <v>1249</v>
      </c>
      <c r="BX109" s="751">
        <v>63276</v>
      </c>
      <c r="BY109" s="751">
        <v>0</v>
      </c>
      <c r="BZ109" s="751">
        <v>0</v>
      </c>
      <c r="CA109" s="751">
        <v>0</v>
      </c>
      <c r="CB109" s="751">
        <v>0</v>
      </c>
      <c r="CC109" s="751">
        <v>0</v>
      </c>
      <c r="CD109" s="751">
        <v>0</v>
      </c>
      <c r="CE109" s="751">
        <v>0</v>
      </c>
      <c r="CF109" s="751">
        <v>0</v>
      </c>
      <c r="CG109" s="751">
        <v>4946</v>
      </c>
      <c r="CH109" s="751">
        <v>1113</v>
      </c>
      <c r="CI109" s="751">
        <v>124</v>
      </c>
      <c r="CJ109" s="751">
        <v>6183</v>
      </c>
      <c r="CK109" s="751">
        <v>0</v>
      </c>
      <c r="CL109" s="751">
        <v>0</v>
      </c>
      <c r="CM109" s="751">
        <v>0</v>
      </c>
      <c r="CN109" s="751">
        <v>0</v>
      </c>
      <c r="CO109" s="751">
        <v>0</v>
      </c>
      <c r="CP109" s="751">
        <v>0</v>
      </c>
      <c r="CQ109" s="751">
        <v>0</v>
      </c>
      <c r="CR109" s="751">
        <v>0</v>
      </c>
      <c r="CS109" s="751">
        <v>0</v>
      </c>
      <c r="CT109" s="751">
        <v>0</v>
      </c>
      <c r="CU109" s="751">
        <v>0</v>
      </c>
      <c r="CV109" s="751">
        <v>0</v>
      </c>
      <c r="CW109" s="751">
        <v>1459503</v>
      </c>
      <c r="CX109" s="751">
        <v>335683</v>
      </c>
      <c r="CY109" s="751">
        <v>36407</v>
      </c>
      <c r="CZ109" s="751">
        <v>1831593</v>
      </c>
      <c r="DA109" s="662" t="s">
        <v>86</v>
      </c>
      <c r="DB109" s="324" t="s">
        <v>559</v>
      </c>
      <c r="DC109" s="663" t="s">
        <v>558</v>
      </c>
      <c r="DD109" s="529" t="s">
        <v>1316</v>
      </c>
    </row>
    <row r="110" spans="1:108" ht="12.75" x14ac:dyDescent="0.2">
      <c r="A110" s="664">
        <v>103</v>
      </c>
      <c r="B110" s="665" t="s">
        <v>89</v>
      </c>
      <c r="C110" s="666" t="s">
        <v>1201</v>
      </c>
      <c r="D110" s="667" t="s">
        <v>1224</v>
      </c>
      <c r="E110" s="668" t="s">
        <v>88</v>
      </c>
      <c r="F110" s="750">
        <v>55189844</v>
      </c>
      <c r="G110" s="751">
        <v>0</v>
      </c>
      <c r="H110" s="751">
        <v>330829</v>
      </c>
      <c r="I110" s="751">
        <v>170980</v>
      </c>
      <c r="J110" s="751">
        <v>0</v>
      </c>
      <c r="K110" s="751">
        <v>170980</v>
      </c>
      <c r="L110" s="751">
        <v>0</v>
      </c>
      <c r="M110" s="751">
        <v>0</v>
      </c>
      <c r="N110" s="751">
        <v>0</v>
      </c>
      <c r="O110" s="751">
        <v>0</v>
      </c>
      <c r="P110" s="751">
        <v>0</v>
      </c>
      <c r="Q110" s="751">
        <v>0</v>
      </c>
      <c r="R110" s="751">
        <v>54688035</v>
      </c>
      <c r="S110" s="749">
        <v>0.5</v>
      </c>
      <c r="T110" s="749">
        <v>0.4</v>
      </c>
      <c r="U110" s="749">
        <v>0.1</v>
      </c>
      <c r="V110" s="749">
        <v>0</v>
      </c>
      <c r="W110" s="749">
        <v>1</v>
      </c>
      <c r="X110" s="751">
        <v>27344017</v>
      </c>
      <c r="Y110" s="751">
        <v>21875214</v>
      </c>
      <c r="Z110" s="751">
        <v>5468804</v>
      </c>
      <c r="AA110" s="751">
        <v>0</v>
      </c>
      <c r="AB110" s="751">
        <v>54688035</v>
      </c>
      <c r="AC110" s="751">
        <v>0</v>
      </c>
      <c r="AD110" s="751">
        <v>0</v>
      </c>
      <c r="AE110" s="751">
        <v>27344017</v>
      </c>
      <c r="AF110" s="751">
        <v>21875214</v>
      </c>
      <c r="AG110" s="751">
        <v>5468804</v>
      </c>
      <c r="AH110" s="751">
        <v>0</v>
      </c>
      <c r="AI110" s="751">
        <v>54688035</v>
      </c>
      <c r="AJ110" s="751">
        <v>170980</v>
      </c>
      <c r="AK110" s="751">
        <v>170980</v>
      </c>
      <c r="AL110" s="751">
        <v>0</v>
      </c>
      <c r="AM110" s="751">
        <v>0</v>
      </c>
      <c r="AN110" s="751">
        <v>0</v>
      </c>
      <c r="AO110" s="751">
        <v>0</v>
      </c>
      <c r="AP110" s="751">
        <v>0</v>
      </c>
      <c r="AQ110" s="751">
        <v>0</v>
      </c>
      <c r="AR110" s="751">
        <v>0</v>
      </c>
      <c r="AS110" s="751">
        <v>0</v>
      </c>
      <c r="AT110" s="751">
        <v>0</v>
      </c>
      <c r="AU110" s="751">
        <v>0</v>
      </c>
      <c r="AV110" s="751">
        <v>0</v>
      </c>
      <c r="AW110" s="751">
        <v>0</v>
      </c>
      <c r="AX110" s="751">
        <v>0</v>
      </c>
      <c r="AY110" s="751">
        <v>0</v>
      </c>
      <c r="AZ110" s="751">
        <v>0</v>
      </c>
      <c r="BA110" s="751">
        <v>0</v>
      </c>
      <c r="BB110" s="751">
        <v>0</v>
      </c>
      <c r="BC110" s="751">
        <v>-13299986</v>
      </c>
      <c r="BD110" s="751">
        <v>-10639989</v>
      </c>
      <c r="BE110" s="751">
        <v>-2659997</v>
      </c>
      <c r="BF110" s="751">
        <v>0</v>
      </c>
      <c r="BG110" s="751">
        <v>-26599973</v>
      </c>
      <c r="BH110" s="751">
        <v>14044031</v>
      </c>
      <c r="BI110" s="751">
        <v>11406205</v>
      </c>
      <c r="BJ110" s="751">
        <v>2808807</v>
      </c>
      <c r="BK110" s="751">
        <v>0</v>
      </c>
      <c r="BL110" s="751">
        <v>28259042</v>
      </c>
      <c r="BM110" s="751">
        <v>1139791</v>
      </c>
      <c r="BN110" s="751">
        <v>284948</v>
      </c>
      <c r="BO110" s="751">
        <v>0</v>
      </c>
      <c r="BP110" s="751">
        <v>1424739</v>
      </c>
      <c r="BQ110" s="751">
        <v>950574</v>
      </c>
      <c r="BR110" s="751">
        <v>237644</v>
      </c>
      <c r="BS110" s="751">
        <v>0</v>
      </c>
      <c r="BT110" s="751">
        <v>1188218</v>
      </c>
      <c r="BU110" s="751">
        <v>90017</v>
      </c>
      <c r="BV110" s="751">
        <v>22504</v>
      </c>
      <c r="BW110" s="751">
        <v>0</v>
      </c>
      <c r="BX110" s="751">
        <v>112521</v>
      </c>
      <c r="BY110" s="751">
        <v>0</v>
      </c>
      <c r="BZ110" s="751">
        <v>0</v>
      </c>
      <c r="CA110" s="751">
        <v>0</v>
      </c>
      <c r="CB110" s="751">
        <v>0</v>
      </c>
      <c r="CC110" s="751">
        <v>0</v>
      </c>
      <c r="CD110" s="751">
        <v>0</v>
      </c>
      <c r="CE110" s="751">
        <v>0</v>
      </c>
      <c r="CF110" s="751">
        <v>0</v>
      </c>
      <c r="CG110" s="751">
        <v>0</v>
      </c>
      <c r="CH110" s="751">
        <v>0</v>
      </c>
      <c r="CI110" s="751">
        <v>0</v>
      </c>
      <c r="CJ110" s="751">
        <v>0</v>
      </c>
      <c r="CK110" s="751">
        <v>0</v>
      </c>
      <c r="CL110" s="751">
        <v>0</v>
      </c>
      <c r="CM110" s="751">
        <v>0</v>
      </c>
      <c r="CN110" s="751">
        <v>0</v>
      </c>
      <c r="CO110" s="751">
        <v>0</v>
      </c>
      <c r="CP110" s="751">
        <v>0</v>
      </c>
      <c r="CQ110" s="751">
        <v>0</v>
      </c>
      <c r="CR110" s="751">
        <v>0</v>
      </c>
      <c r="CS110" s="751">
        <v>0</v>
      </c>
      <c r="CT110" s="751">
        <v>0</v>
      </c>
      <c r="CU110" s="751">
        <v>0</v>
      </c>
      <c r="CV110" s="751">
        <v>0</v>
      </c>
      <c r="CW110" s="751">
        <v>2180382</v>
      </c>
      <c r="CX110" s="751">
        <v>545096</v>
      </c>
      <c r="CY110" s="751">
        <v>0</v>
      </c>
      <c r="CZ110" s="751">
        <v>2725478</v>
      </c>
      <c r="DA110" s="662" t="s">
        <v>88</v>
      </c>
      <c r="DB110" s="324" t="s">
        <v>529</v>
      </c>
      <c r="DC110" s="663" t="s">
        <v>512</v>
      </c>
      <c r="DD110" s="529" t="s">
        <v>1317</v>
      </c>
    </row>
    <row r="111" spans="1:108" ht="12.75" x14ac:dyDescent="0.2">
      <c r="A111" s="664">
        <v>104</v>
      </c>
      <c r="B111" s="665" t="s">
        <v>91</v>
      </c>
      <c r="C111" s="666" t="s">
        <v>1201</v>
      </c>
      <c r="D111" s="667" t="s">
        <v>1202</v>
      </c>
      <c r="E111" s="668" t="s">
        <v>90</v>
      </c>
      <c r="F111" s="750">
        <v>16501229</v>
      </c>
      <c r="G111" s="751">
        <v>0</v>
      </c>
      <c r="H111" s="751">
        <v>65371</v>
      </c>
      <c r="I111" s="751">
        <v>77867</v>
      </c>
      <c r="J111" s="751">
        <v>0</v>
      </c>
      <c r="K111" s="751">
        <v>77867</v>
      </c>
      <c r="L111" s="751">
        <v>0</v>
      </c>
      <c r="M111" s="751">
        <v>0</v>
      </c>
      <c r="N111" s="751">
        <v>0</v>
      </c>
      <c r="O111" s="751">
        <v>0</v>
      </c>
      <c r="P111" s="751">
        <v>0</v>
      </c>
      <c r="Q111" s="751">
        <v>0</v>
      </c>
      <c r="R111" s="751">
        <v>16357991</v>
      </c>
      <c r="S111" s="749">
        <v>0.5</v>
      </c>
      <c r="T111" s="749">
        <v>0.4</v>
      </c>
      <c r="U111" s="749">
        <v>0.09</v>
      </c>
      <c r="V111" s="749">
        <v>0.01</v>
      </c>
      <c r="W111" s="749">
        <v>1</v>
      </c>
      <c r="X111" s="751">
        <v>8178996</v>
      </c>
      <c r="Y111" s="751">
        <v>6543196</v>
      </c>
      <c r="Z111" s="751">
        <v>1472219</v>
      </c>
      <c r="AA111" s="751">
        <v>163580</v>
      </c>
      <c r="AB111" s="751">
        <v>16357991</v>
      </c>
      <c r="AC111" s="751">
        <v>370804</v>
      </c>
      <c r="AD111" s="751">
        <v>370804</v>
      </c>
      <c r="AE111" s="751">
        <v>7808192</v>
      </c>
      <c r="AF111" s="751">
        <v>6543196</v>
      </c>
      <c r="AG111" s="751">
        <v>1472219</v>
      </c>
      <c r="AH111" s="751">
        <v>163580</v>
      </c>
      <c r="AI111" s="751">
        <v>15987187</v>
      </c>
      <c r="AJ111" s="751">
        <v>77867</v>
      </c>
      <c r="AK111" s="751">
        <v>77867</v>
      </c>
      <c r="AL111" s="751">
        <v>0</v>
      </c>
      <c r="AM111" s="751">
        <v>0</v>
      </c>
      <c r="AN111" s="751">
        <v>0</v>
      </c>
      <c r="AO111" s="751">
        <v>0</v>
      </c>
      <c r="AP111" s="751">
        <v>0</v>
      </c>
      <c r="AQ111" s="751">
        <v>0</v>
      </c>
      <c r="AR111" s="751">
        <v>0</v>
      </c>
      <c r="AS111" s="751">
        <v>0</v>
      </c>
      <c r="AT111" s="751">
        <v>0</v>
      </c>
      <c r="AU111" s="751">
        <v>370804</v>
      </c>
      <c r="AV111" s="751">
        <v>0</v>
      </c>
      <c r="AW111" s="751">
        <v>0</v>
      </c>
      <c r="AX111" s="751">
        <v>370804</v>
      </c>
      <c r="AY111" s="751">
        <v>0</v>
      </c>
      <c r="AZ111" s="751">
        <v>0</v>
      </c>
      <c r="BA111" s="751">
        <v>0</v>
      </c>
      <c r="BB111" s="751">
        <v>0</v>
      </c>
      <c r="BC111" s="751">
        <v>-3054894</v>
      </c>
      <c r="BD111" s="751">
        <v>-2443915</v>
      </c>
      <c r="BE111" s="751">
        <v>-549881</v>
      </c>
      <c r="BF111" s="751">
        <v>-61098</v>
      </c>
      <c r="BG111" s="751">
        <v>-6109788</v>
      </c>
      <c r="BH111" s="751">
        <v>4753298</v>
      </c>
      <c r="BI111" s="751">
        <v>4547952</v>
      </c>
      <c r="BJ111" s="751">
        <v>922338</v>
      </c>
      <c r="BK111" s="751">
        <v>102482</v>
      </c>
      <c r="BL111" s="751">
        <v>10326070</v>
      </c>
      <c r="BM111" s="751">
        <v>360249</v>
      </c>
      <c r="BN111" s="751">
        <v>76709</v>
      </c>
      <c r="BO111" s="751">
        <v>8523</v>
      </c>
      <c r="BP111" s="751">
        <v>445481</v>
      </c>
      <c r="BQ111" s="751">
        <v>690926</v>
      </c>
      <c r="BR111" s="751">
        <v>146552</v>
      </c>
      <c r="BS111" s="751">
        <v>16284</v>
      </c>
      <c r="BT111" s="751">
        <v>853762</v>
      </c>
      <c r="BU111" s="751">
        <v>37054</v>
      </c>
      <c r="BV111" s="751">
        <v>6872</v>
      </c>
      <c r="BW111" s="751">
        <v>764</v>
      </c>
      <c r="BX111" s="751">
        <v>44690</v>
      </c>
      <c r="BY111" s="751">
        <v>0</v>
      </c>
      <c r="BZ111" s="751">
        <v>0</v>
      </c>
      <c r="CA111" s="751">
        <v>0</v>
      </c>
      <c r="CB111" s="751">
        <v>0</v>
      </c>
      <c r="CC111" s="751">
        <v>0</v>
      </c>
      <c r="CD111" s="751">
        <v>0</v>
      </c>
      <c r="CE111" s="751">
        <v>0</v>
      </c>
      <c r="CF111" s="751">
        <v>0</v>
      </c>
      <c r="CG111" s="751">
        <v>1544</v>
      </c>
      <c r="CH111" s="751">
        <v>347</v>
      </c>
      <c r="CI111" s="751">
        <v>39</v>
      </c>
      <c r="CJ111" s="751">
        <v>1930</v>
      </c>
      <c r="CK111" s="751">
        <v>0</v>
      </c>
      <c r="CL111" s="751">
        <v>0</v>
      </c>
      <c r="CM111" s="751">
        <v>0</v>
      </c>
      <c r="CN111" s="751">
        <v>0</v>
      </c>
      <c r="CO111" s="751">
        <v>0</v>
      </c>
      <c r="CP111" s="751">
        <v>0</v>
      </c>
      <c r="CQ111" s="751">
        <v>0</v>
      </c>
      <c r="CR111" s="751">
        <v>0</v>
      </c>
      <c r="CS111" s="751">
        <v>0</v>
      </c>
      <c r="CT111" s="751">
        <v>0</v>
      </c>
      <c r="CU111" s="751">
        <v>0</v>
      </c>
      <c r="CV111" s="751">
        <v>0</v>
      </c>
      <c r="CW111" s="751">
        <v>1089773</v>
      </c>
      <c r="CX111" s="751">
        <v>230480</v>
      </c>
      <c r="CY111" s="751">
        <v>25610</v>
      </c>
      <c r="CZ111" s="751">
        <v>1345863</v>
      </c>
      <c r="DA111" s="662" t="s">
        <v>90</v>
      </c>
      <c r="DB111" s="324" t="s">
        <v>532</v>
      </c>
      <c r="DC111" s="663" t="s">
        <v>1914</v>
      </c>
      <c r="DD111" s="529" t="s">
        <v>1318</v>
      </c>
    </row>
    <row r="112" spans="1:108" ht="12.75" x14ac:dyDescent="0.2">
      <c r="A112" s="664">
        <v>105</v>
      </c>
      <c r="B112" s="665" t="s">
        <v>93</v>
      </c>
      <c r="C112" s="666" t="s">
        <v>1201</v>
      </c>
      <c r="D112" s="667" t="s">
        <v>1202</v>
      </c>
      <c r="E112" s="668" t="s">
        <v>92</v>
      </c>
      <c r="F112" s="750">
        <v>24471506</v>
      </c>
      <c r="G112" s="751">
        <v>36675</v>
      </c>
      <c r="H112" s="751">
        <v>0</v>
      </c>
      <c r="I112" s="751">
        <v>90653</v>
      </c>
      <c r="J112" s="751">
        <v>0</v>
      </c>
      <c r="K112" s="751">
        <v>90653</v>
      </c>
      <c r="L112" s="751">
        <v>0</v>
      </c>
      <c r="M112" s="751">
        <v>333750</v>
      </c>
      <c r="N112" s="751">
        <v>0</v>
      </c>
      <c r="O112" s="751">
        <v>0</v>
      </c>
      <c r="P112" s="751">
        <v>0</v>
      </c>
      <c r="Q112" s="751">
        <v>0</v>
      </c>
      <c r="R112" s="751">
        <v>24083778</v>
      </c>
      <c r="S112" s="749">
        <v>0.5</v>
      </c>
      <c r="T112" s="749">
        <v>0.4</v>
      </c>
      <c r="U112" s="749">
        <v>0.09</v>
      </c>
      <c r="V112" s="749">
        <v>0.01</v>
      </c>
      <c r="W112" s="749">
        <v>1</v>
      </c>
      <c r="X112" s="751">
        <v>12041889</v>
      </c>
      <c r="Y112" s="751">
        <v>9633511</v>
      </c>
      <c r="Z112" s="751">
        <v>2167540</v>
      </c>
      <c r="AA112" s="751">
        <v>240838</v>
      </c>
      <c r="AB112" s="751">
        <v>24083778</v>
      </c>
      <c r="AC112" s="751">
        <v>41250</v>
      </c>
      <c r="AD112" s="751">
        <v>41250</v>
      </c>
      <c r="AE112" s="751">
        <v>12000639</v>
      </c>
      <c r="AF112" s="751">
        <v>9633511</v>
      </c>
      <c r="AG112" s="751">
        <v>2167540</v>
      </c>
      <c r="AH112" s="751">
        <v>240838</v>
      </c>
      <c r="AI112" s="751">
        <v>24042528</v>
      </c>
      <c r="AJ112" s="751">
        <v>90653</v>
      </c>
      <c r="AK112" s="751">
        <v>90653</v>
      </c>
      <c r="AL112" s="751">
        <v>333750</v>
      </c>
      <c r="AM112" s="751">
        <v>333750</v>
      </c>
      <c r="AN112" s="751">
        <v>0</v>
      </c>
      <c r="AO112" s="751">
        <v>0</v>
      </c>
      <c r="AP112" s="751">
        <v>0</v>
      </c>
      <c r="AQ112" s="751">
        <v>0</v>
      </c>
      <c r="AR112" s="751">
        <v>0</v>
      </c>
      <c r="AS112" s="751">
        <v>0</v>
      </c>
      <c r="AT112" s="751">
        <v>0</v>
      </c>
      <c r="AU112" s="751">
        <v>41250</v>
      </c>
      <c r="AV112" s="751">
        <v>0</v>
      </c>
      <c r="AW112" s="751">
        <v>0</v>
      </c>
      <c r="AX112" s="751">
        <v>41250</v>
      </c>
      <c r="AY112" s="751">
        <v>0</v>
      </c>
      <c r="AZ112" s="751">
        <v>0</v>
      </c>
      <c r="BA112" s="751">
        <v>0</v>
      </c>
      <c r="BB112" s="751">
        <v>0</v>
      </c>
      <c r="BC112" s="751">
        <v>-5856636</v>
      </c>
      <c r="BD112" s="751">
        <v>-4685309</v>
      </c>
      <c r="BE112" s="751">
        <v>-1054194</v>
      </c>
      <c r="BF112" s="751">
        <v>-117133</v>
      </c>
      <c r="BG112" s="751">
        <v>-11713271</v>
      </c>
      <c r="BH112" s="751">
        <v>6144003</v>
      </c>
      <c r="BI112" s="751">
        <v>5413855</v>
      </c>
      <c r="BJ112" s="751">
        <v>1113346</v>
      </c>
      <c r="BK112" s="751">
        <v>123705</v>
      </c>
      <c r="BL112" s="751">
        <v>12794910</v>
      </c>
      <c r="BM112" s="751">
        <v>521486</v>
      </c>
      <c r="BN112" s="751">
        <v>112938</v>
      </c>
      <c r="BO112" s="751">
        <v>12549</v>
      </c>
      <c r="BP112" s="751">
        <v>646973</v>
      </c>
      <c r="BQ112" s="751">
        <v>917966</v>
      </c>
      <c r="BR112" s="751">
        <v>206542</v>
      </c>
      <c r="BS112" s="751">
        <v>22949</v>
      </c>
      <c r="BT112" s="751">
        <v>1147457</v>
      </c>
      <c r="BU112" s="751">
        <v>34331</v>
      </c>
      <c r="BV112" s="751">
        <v>7724</v>
      </c>
      <c r="BW112" s="751">
        <v>858</v>
      </c>
      <c r="BX112" s="751">
        <v>42913</v>
      </c>
      <c r="BY112" s="751">
        <v>0</v>
      </c>
      <c r="BZ112" s="751">
        <v>0</v>
      </c>
      <c r="CA112" s="751">
        <v>0</v>
      </c>
      <c r="CB112" s="751">
        <v>0</v>
      </c>
      <c r="CC112" s="751">
        <v>2602</v>
      </c>
      <c r="CD112" s="751">
        <v>585</v>
      </c>
      <c r="CE112" s="751">
        <v>65</v>
      </c>
      <c r="CF112" s="751">
        <v>3252</v>
      </c>
      <c r="CG112" s="751">
        <v>6753</v>
      </c>
      <c r="CH112" s="751">
        <v>1519</v>
      </c>
      <c r="CI112" s="751">
        <v>169</v>
      </c>
      <c r="CJ112" s="751">
        <v>8441</v>
      </c>
      <c r="CK112" s="751">
        <v>0</v>
      </c>
      <c r="CL112" s="751">
        <v>0</v>
      </c>
      <c r="CM112" s="751">
        <v>0</v>
      </c>
      <c r="CN112" s="751">
        <v>0</v>
      </c>
      <c r="CO112" s="751">
        <v>0</v>
      </c>
      <c r="CP112" s="751">
        <v>0</v>
      </c>
      <c r="CQ112" s="751">
        <v>0</v>
      </c>
      <c r="CR112" s="751">
        <v>0</v>
      </c>
      <c r="CS112" s="751">
        <v>631</v>
      </c>
      <c r="CT112" s="751">
        <v>142</v>
      </c>
      <c r="CU112" s="751">
        <v>16</v>
      </c>
      <c r="CV112" s="751">
        <v>789</v>
      </c>
      <c r="CW112" s="751">
        <v>1483769</v>
      </c>
      <c r="CX112" s="751">
        <v>329450</v>
      </c>
      <c r="CY112" s="751">
        <v>36606</v>
      </c>
      <c r="CZ112" s="751">
        <v>1849825</v>
      </c>
      <c r="DA112" s="662" t="s">
        <v>92</v>
      </c>
      <c r="DB112" s="324" t="s">
        <v>543</v>
      </c>
      <c r="DC112" s="663" t="s">
        <v>542</v>
      </c>
      <c r="DD112" s="529" t="s">
        <v>1319</v>
      </c>
    </row>
    <row r="113" spans="1:108" ht="12.75" x14ac:dyDescent="0.2">
      <c r="A113" s="664">
        <v>106</v>
      </c>
      <c r="B113" s="665" t="s">
        <v>95</v>
      </c>
      <c r="C113" s="666" t="s">
        <v>1201</v>
      </c>
      <c r="D113" s="667" t="s">
        <v>1211</v>
      </c>
      <c r="E113" s="668" t="s">
        <v>94</v>
      </c>
      <c r="F113" s="750">
        <v>29664917</v>
      </c>
      <c r="G113" s="751">
        <v>0</v>
      </c>
      <c r="H113" s="751">
        <v>413084</v>
      </c>
      <c r="I113" s="751">
        <v>183992</v>
      </c>
      <c r="J113" s="751">
        <v>0</v>
      </c>
      <c r="K113" s="751">
        <v>183992</v>
      </c>
      <c r="L113" s="751">
        <v>0</v>
      </c>
      <c r="M113" s="751">
        <v>1096773</v>
      </c>
      <c r="N113" s="751">
        <v>62425</v>
      </c>
      <c r="O113" s="751">
        <v>62425</v>
      </c>
      <c r="P113" s="751">
        <v>0</v>
      </c>
      <c r="Q113" s="751">
        <v>0</v>
      </c>
      <c r="R113" s="751">
        <v>27908643</v>
      </c>
      <c r="S113" s="749">
        <v>0.5</v>
      </c>
      <c r="T113" s="749">
        <v>0.4</v>
      </c>
      <c r="U113" s="749">
        <v>0.1</v>
      </c>
      <c r="V113" s="749">
        <v>0</v>
      </c>
      <c r="W113" s="749">
        <v>1</v>
      </c>
      <c r="X113" s="751">
        <v>13954322</v>
      </c>
      <c r="Y113" s="751">
        <v>11163457</v>
      </c>
      <c r="Z113" s="751">
        <v>2790864</v>
      </c>
      <c r="AA113" s="751">
        <v>0</v>
      </c>
      <c r="AB113" s="751">
        <v>27908643</v>
      </c>
      <c r="AC113" s="751">
        <v>279800</v>
      </c>
      <c r="AD113" s="751">
        <v>279800</v>
      </c>
      <c r="AE113" s="751">
        <v>13674522</v>
      </c>
      <c r="AF113" s="751">
        <v>11163457</v>
      </c>
      <c r="AG113" s="751">
        <v>2790864</v>
      </c>
      <c r="AH113" s="751">
        <v>0</v>
      </c>
      <c r="AI113" s="751">
        <v>27628843</v>
      </c>
      <c r="AJ113" s="751">
        <v>183992</v>
      </c>
      <c r="AK113" s="751">
        <v>183992</v>
      </c>
      <c r="AL113" s="751">
        <v>1096773</v>
      </c>
      <c r="AM113" s="751">
        <v>1096773</v>
      </c>
      <c r="AN113" s="751">
        <v>62425</v>
      </c>
      <c r="AO113" s="751">
        <v>0</v>
      </c>
      <c r="AP113" s="751">
        <v>62425</v>
      </c>
      <c r="AQ113" s="751">
        <v>0</v>
      </c>
      <c r="AR113" s="751">
        <v>0</v>
      </c>
      <c r="AS113" s="751">
        <v>0</v>
      </c>
      <c r="AT113" s="751">
        <v>0</v>
      </c>
      <c r="AU113" s="751">
        <v>279800</v>
      </c>
      <c r="AV113" s="751">
        <v>0</v>
      </c>
      <c r="AW113" s="751">
        <v>0</v>
      </c>
      <c r="AX113" s="751">
        <v>279800</v>
      </c>
      <c r="AY113" s="751">
        <v>0</v>
      </c>
      <c r="AZ113" s="751">
        <v>0</v>
      </c>
      <c r="BA113" s="751">
        <v>0</v>
      </c>
      <c r="BB113" s="751">
        <v>0</v>
      </c>
      <c r="BC113" s="751">
        <v>-9142399</v>
      </c>
      <c r="BD113" s="751">
        <v>-7499082</v>
      </c>
      <c r="BE113" s="751">
        <v>-2054789</v>
      </c>
      <c r="BF113" s="751">
        <v>0</v>
      </c>
      <c r="BG113" s="751">
        <v>-18696270</v>
      </c>
      <c r="BH113" s="751">
        <v>4532123</v>
      </c>
      <c r="BI113" s="751">
        <v>5287365</v>
      </c>
      <c r="BJ113" s="751">
        <v>736075</v>
      </c>
      <c r="BK113" s="751">
        <v>0</v>
      </c>
      <c r="BL113" s="751">
        <v>10555563</v>
      </c>
      <c r="BM113" s="751">
        <v>656641</v>
      </c>
      <c r="BN113" s="751">
        <v>145416</v>
      </c>
      <c r="BO113" s="751">
        <v>0</v>
      </c>
      <c r="BP113" s="751">
        <v>802057</v>
      </c>
      <c r="BQ113" s="751">
        <v>1182818</v>
      </c>
      <c r="BR113" s="751">
        <v>295704</v>
      </c>
      <c r="BS113" s="751">
        <v>0</v>
      </c>
      <c r="BT113" s="751">
        <v>1478522</v>
      </c>
      <c r="BU113" s="751">
        <v>65049</v>
      </c>
      <c r="BV113" s="751">
        <v>15129</v>
      </c>
      <c r="BW113" s="751">
        <v>0</v>
      </c>
      <c r="BX113" s="751">
        <v>80178</v>
      </c>
      <c r="BY113" s="751">
        <v>3511</v>
      </c>
      <c r="BZ113" s="751">
        <v>878</v>
      </c>
      <c r="CA113" s="751">
        <v>0</v>
      </c>
      <c r="CB113" s="751">
        <v>4389</v>
      </c>
      <c r="CC113" s="751">
        <v>294</v>
      </c>
      <c r="CD113" s="751">
        <v>74</v>
      </c>
      <c r="CE113" s="751">
        <v>0</v>
      </c>
      <c r="CF113" s="751">
        <v>368</v>
      </c>
      <c r="CG113" s="751">
        <v>4855</v>
      </c>
      <c r="CH113" s="751">
        <v>1214</v>
      </c>
      <c r="CI113" s="751">
        <v>0</v>
      </c>
      <c r="CJ113" s="751">
        <v>6069</v>
      </c>
      <c r="CK113" s="751">
        <v>0</v>
      </c>
      <c r="CL113" s="751">
        <v>0</v>
      </c>
      <c r="CM113" s="751">
        <v>0</v>
      </c>
      <c r="CN113" s="751">
        <v>0</v>
      </c>
      <c r="CO113" s="751">
        <v>0</v>
      </c>
      <c r="CP113" s="751">
        <v>0</v>
      </c>
      <c r="CQ113" s="751">
        <v>0</v>
      </c>
      <c r="CR113" s="751">
        <v>0</v>
      </c>
      <c r="CS113" s="751">
        <v>0</v>
      </c>
      <c r="CT113" s="751">
        <v>0</v>
      </c>
      <c r="CU113" s="751">
        <v>0</v>
      </c>
      <c r="CV113" s="751">
        <v>0</v>
      </c>
      <c r="CW113" s="751">
        <v>1913168</v>
      </c>
      <c r="CX113" s="751">
        <v>458415</v>
      </c>
      <c r="CY113" s="751">
        <v>0</v>
      </c>
      <c r="CZ113" s="751">
        <v>2371583</v>
      </c>
      <c r="DA113" s="662" t="s">
        <v>94</v>
      </c>
      <c r="DB113" s="324" t="s">
        <v>553</v>
      </c>
      <c r="DC113" s="663" t="s">
        <v>512</v>
      </c>
      <c r="DD113" s="529" t="s">
        <v>1320</v>
      </c>
    </row>
    <row r="114" spans="1:108" ht="12.75" x14ac:dyDescent="0.2">
      <c r="A114" s="664">
        <v>107</v>
      </c>
      <c r="B114" s="665" t="s">
        <v>97</v>
      </c>
      <c r="C114" s="666" t="s">
        <v>1257</v>
      </c>
      <c r="D114" s="667" t="s">
        <v>1214</v>
      </c>
      <c r="E114" s="668" t="s">
        <v>96</v>
      </c>
      <c r="F114" s="750">
        <v>95462479</v>
      </c>
      <c r="G114" s="751">
        <v>22060</v>
      </c>
      <c r="H114" s="751">
        <v>0</v>
      </c>
      <c r="I114" s="751">
        <v>302601</v>
      </c>
      <c r="J114" s="751">
        <v>0</v>
      </c>
      <c r="K114" s="751">
        <v>302601</v>
      </c>
      <c r="L114" s="751">
        <v>0</v>
      </c>
      <c r="M114" s="751">
        <v>0</v>
      </c>
      <c r="N114" s="751">
        <v>0</v>
      </c>
      <c r="O114" s="751">
        <v>0</v>
      </c>
      <c r="P114" s="751">
        <v>0</v>
      </c>
      <c r="Q114" s="751">
        <v>0</v>
      </c>
      <c r="R114" s="751">
        <v>95181938</v>
      </c>
      <c r="S114" s="749">
        <v>0.33</v>
      </c>
      <c r="T114" s="749">
        <v>0.3</v>
      </c>
      <c r="U114" s="749">
        <v>0.37</v>
      </c>
      <c r="V114" s="749">
        <v>0</v>
      </c>
      <c r="W114" s="749">
        <v>1</v>
      </c>
      <c r="X114" s="751">
        <v>31410040</v>
      </c>
      <c r="Y114" s="751">
        <v>28554581</v>
      </c>
      <c r="Z114" s="751">
        <v>35217317</v>
      </c>
      <c r="AA114" s="751">
        <v>0</v>
      </c>
      <c r="AB114" s="751">
        <v>95181938</v>
      </c>
      <c r="AC114" s="751">
        <v>0</v>
      </c>
      <c r="AD114" s="751">
        <v>0</v>
      </c>
      <c r="AE114" s="751">
        <v>31410040</v>
      </c>
      <c r="AF114" s="751">
        <v>28554581</v>
      </c>
      <c r="AG114" s="751">
        <v>35217317</v>
      </c>
      <c r="AH114" s="751">
        <v>0</v>
      </c>
      <c r="AI114" s="751">
        <v>95181938</v>
      </c>
      <c r="AJ114" s="751">
        <v>302601</v>
      </c>
      <c r="AK114" s="751">
        <v>302601</v>
      </c>
      <c r="AL114" s="751">
        <v>0</v>
      </c>
      <c r="AM114" s="751">
        <v>0</v>
      </c>
      <c r="AN114" s="751">
        <v>0</v>
      </c>
      <c r="AO114" s="751">
        <v>0</v>
      </c>
      <c r="AP114" s="751">
        <v>0</v>
      </c>
      <c r="AQ114" s="751">
        <v>0</v>
      </c>
      <c r="AR114" s="751">
        <v>0</v>
      </c>
      <c r="AS114" s="751">
        <v>0</v>
      </c>
      <c r="AT114" s="751">
        <v>0</v>
      </c>
      <c r="AU114" s="751">
        <v>0</v>
      </c>
      <c r="AV114" s="751">
        <v>0</v>
      </c>
      <c r="AW114" s="751">
        <v>0</v>
      </c>
      <c r="AX114" s="751">
        <v>0</v>
      </c>
      <c r="AY114" s="751">
        <v>0</v>
      </c>
      <c r="AZ114" s="751">
        <v>0</v>
      </c>
      <c r="BA114" s="751">
        <v>0</v>
      </c>
      <c r="BB114" s="751">
        <v>0</v>
      </c>
      <c r="BC114" s="751">
        <v>-19939369</v>
      </c>
      <c r="BD114" s="751">
        <v>-18174041</v>
      </c>
      <c r="BE114" s="751">
        <v>-22354332</v>
      </c>
      <c r="BF114" s="751">
        <v>0</v>
      </c>
      <c r="BG114" s="751">
        <v>-60467742</v>
      </c>
      <c r="BH114" s="751">
        <v>11470671</v>
      </c>
      <c r="BI114" s="751">
        <v>10683141</v>
      </c>
      <c r="BJ114" s="751">
        <v>12862985</v>
      </c>
      <c r="BK114" s="751">
        <v>0</v>
      </c>
      <c r="BL114" s="751">
        <v>35016797</v>
      </c>
      <c r="BM114" s="751">
        <v>1487814</v>
      </c>
      <c r="BN114" s="751">
        <v>1834970</v>
      </c>
      <c r="BO114" s="751">
        <v>0</v>
      </c>
      <c r="BP114" s="751">
        <v>3322784</v>
      </c>
      <c r="BQ114" s="751">
        <v>1366608</v>
      </c>
      <c r="BR114" s="751">
        <v>1685483</v>
      </c>
      <c r="BS114" s="751">
        <v>0</v>
      </c>
      <c r="BT114" s="751">
        <v>3052091</v>
      </c>
      <c r="BU114" s="751">
        <v>69841</v>
      </c>
      <c r="BV114" s="751">
        <v>86137</v>
      </c>
      <c r="BW114" s="751">
        <v>0</v>
      </c>
      <c r="BX114" s="751">
        <v>155978</v>
      </c>
      <c r="BY114" s="751">
        <v>0</v>
      </c>
      <c r="BZ114" s="751">
        <v>0</v>
      </c>
      <c r="CA114" s="751">
        <v>0</v>
      </c>
      <c r="CB114" s="751">
        <v>0</v>
      </c>
      <c r="CC114" s="751">
        <v>0</v>
      </c>
      <c r="CD114" s="751">
        <v>0</v>
      </c>
      <c r="CE114" s="751">
        <v>0</v>
      </c>
      <c r="CF114" s="751">
        <v>0</v>
      </c>
      <c r="CG114" s="751">
        <v>0</v>
      </c>
      <c r="CH114" s="751">
        <v>0</v>
      </c>
      <c r="CI114" s="751">
        <v>0</v>
      </c>
      <c r="CJ114" s="751">
        <v>0</v>
      </c>
      <c r="CK114" s="751">
        <v>0</v>
      </c>
      <c r="CL114" s="751">
        <v>0</v>
      </c>
      <c r="CM114" s="751">
        <v>0</v>
      </c>
      <c r="CN114" s="751">
        <v>0</v>
      </c>
      <c r="CO114" s="751">
        <v>0</v>
      </c>
      <c r="CP114" s="751">
        <v>0</v>
      </c>
      <c r="CQ114" s="751">
        <v>0</v>
      </c>
      <c r="CR114" s="751">
        <v>0</v>
      </c>
      <c r="CS114" s="751">
        <v>0</v>
      </c>
      <c r="CT114" s="751">
        <v>0</v>
      </c>
      <c r="CU114" s="751">
        <v>0</v>
      </c>
      <c r="CV114" s="751">
        <v>0</v>
      </c>
      <c r="CW114" s="751">
        <v>2924263</v>
      </c>
      <c r="CX114" s="751">
        <v>3606590</v>
      </c>
      <c r="CY114" s="751">
        <v>0</v>
      </c>
      <c r="CZ114" s="751">
        <v>6530853</v>
      </c>
      <c r="DA114" s="662" t="s">
        <v>96</v>
      </c>
      <c r="DB114" s="324" t="s">
        <v>576</v>
      </c>
      <c r="DC114" s="669" t="s">
        <v>485</v>
      </c>
      <c r="DD114" s="529" t="s">
        <v>1321</v>
      </c>
    </row>
    <row r="115" spans="1:108" ht="12.75" x14ac:dyDescent="0.2">
      <c r="A115" s="664">
        <v>108</v>
      </c>
      <c r="B115" s="665" t="s">
        <v>99</v>
      </c>
      <c r="C115" s="666" t="s">
        <v>1201</v>
      </c>
      <c r="D115" s="667" t="s">
        <v>1202</v>
      </c>
      <c r="E115" s="668" t="s">
        <v>98</v>
      </c>
      <c r="F115" s="750">
        <v>84474232</v>
      </c>
      <c r="G115" s="751">
        <v>65864</v>
      </c>
      <c r="H115" s="751">
        <v>0</v>
      </c>
      <c r="I115" s="751">
        <v>222019</v>
      </c>
      <c r="J115" s="751">
        <v>0</v>
      </c>
      <c r="K115" s="751">
        <v>222019</v>
      </c>
      <c r="L115" s="751">
        <v>0</v>
      </c>
      <c r="M115" s="751">
        <v>0</v>
      </c>
      <c r="N115" s="751">
        <v>0</v>
      </c>
      <c r="O115" s="751">
        <v>0</v>
      </c>
      <c r="P115" s="751">
        <v>0</v>
      </c>
      <c r="Q115" s="751">
        <v>0</v>
      </c>
      <c r="R115" s="751">
        <v>84318077</v>
      </c>
      <c r="S115" s="749">
        <v>0.5</v>
      </c>
      <c r="T115" s="749">
        <v>0.4</v>
      </c>
      <c r="U115" s="749">
        <v>0.1</v>
      </c>
      <c r="V115" s="749">
        <v>0</v>
      </c>
      <c r="W115" s="749">
        <v>1</v>
      </c>
      <c r="X115" s="751">
        <v>42159038</v>
      </c>
      <c r="Y115" s="751">
        <v>33727231</v>
      </c>
      <c r="Z115" s="751">
        <v>8431808</v>
      </c>
      <c r="AA115" s="751">
        <v>0</v>
      </c>
      <c r="AB115" s="751">
        <v>84318077</v>
      </c>
      <c r="AC115" s="751">
        <v>0</v>
      </c>
      <c r="AD115" s="751">
        <v>0</v>
      </c>
      <c r="AE115" s="751">
        <v>42159038</v>
      </c>
      <c r="AF115" s="751">
        <v>33727231</v>
      </c>
      <c r="AG115" s="751">
        <v>8431808</v>
      </c>
      <c r="AH115" s="751">
        <v>0</v>
      </c>
      <c r="AI115" s="751">
        <v>84318077</v>
      </c>
      <c r="AJ115" s="751">
        <v>222019</v>
      </c>
      <c r="AK115" s="751">
        <v>222019</v>
      </c>
      <c r="AL115" s="751">
        <v>0</v>
      </c>
      <c r="AM115" s="751">
        <v>0</v>
      </c>
      <c r="AN115" s="751">
        <v>0</v>
      </c>
      <c r="AO115" s="751">
        <v>0</v>
      </c>
      <c r="AP115" s="751">
        <v>0</v>
      </c>
      <c r="AQ115" s="751">
        <v>0</v>
      </c>
      <c r="AR115" s="751">
        <v>0</v>
      </c>
      <c r="AS115" s="751">
        <v>0</v>
      </c>
      <c r="AT115" s="751">
        <v>0</v>
      </c>
      <c r="AU115" s="751">
        <v>0</v>
      </c>
      <c r="AV115" s="751">
        <v>0</v>
      </c>
      <c r="AW115" s="751">
        <v>0</v>
      </c>
      <c r="AX115" s="751">
        <v>0</v>
      </c>
      <c r="AY115" s="751">
        <v>0</v>
      </c>
      <c r="AZ115" s="751">
        <v>0</v>
      </c>
      <c r="BA115" s="751">
        <v>0</v>
      </c>
      <c r="BB115" s="751">
        <v>0</v>
      </c>
      <c r="BC115" s="751">
        <v>-25150097</v>
      </c>
      <c r="BD115" s="751">
        <v>-20120077</v>
      </c>
      <c r="BE115" s="751">
        <v>-5030019</v>
      </c>
      <c r="BF115" s="751">
        <v>0</v>
      </c>
      <c r="BG115" s="751">
        <v>-50300193</v>
      </c>
      <c r="BH115" s="751">
        <v>17008942</v>
      </c>
      <c r="BI115" s="751">
        <v>13829173</v>
      </c>
      <c r="BJ115" s="751">
        <v>3401789</v>
      </c>
      <c r="BK115" s="751">
        <v>0</v>
      </c>
      <c r="BL115" s="751">
        <v>34239903</v>
      </c>
      <c r="BM115" s="751">
        <v>1757331</v>
      </c>
      <c r="BN115" s="751">
        <v>439333</v>
      </c>
      <c r="BO115" s="751">
        <v>0</v>
      </c>
      <c r="BP115" s="751">
        <v>2196664</v>
      </c>
      <c r="BQ115" s="751">
        <v>1078702</v>
      </c>
      <c r="BR115" s="751">
        <v>269676</v>
      </c>
      <c r="BS115" s="751">
        <v>0</v>
      </c>
      <c r="BT115" s="751">
        <v>1348378</v>
      </c>
      <c r="BU115" s="751">
        <v>116895</v>
      </c>
      <c r="BV115" s="751">
        <v>29224</v>
      </c>
      <c r="BW115" s="751">
        <v>0</v>
      </c>
      <c r="BX115" s="751">
        <v>146119</v>
      </c>
      <c r="BY115" s="751">
        <v>980</v>
      </c>
      <c r="BZ115" s="751">
        <v>245</v>
      </c>
      <c r="CA115" s="751">
        <v>0</v>
      </c>
      <c r="CB115" s="751">
        <v>1225</v>
      </c>
      <c r="CC115" s="751">
        <v>5702</v>
      </c>
      <c r="CD115" s="751">
        <v>1425</v>
      </c>
      <c r="CE115" s="751">
        <v>0</v>
      </c>
      <c r="CF115" s="751">
        <v>7127</v>
      </c>
      <c r="CG115" s="751">
        <v>7222</v>
      </c>
      <c r="CH115" s="751">
        <v>1805</v>
      </c>
      <c r="CI115" s="751">
        <v>0</v>
      </c>
      <c r="CJ115" s="751">
        <v>9027</v>
      </c>
      <c r="CK115" s="751">
        <v>0</v>
      </c>
      <c r="CL115" s="751">
        <v>0</v>
      </c>
      <c r="CM115" s="751">
        <v>0</v>
      </c>
      <c r="CN115" s="751">
        <v>0</v>
      </c>
      <c r="CO115" s="751">
        <v>0</v>
      </c>
      <c r="CP115" s="751">
        <v>0</v>
      </c>
      <c r="CQ115" s="751">
        <v>0</v>
      </c>
      <c r="CR115" s="751">
        <v>0</v>
      </c>
      <c r="CS115" s="751">
        <v>0</v>
      </c>
      <c r="CT115" s="751">
        <v>0</v>
      </c>
      <c r="CU115" s="751">
        <v>0</v>
      </c>
      <c r="CV115" s="751">
        <v>0</v>
      </c>
      <c r="CW115" s="751">
        <v>2966832</v>
      </c>
      <c r="CX115" s="751">
        <v>741708</v>
      </c>
      <c r="CY115" s="751">
        <v>0</v>
      </c>
      <c r="CZ115" s="751">
        <v>3708540</v>
      </c>
      <c r="DA115" s="662" t="s">
        <v>98</v>
      </c>
      <c r="DB115" s="324" t="s">
        <v>566</v>
      </c>
      <c r="DC115" s="663" t="s">
        <v>512</v>
      </c>
      <c r="DD115" s="529" t="s">
        <v>1322</v>
      </c>
    </row>
    <row r="116" spans="1:108" ht="12.75" x14ac:dyDescent="0.2">
      <c r="A116" s="664">
        <v>109</v>
      </c>
      <c r="B116" s="665" t="s">
        <v>101</v>
      </c>
      <c r="C116" s="666" t="s">
        <v>1257</v>
      </c>
      <c r="D116" s="667" t="s">
        <v>1214</v>
      </c>
      <c r="E116" s="668" t="s">
        <v>100</v>
      </c>
      <c r="F116" s="750">
        <v>141964961</v>
      </c>
      <c r="G116" s="751">
        <v>4343000</v>
      </c>
      <c r="H116" s="751">
        <v>0</v>
      </c>
      <c r="I116" s="751">
        <v>596235</v>
      </c>
      <c r="J116" s="751">
        <v>0</v>
      </c>
      <c r="K116" s="751">
        <v>596235</v>
      </c>
      <c r="L116" s="751">
        <v>0</v>
      </c>
      <c r="M116" s="751">
        <v>0</v>
      </c>
      <c r="N116" s="751">
        <v>0</v>
      </c>
      <c r="O116" s="751">
        <v>0</v>
      </c>
      <c r="P116" s="751">
        <v>0</v>
      </c>
      <c r="Q116" s="751">
        <v>0</v>
      </c>
      <c r="R116" s="751">
        <v>145711726</v>
      </c>
      <c r="S116" s="749">
        <v>0.33</v>
      </c>
      <c r="T116" s="749">
        <v>0.3</v>
      </c>
      <c r="U116" s="749">
        <v>0.37</v>
      </c>
      <c r="V116" s="749">
        <v>0</v>
      </c>
      <c r="W116" s="749">
        <v>1</v>
      </c>
      <c r="X116" s="751">
        <v>48084869</v>
      </c>
      <c r="Y116" s="751">
        <v>43713518</v>
      </c>
      <c r="Z116" s="751">
        <v>53913339</v>
      </c>
      <c r="AA116" s="751">
        <v>0</v>
      </c>
      <c r="AB116" s="751">
        <v>145711726</v>
      </c>
      <c r="AC116" s="751">
        <v>0</v>
      </c>
      <c r="AD116" s="751">
        <v>0</v>
      </c>
      <c r="AE116" s="751">
        <v>48084869</v>
      </c>
      <c r="AF116" s="751">
        <v>43713518</v>
      </c>
      <c r="AG116" s="751">
        <v>53913339</v>
      </c>
      <c r="AH116" s="751">
        <v>0</v>
      </c>
      <c r="AI116" s="751">
        <v>145711726</v>
      </c>
      <c r="AJ116" s="751">
        <v>596235</v>
      </c>
      <c r="AK116" s="751">
        <v>596235</v>
      </c>
      <c r="AL116" s="751">
        <v>0</v>
      </c>
      <c r="AM116" s="751">
        <v>0</v>
      </c>
      <c r="AN116" s="751">
        <v>0</v>
      </c>
      <c r="AO116" s="751">
        <v>0</v>
      </c>
      <c r="AP116" s="751">
        <v>0</v>
      </c>
      <c r="AQ116" s="751">
        <v>0</v>
      </c>
      <c r="AR116" s="751">
        <v>0</v>
      </c>
      <c r="AS116" s="751">
        <v>0</v>
      </c>
      <c r="AT116" s="751">
        <v>0</v>
      </c>
      <c r="AU116" s="751">
        <v>0</v>
      </c>
      <c r="AV116" s="751">
        <v>0</v>
      </c>
      <c r="AW116" s="751">
        <v>0</v>
      </c>
      <c r="AX116" s="751">
        <v>0</v>
      </c>
      <c r="AY116" s="751">
        <v>0</v>
      </c>
      <c r="AZ116" s="751">
        <v>0</v>
      </c>
      <c r="BA116" s="751">
        <v>0</v>
      </c>
      <c r="BB116" s="751">
        <v>0</v>
      </c>
      <c r="BC116" s="751">
        <v>-18231389</v>
      </c>
      <c r="BD116" s="751">
        <v>-16571170</v>
      </c>
      <c r="BE116" s="751">
        <v>-20441369</v>
      </c>
      <c r="BF116" s="751">
        <v>0</v>
      </c>
      <c r="BG116" s="751">
        <v>-55243928</v>
      </c>
      <c r="BH116" s="751">
        <v>29853480</v>
      </c>
      <c r="BI116" s="751">
        <v>27738583</v>
      </c>
      <c r="BJ116" s="751">
        <v>33471970</v>
      </c>
      <c r="BK116" s="751">
        <v>0</v>
      </c>
      <c r="BL116" s="751">
        <v>91064033</v>
      </c>
      <c r="BM116" s="751">
        <v>2277658</v>
      </c>
      <c r="BN116" s="751">
        <v>2809112</v>
      </c>
      <c r="BO116" s="751">
        <v>0</v>
      </c>
      <c r="BP116" s="751">
        <v>5086770</v>
      </c>
      <c r="BQ116" s="751">
        <v>2547283</v>
      </c>
      <c r="BR116" s="751">
        <v>3141649</v>
      </c>
      <c r="BS116" s="751">
        <v>0</v>
      </c>
      <c r="BT116" s="751">
        <v>5688932</v>
      </c>
      <c r="BU116" s="751">
        <v>181519</v>
      </c>
      <c r="BV116" s="751">
        <v>223874</v>
      </c>
      <c r="BW116" s="751">
        <v>0</v>
      </c>
      <c r="BX116" s="751">
        <v>405393</v>
      </c>
      <c r="BY116" s="751">
        <v>0</v>
      </c>
      <c r="BZ116" s="751">
        <v>0</v>
      </c>
      <c r="CA116" s="751">
        <v>0</v>
      </c>
      <c r="CB116" s="751">
        <v>0</v>
      </c>
      <c r="CC116" s="751">
        <v>0</v>
      </c>
      <c r="CD116" s="751">
        <v>0</v>
      </c>
      <c r="CE116" s="751">
        <v>0</v>
      </c>
      <c r="CF116" s="751">
        <v>0</v>
      </c>
      <c r="CG116" s="751">
        <v>189379</v>
      </c>
      <c r="CH116" s="751">
        <v>233567</v>
      </c>
      <c r="CI116" s="751">
        <v>0</v>
      </c>
      <c r="CJ116" s="751">
        <v>422946</v>
      </c>
      <c r="CK116" s="751">
        <v>0</v>
      </c>
      <c r="CL116" s="751">
        <v>0</v>
      </c>
      <c r="CM116" s="751">
        <v>0</v>
      </c>
      <c r="CN116" s="751">
        <v>0</v>
      </c>
      <c r="CO116" s="751">
        <v>0</v>
      </c>
      <c r="CP116" s="751">
        <v>0</v>
      </c>
      <c r="CQ116" s="751">
        <v>0</v>
      </c>
      <c r="CR116" s="751">
        <v>0</v>
      </c>
      <c r="CS116" s="751">
        <v>0</v>
      </c>
      <c r="CT116" s="751">
        <v>0</v>
      </c>
      <c r="CU116" s="751">
        <v>0</v>
      </c>
      <c r="CV116" s="751">
        <v>0</v>
      </c>
      <c r="CW116" s="751">
        <v>5195839</v>
      </c>
      <c r="CX116" s="751">
        <v>6408202</v>
      </c>
      <c r="CY116" s="751">
        <v>0</v>
      </c>
      <c r="CZ116" s="751">
        <v>11604041</v>
      </c>
      <c r="DA116" s="662" t="s">
        <v>100</v>
      </c>
      <c r="DB116" s="324" t="s">
        <v>576</v>
      </c>
      <c r="DC116" s="669" t="s">
        <v>485</v>
      </c>
      <c r="DD116" s="529" t="s">
        <v>1323</v>
      </c>
    </row>
    <row r="117" spans="1:108" ht="12.75" x14ac:dyDescent="0.2">
      <c r="A117" s="664">
        <v>110</v>
      </c>
      <c r="B117" s="665" t="s">
        <v>103</v>
      </c>
      <c r="C117" s="666" t="s">
        <v>486</v>
      </c>
      <c r="D117" s="667" t="s">
        <v>1204</v>
      </c>
      <c r="E117" s="668" t="s">
        <v>504</v>
      </c>
      <c r="F117" s="750">
        <v>55965476</v>
      </c>
      <c r="G117" s="751">
        <v>0</v>
      </c>
      <c r="H117" s="751">
        <v>1385986</v>
      </c>
      <c r="I117" s="751">
        <v>154359</v>
      </c>
      <c r="J117" s="751">
        <v>0</v>
      </c>
      <c r="K117" s="751">
        <v>154359</v>
      </c>
      <c r="L117" s="751">
        <v>0</v>
      </c>
      <c r="M117" s="751">
        <v>211267</v>
      </c>
      <c r="N117" s="751">
        <v>0</v>
      </c>
      <c r="O117" s="751">
        <v>0</v>
      </c>
      <c r="P117" s="751">
        <v>0</v>
      </c>
      <c r="Q117" s="751">
        <v>0</v>
      </c>
      <c r="R117" s="751">
        <v>54213864</v>
      </c>
      <c r="S117" s="749">
        <v>0</v>
      </c>
      <c r="T117" s="749">
        <v>0.99</v>
      </c>
      <c r="U117" s="749">
        <v>0</v>
      </c>
      <c r="V117" s="749">
        <v>0.01</v>
      </c>
      <c r="W117" s="749">
        <v>1</v>
      </c>
      <c r="X117" s="751">
        <v>0</v>
      </c>
      <c r="Y117" s="751">
        <v>53671725</v>
      </c>
      <c r="Z117" s="751">
        <v>0</v>
      </c>
      <c r="AA117" s="751">
        <v>542139</v>
      </c>
      <c r="AB117" s="751">
        <v>54213864</v>
      </c>
      <c r="AC117" s="751">
        <v>0</v>
      </c>
      <c r="AD117" s="751">
        <v>0</v>
      </c>
      <c r="AE117" s="751">
        <v>0</v>
      </c>
      <c r="AF117" s="751">
        <v>53671725</v>
      </c>
      <c r="AG117" s="751">
        <v>0</v>
      </c>
      <c r="AH117" s="751">
        <v>542139</v>
      </c>
      <c r="AI117" s="751">
        <v>54213864</v>
      </c>
      <c r="AJ117" s="751">
        <v>154359</v>
      </c>
      <c r="AK117" s="751">
        <v>154359</v>
      </c>
      <c r="AL117" s="751">
        <v>211267</v>
      </c>
      <c r="AM117" s="751">
        <v>211267</v>
      </c>
      <c r="AN117" s="751">
        <v>0</v>
      </c>
      <c r="AO117" s="751">
        <v>0</v>
      </c>
      <c r="AP117" s="751">
        <v>0</v>
      </c>
      <c r="AQ117" s="751">
        <v>0</v>
      </c>
      <c r="AR117" s="751">
        <v>0</v>
      </c>
      <c r="AS117" s="751">
        <v>0</v>
      </c>
      <c r="AT117" s="751">
        <v>0</v>
      </c>
      <c r="AU117" s="751">
        <v>0</v>
      </c>
      <c r="AV117" s="751">
        <v>0</v>
      </c>
      <c r="AW117" s="751">
        <v>0</v>
      </c>
      <c r="AX117" s="751">
        <v>0</v>
      </c>
      <c r="AY117" s="751">
        <v>0</v>
      </c>
      <c r="AZ117" s="751">
        <v>0</v>
      </c>
      <c r="BA117" s="751">
        <v>0</v>
      </c>
      <c r="BB117" s="751">
        <v>0</v>
      </c>
      <c r="BC117" s="751">
        <v>0</v>
      </c>
      <c r="BD117" s="751">
        <v>-17892266</v>
      </c>
      <c r="BE117" s="751">
        <v>0</v>
      </c>
      <c r="BF117" s="751">
        <v>-180730</v>
      </c>
      <c r="BG117" s="751">
        <v>-18072996</v>
      </c>
      <c r="BH117" s="751">
        <v>0</v>
      </c>
      <c r="BI117" s="751">
        <v>36145085</v>
      </c>
      <c r="BJ117" s="751">
        <v>0</v>
      </c>
      <c r="BK117" s="751">
        <v>361409</v>
      </c>
      <c r="BL117" s="751">
        <v>36506494</v>
      </c>
      <c r="BM117" s="751">
        <v>2807531</v>
      </c>
      <c r="BN117" s="751">
        <v>0</v>
      </c>
      <c r="BO117" s="751">
        <v>28248</v>
      </c>
      <c r="BP117" s="751">
        <v>2835779</v>
      </c>
      <c r="BQ117" s="751">
        <v>2434996</v>
      </c>
      <c r="BR117" s="751">
        <v>0</v>
      </c>
      <c r="BS117" s="751">
        <v>24596</v>
      </c>
      <c r="BT117" s="751">
        <v>2459592</v>
      </c>
      <c r="BU117" s="751">
        <v>215678</v>
      </c>
      <c r="BV117" s="751">
        <v>0</v>
      </c>
      <c r="BW117" s="751">
        <v>2131</v>
      </c>
      <c r="BX117" s="751">
        <v>217809</v>
      </c>
      <c r="BY117" s="751">
        <v>24822</v>
      </c>
      <c r="BZ117" s="751">
        <v>0</v>
      </c>
      <c r="CA117" s="751">
        <v>251</v>
      </c>
      <c r="CB117" s="751">
        <v>25073</v>
      </c>
      <c r="CC117" s="751">
        <v>0</v>
      </c>
      <c r="CD117" s="751">
        <v>0</v>
      </c>
      <c r="CE117" s="751">
        <v>0</v>
      </c>
      <c r="CF117" s="751">
        <v>0</v>
      </c>
      <c r="CG117" s="751">
        <v>10702</v>
      </c>
      <c r="CH117" s="751">
        <v>0</v>
      </c>
      <c r="CI117" s="751">
        <v>108</v>
      </c>
      <c r="CJ117" s="751">
        <v>10810</v>
      </c>
      <c r="CK117" s="751">
        <v>209140</v>
      </c>
      <c r="CL117" s="751">
        <v>0</v>
      </c>
      <c r="CM117" s="751">
        <v>197</v>
      </c>
      <c r="CN117" s="751">
        <v>209337</v>
      </c>
      <c r="CO117" s="751">
        <v>0</v>
      </c>
      <c r="CP117" s="751">
        <v>0</v>
      </c>
      <c r="CQ117" s="751">
        <v>0</v>
      </c>
      <c r="CR117" s="751">
        <v>0</v>
      </c>
      <c r="CS117" s="751">
        <v>0</v>
      </c>
      <c r="CT117" s="751">
        <v>0</v>
      </c>
      <c r="CU117" s="751">
        <v>0</v>
      </c>
      <c r="CV117" s="751">
        <v>0</v>
      </c>
      <c r="CW117" s="751">
        <v>5702869</v>
      </c>
      <c r="CX117" s="751">
        <v>0</v>
      </c>
      <c r="CY117" s="751">
        <v>55531</v>
      </c>
      <c r="CZ117" s="751">
        <v>5758400</v>
      </c>
      <c r="DA117" s="662" t="s">
        <v>504</v>
      </c>
      <c r="DB117" s="324" t="s">
        <v>486</v>
      </c>
      <c r="DC117" s="663" t="s">
        <v>505</v>
      </c>
      <c r="DD117" s="529" t="s">
        <v>1324</v>
      </c>
    </row>
    <row r="118" spans="1:108" ht="12.75" x14ac:dyDescent="0.2">
      <c r="A118" s="664">
        <v>111</v>
      </c>
      <c r="B118" s="665" t="s">
        <v>105</v>
      </c>
      <c r="C118" s="666" t="s">
        <v>1201</v>
      </c>
      <c r="D118" s="667" t="s">
        <v>1218</v>
      </c>
      <c r="E118" s="668" t="s">
        <v>104</v>
      </c>
      <c r="F118" s="750">
        <v>28799493</v>
      </c>
      <c r="G118" s="751">
        <v>117806</v>
      </c>
      <c r="H118" s="751">
        <v>0</v>
      </c>
      <c r="I118" s="751">
        <v>156796</v>
      </c>
      <c r="J118" s="751">
        <v>0</v>
      </c>
      <c r="K118" s="751">
        <v>156796</v>
      </c>
      <c r="L118" s="751">
        <v>0</v>
      </c>
      <c r="M118" s="751">
        <v>0</v>
      </c>
      <c r="N118" s="751">
        <v>155459</v>
      </c>
      <c r="O118" s="751">
        <v>155459</v>
      </c>
      <c r="P118" s="751">
        <v>0</v>
      </c>
      <c r="Q118" s="751">
        <v>0</v>
      </c>
      <c r="R118" s="751">
        <v>28605044</v>
      </c>
      <c r="S118" s="749">
        <v>0.5</v>
      </c>
      <c r="T118" s="749">
        <v>0.4</v>
      </c>
      <c r="U118" s="749">
        <v>0.09</v>
      </c>
      <c r="V118" s="749">
        <v>0.01</v>
      </c>
      <c r="W118" s="749">
        <v>1</v>
      </c>
      <c r="X118" s="751">
        <v>14302522</v>
      </c>
      <c r="Y118" s="751">
        <v>11442018</v>
      </c>
      <c r="Z118" s="751">
        <v>2574454</v>
      </c>
      <c r="AA118" s="751">
        <v>286050</v>
      </c>
      <c r="AB118" s="751">
        <v>28605044</v>
      </c>
      <c r="AC118" s="751">
        <v>0</v>
      </c>
      <c r="AD118" s="751">
        <v>0</v>
      </c>
      <c r="AE118" s="751">
        <v>14302522</v>
      </c>
      <c r="AF118" s="751">
        <v>11442018</v>
      </c>
      <c r="AG118" s="751">
        <v>2574454</v>
      </c>
      <c r="AH118" s="751">
        <v>286050</v>
      </c>
      <c r="AI118" s="751">
        <v>28605044</v>
      </c>
      <c r="AJ118" s="751">
        <v>156796</v>
      </c>
      <c r="AK118" s="751">
        <v>156796</v>
      </c>
      <c r="AL118" s="751">
        <v>0</v>
      </c>
      <c r="AM118" s="751">
        <v>0</v>
      </c>
      <c r="AN118" s="751">
        <v>155459</v>
      </c>
      <c r="AO118" s="751">
        <v>0</v>
      </c>
      <c r="AP118" s="751">
        <v>155459</v>
      </c>
      <c r="AQ118" s="751">
        <v>0</v>
      </c>
      <c r="AR118" s="751">
        <v>0</v>
      </c>
      <c r="AS118" s="751">
        <v>0</v>
      </c>
      <c r="AT118" s="751">
        <v>0</v>
      </c>
      <c r="AU118" s="751">
        <v>0</v>
      </c>
      <c r="AV118" s="751">
        <v>0</v>
      </c>
      <c r="AW118" s="751">
        <v>0</v>
      </c>
      <c r="AX118" s="751">
        <v>0</v>
      </c>
      <c r="AY118" s="751">
        <v>0</v>
      </c>
      <c r="AZ118" s="751">
        <v>0</v>
      </c>
      <c r="BA118" s="751">
        <v>0</v>
      </c>
      <c r="BB118" s="751">
        <v>0</v>
      </c>
      <c r="BC118" s="751">
        <v>-5632017</v>
      </c>
      <c r="BD118" s="751">
        <v>-4500267</v>
      </c>
      <c r="BE118" s="751">
        <v>-1010966</v>
      </c>
      <c r="BF118" s="751">
        <v>-112558</v>
      </c>
      <c r="BG118" s="751">
        <v>-11255809</v>
      </c>
      <c r="BH118" s="751">
        <v>8670505</v>
      </c>
      <c r="BI118" s="751">
        <v>7254006</v>
      </c>
      <c r="BJ118" s="751">
        <v>1563488</v>
      </c>
      <c r="BK118" s="751">
        <v>173492</v>
      </c>
      <c r="BL118" s="751">
        <v>17661490</v>
      </c>
      <c r="BM118" s="751">
        <v>604277</v>
      </c>
      <c r="BN118" s="751">
        <v>134140</v>
      </c>
      <c r="BO118" s="751">
        <v>14904</v>
      </c>
      <c r="BP118" s="751">
        <v>753321</v>
      </c>
      <c r="BQ118" s="751">
        <v>1536315</v>
      </c>
      <c r="BR118" s="751">
        <v>345671</v>
      </c>
      <c r="BS118" s="751">
        <v>38408</v>
      </c>
      <c r="BT118" s="751">
        <v>1920394</v>
      </c>
      <c r="BU118" s="751">
        <v>64819</v>
      </c>
      <c r="BV118" s="751">
        <v>14584</v>
      </c>
      <c r="BW118" s="751">
        <v>1620</v>
      </c>
      <c r="BX118" s="751">
        <v>81023</v>
      </c>
      <c r="BY118" s="751">
        <v>1848</v>
      </c>
      <c r="BZ118" s="751">
        <v>416</v>
      </c>
      <c r="CA118" s="751">
        <v>46</v>
      </c>
      <c r="CB118" s="751">
        <v>2310</v>
      </c>
      <c r="CC118" s="751">
        <v>23784</v>
      </c>
      <c r="CD118" s="751">
        <v>5351</v>
      </c>
      <c r="CE118" s="751">
        <v>595</v>
      </c>
      <c r="CF118" s="751">
        <v>29730</v>
      </c>
      <c r="CG118" s="751">
        <v>14469</v>
      </c>
      <c r="CH118" s="751">
        <v>3256</v>
      </c>
      <c r="CI118" s="751">
        <v>362</v>
      </c>
      <c r="CJ118" s="751">
        <v>18087</v>
      </c>
      <c r="CK118" s="751">
        <v>0</v>
      </c>
      <c r="CL118" s="751">
        <v>0</v>
      </c>
      <c r="CM118" s="751">
        <v>0</v>
      </c>
      <c r="CN118" s="751">
        <v>0</v>
      </c>
      <c r="CO118" s="751">
        <v>0</v>
      </c>
      <c r="CP118" s="751">
        <v>0</v>
      </c>
      <c r="CQ118" s="751">
        <v>0</v>
      </c>
      <c r="CR118" s="751">
        <v>0</v>
      </c>
      <c r="CS118" s="751">
        <v>0</v>
      </c>
      <c r="CT118" s="751">
        <v>0</v>
      </c>
      <c r="CU118" s="751">
        <v>0</v>
      </c>
      <c r="CV118" s="751">
        <v>0</v>
      </c>
      <c r="CW118" s="751">
        <v>2245512</v>
      </c>
      <c r="CX118" s="751">
        <v>503418</v>
      </c>
      <c r="CY118" s="751">
        <v>55935</v>
      </c>
      <c r="CZ118" s="751">
        <v>2804865</v>
      </c>
      <c r="DA118" s="662" t="s">
        <v>104</v>
      </c>
      <c r="DB118" s="324" t="s">
        <v>556</v>
      </c>
      <c r="DC118" s="663" t="s">
        <v>555</v>
      </c>
      <c r="DD118" s="529" t="s">
        <v>1325</v>
      </c>
    </row>
    <row r="119" spans="1:108" ht="12.75" x14ac:dyDescent="0.2">
      <c r="A119" s="664">
        <v>112</v>
      </c>
      <c r="B119" s="665" t="s">
        <v>107</v>
      </c>
      <c r="C119" s="666" t="s">
        <v>1257</v>
      </c>
      <c r="D119" s="667" t="s">
        <v>1214</v>
      </c>
      <c r="E119" s="668" t="s">
        <v>106</v>
      </c>
      <c r="F119" s="750">
        <v>227260306</v>
      </c>
      <c r="G119" s="751">
        <v>468274</v>
      </c>
      <c r="H119" s="751">
        <v>0</v>
      </c>
      <c r="I119" s="751">
        <v>588831</v>
      </c>
      <c r="J119" s="751">
        <v>0</v>
      </c>
      <c r="K119" s="751">
        <v>588831</v>
      </c>
      <c r="L119" s="751">
        <v>0</v>
      </c>
      <c r="M119" s="751">
        <v>0</v>
      </c>
      <c r="N119" s="751">
        <v>0</v>
      </c>
      <c r="O119" s="751">
        <v>0</v>
      </c>
      <c r="P119" s="751">
        <v>0</v>
      </c>
      <c r="Q119" s="751">
        <v>0</v>
      </c>
      <c r="R119" s="751">
        <v>227139749</v>
      </c>
      <c r="S119" s="749">
        <v>0.33</v>
      </c>
      <c r="T119" s="749">
        <v>0.3</v>
      </c>
      <c r="U119" s="749">
        <v>0.37</v>
      </c>
      <c r="V119" s="749">
        <v>0</v>
      </c>
      <c r="W119" s="749">
        <v>1</v>
      </c>
      <c r="X119" s="751">
        <v>74956117</v>
      </c>
      <c r="Y119" s="751">
        <v>68141925</v>
      </c>
      <c r="Z119" s="751">
        <v>84041707</v>
      </c>
      <c r="AA119" s="751">
        <v>0</v>
      </c>
      <c r="AB119" s="751">
        <v>227139749</v>
      </c>
      <c r="AC119" s="751">
        <v>0</v>
      </c>
      <c r="AD119" s="751">
        <v>0</v>
      </c>
      <c r="AE119" s="751">
        <v>74956117</v>
      </c>
      <c r="AF119" s="751">
        <v>68141925</v>
      </c>
      <c r="AG119" s="751">
        <v>84041707</v>
      </c>
      <c r="AH119" s="751">
        <v>0</v>
      </c>
      <c r="AI119" s="751">
        <v>227139749</v>
      </c>
      <c r="AJ119" s="751">
        <v>588831</v>
      </c>
      <c r="AK119" s="751">
        <v>588831</v>
      </c>
      <c r="AL119" s="751">
        <v>0</v>
      </c>
      <c r="AM119" s="751">
        <v>0</v>
      </c>
      <c r="AN119" s="751">
        <v>0</v>
      </c>
      <c r="AO119" s="751">
        <v>0</v>
      </c>
      <c r="AP119" s="751">
        <v>0</v>
      </c>
      <c r="AQ119" s="751">
        <v>0</v>
      </c>
      <c r="AR119" s="751">
        <v>0</v>
      </c>
      <c r="AS119" s="751">
        <v>0</v>
      </c>
      <c r="AT119" s="751">
        <v>0</v>
      </c>
      <c r="AU119" s="751">
        <v>0</v>
      </c>
      <c r="AV119" s="751">
        <v>0</v>
      </c>
      <c r="AW119" s="751">
        <v>0</v>
      </c>
      <c r="AX119" s="751">
        <v>0</v>
      </c>
      <c r="AY119" s="751">
        <v>0</v>
      </c>
      <c r="AZ119" s="751">
        <v>0</v>
      </c>
      <c r="BA119" s="751">
        <v>0</v>
      </c>
      <c r="BB119" s="751">
        <v>0</v>
      </c>
      <c r="BC119" s="751">
        <v>-42629838</v>
      </c>
      <c r="BD119" s="751">
        <v>-39020874</v>
      </c>
      <c r="BE119" s="751">
        <v>-47786228</v>
      </c>
      <c r="BF119" s="751">
        <v>0</v>
      </c>
      <c r="BG119" s="751">
        <v>-129436940</v>
      </c>
      <c r="BH119" s="751">
        <v>32326279</v>
      </c>
      <c r="BI119" s="751">
        <v>29709882</v>
      </c>
      <c r="BJ119" s="751">
        <v>36255479</v>
      </c>
      <c r="BK119" s="751">
        <v>0</v>
      </c>
      <c r="BL119" s="751">
        <v>98291640</v>
      </c>
      <c r="BM119" s="751">
        <v>3550481</v>
      </c>
      <c r="BN119" s="751">
        <v>4378927</v>
      </c>
      <c r="BO119" s="751">
        <v>0</v>
      </c>
      <c r="BP119" s="751">
        <v>7929408</v>
      </c>
      <c r="BQ119" s="751">
        <v>1378968</v>
      </c>
      <c r="BR119" s="751">
        <v>1700728</v>
      </c>
      <c r="BS119" s="751">
        <v>0</v>
      </c>
      <c r="BT119" s="751">
        <v>3079696</v>
      </c>
      <c r="BU119" s="751">
        <v>148355</v>
      </c>
      <c r="BV119" s="751">
        <v>182971</v>
      </c>
      <c r="BW119" s="751">
        <v>0</v>
      </c>
      <c r="BX119" s="751">
        <v>331326</v>
      </c>
      <c r="BY119" s="751">
        <v>1861</v>
      </c>
      <c r="BZ119" s="751">
        <v>2294</v>
      </c>
      <c r="CA119" s="751">
        <v>0</v>
      </c>
      <c r="CB119" s="751">
        <v>4155</v>
      </c>
      <c r="CC119" s="751">
        <v>0</v>
      </c>
      <c r="CD119" s="751">
        <v>0</v>
      </c>
      <c r="CE119" s="751">
        <v>0</v>
      </c>
      <c r="CF119" s="751">
        <v>0</v>
      </c>
      <c r="CG119" s="751">
        <v>4910</v>
      </c>
      <c r="CH119" s="751">
        <v>6056</v>
      </c>
      <c r="CI119" s="751">
        <v>0</v>
      </c>
      <c r="CJ119" s="751">
        <v>10966</v>
      </c>
      <c r="CK119" s="751">
        <v>0</v>
      </c>
      <c r="CL119" s="751">
        <v>0</v>
      </c>
      <c r="CM119" s="751">
        <v>0</v>
      </c>
      <c r="CN119" s="751">
        <v>0</v>
      </c>
      <c r="CO119" s="751">
        <v>0</v>
      </c>
      <c r="CP119" s="751">
        <v>0</v>
      </c>
      <c r="CQ119" s="751">
        <v>0</v>
      </c>
      <c r="CR119" s="751">
        <v>0</v>
      </c>
      <c r="CS119" s="751">
        <v>0</v>
      </c>
      <c r="CT119" s="751">
        <v>0</v>
      </c>
      <c r="CU119" s="751">
        <v>0</v>
      </c>
      <c r="CV119" s="751">
        <v>0</v>
      </c>
      <c r="CW119" s="751">
        <v>5084575</v>
      </c>
      <c r="CX119" s="751">
        <v>6270976</v>
      </c>
      <c r="CY119" s="751">
        <v>0</v>
      </c>
      <c r="CZ119" s="751">
        <v>11355551</v>
      </c>
      <c r="DA119" s="662" t="s">
        <v>106</v>
      </c>
      <c r="DB119" s="324" t="s">
        <v>576</v>
      </c>
      <c r="DC119" s="669" t="s">
        <v>485</v>
      </c>
      <c r="DD119" s="529" t="s">
        <v>1326</v>
      </c>
    </row>
    <row r="120" spans="1:108" ht="12.75" x14ac:dyDescent="0.2">
      <c r="A120" s="664">
        <v>113</v>
      </c>
      <c r="B120" s="665" t="s">
        <v>109</v>
      </c>
      <c r="C120" s="666" t="s">
        <v>1201</v>
      </c>
      <c r="D120" s="667" t="s">
        <v>1206</v>
      </c>
      <c r="E120" s="668" t="s">
        <v>108</v>
      </c>
      <c r="F120" s="750">
        <v>46997935</v>
      </c>
      <c r="G120" s="751">
        <v>246707</v>
      </c>
      <c r="H120" s="751">
        <v>0</v>
      </c>
      <c r="I120" s="751">
        <v>128908</v>
      </c>
      <c r="J120" s="751">
        <v>0</v>
      </c>
      <c r="K120" s="751">
        <v>128908</v>
      </c>
      <c r="L120" s="751">
        <v>0</v>
      </c>
      <c r="M120" s="751">
        <v>0</v>
      </c>
      <c r="N120" s="751">
        <v>31008</v>
      </c>
      <c r="O120" s="751">
        <v>31008</v>
      </c>
      <c r="P120" s="751">
        <v>0</v>
      </c>
      <c r="Q120" s="751">
        <v>0</v>
      </c>
      <c r="R120" s="751">
        <v>47084726</v>
      </c>
      <c r="S120" s="749">
        <v>0.5</v>
      </c>
      <c r="T120" s="749">
        <v>0.4</v>
      </c>
      <c r="U120" s="749">
        <v>0.09</v>
      </c>
      <c r="V120" s="749">
        <v>0.01</v>
      </c>
      <c r="W120" s="749">
        <v>1</v>
      </c>
      <c r="X120" s="751">
        <v>23542364</v>
      </c>
      <c r="Y120" s="751">
        <v>18833890</v>
      </c>
      <c r="Z120" s="751">
        <v>4237625</v>
      </c>
      <c r="AA120" s="751">
        <v>470847</v>
      </c>
      <c r="AB120" s="751">
        <v>47084726</v>
      </c>
      <c r="AC120" s="751">
        <v>0</v>
      </c>
      <c r="AD120" s="751">
        <v>0</v>
      </c>
      <c r="AE120" s="751">
        <v>23542364</v>
      </c>
      <c r="AF120" s="751">
        <v>18833890</v>
      </c>
      <c r="AG120" s="751">
        <v>4237625</v>
      </c>
      <c r="AH120" s="751">
        <v>470847</v>
      </c>
      <c r="AI120" s="751">
        <v>47084726</v>
      </c>
      <c r="AJ120" s="751">
        <v>128908</v>
      </c>
      <c r="AK120" s="751">
        <v>128908</v>
      </c>
      <c r="AL120" s="751">
        <v>0</v>
      </c>
      <c r="AM120" s="751">
        <v>0</v>
      </c>
      <c r="AN120" s="751">
        <v>31008</v>
      </c>
      <c r="AO120" s="751">
        <v>0</v>
      </c>
      <c r="AP120" s="751">
        <v>31008</v>
      </c>
      <c r="AQ120" s="751">
        <v>0</v>
      </c>
      <c r="AR120" s="751">
        <v>0</v>
      </c>
      <c r="AS120" s="751">
        <v>0</v>
      </c>
      <c r="AT120" s="751">
        <v>0</v>
      </c>
      <c r="AU120" s="751">
        <v>0</v>
      </c>
      <c r="AV120" s="751">
        <v>0</v>
      </c>
      <c r="AW120" s="751">
        <v>0</v>
      </c>
      <c r="AX120" s="751">
        <v>0</v>
      </c>
      <c r="AY120" s="751">
        <v>0</v>
      </c>
      <c r="AZ120" s="751">
        <v>0</v>
      </c>
      <c r="BA120" s="751">
        <v>0</v>
      </c>
      <c r="BB120" s="751">
        <v>0</v>
      </c>
      <c r="BC120" s="751">
        <v>-4716333</v>
      </c>
      <c r="BD120" s="751">
        <v>-3405343</v>
      </c>
      <c r="BE120" s="751">
        <v>-176530</v>
      </c>
      <c r="BF120" s="751">
        <v>-83820</v>
      </c>
      <c r="BG120" s="751">
        <v>-8382026</v>
      </c>
      <c r="BH120" s="751">
        <v>18826031</v>
      </c>
      <c r="BI120" s="751">
        <v>15588463</v>
      </c>
      <c r="BJ120" s="751">
        <v>4061095</v>
      </c>
      <c r="BK120" s="751">
        <v>387027</v>
      </c>
      <c r="BL120" s="751">
        <v>38862616</v>
      </c>
      <c r="BM120" s="751">
        <v>982941</v>
      </c>
      <c r="BN120" s="751">
        <v>220798</v>
      </c>
      <c r="BO120" s="751">
        <v>24533</v>
      </c>
      <c r="BP120" s="751">
        <v>1228272</v>
      </c>
      <c r="BQ120" s="751">
        <v>1069871</v>
      </c>
      <c r="BR120" s="751">
        <v>240721</v>
      </c>
      <c r="BS120" s="751">
        <v>26747</v>
      </c>
      <c r="BT120" s="751">
        <v>1337339</v>
      </c>
      <c r="BU120" s="751">
        <v>73765</v>
      </c>
      <c r="BV120" s="751">
        <v>16597</v>
      </c>
      <c r="BW120" s="751">
        <v>1844</v>
      </c>
      <c r="BX120" s="751">
        <v>92206</v>
      </c>
      <c r="BY120" s="751">
        <v>1314</v>
      </c>
      <c r="BZ120" s="751">
        <v>296</v>
      </c>
      <c r="CA120" s="751">
        <v>33</v>
      </c>
      <c r="CB120" s="751">
        <v>1643</v>
      </c>
      <c r="CC120" s="751">
        <v>9633</v>
      </c>
      <c r="CD120" s="751">
        <v>2167</v>
      </c>
      <c r="CE120" s="751">
        <v>241</v>
      </c>
      <c r="CF120" s="751">
        <v>12041</v>
      </c>
      <c r="CG120" s="751">
        <v>17523</v>
      </c>
      <c r="CH120" s="751">
        <v>3942</v>
      </c>
      <c r="CI120" s="751">
        <v>438</v>
      </c>
      <c r="CJ120" s="751">
        <v>21903</v>
      </c>
      <c r="CK120" s="751">
        <v>0</v>
      </c>
      <c r="CL120" s="751">
        <v>0</v>
      </c>
      <c r="CM120" s="751">
        <v>0</v>
      </c>
      <c r="CN120" s="751">
        <v>0</v>
      </c>
      <c r="CO120" s="751">
        <v>0</v>
      </c>
      <c r="CP120" s="751">
        <v>0</v>
      </c>
      <c r="CQ120" s="751">
        <v>0</v>
      </c>
      <c r="CR120" s="751">
        <v>0</v>
      </c>
      <c r="CS120" s="751">
        <v>0</v>
      </c>
      <c r="CT120" s="751">
        <v>0</v>
      </c>
      <c r="CU120" s="751">
        <v>0</v>
      </c>
      <c r="CV120" s="751">
        <v>0</v>
      </c>
      <c r="CW120" s="751">
        <v>2155047</v>
      </c>
      <c r="CX120" s="751">
        <v>484521</v>
      </c>
      <c r="CY120" s="751">
        <v>53836</v>
      </c>
      <c r="CZ120" s="751">
        <v>2693404</v>
      </c>
      <c r="DA120" s="662" t="s">
        <v>108</v>
      </c>
      <c r="DB120" s="324" t="s">
        <v>551</v>
      </c>
      <c r="DC120" s="663" t="s">
        <v>549</v>
      </c>
      <c r="DD120" s="529" t="s">
        <v>1327</v>
      </c>
    </row>
    <row r="121" spans="1:108" ht="12.75" x14ac:dyDescent="0.2">
      <c r="A121" s="664">
        <v>114</v>
      </c>
      <c r="B121" s="665" t="s">
        <v>111</v>
      </c>
      <c r="C121" s="666" t="s">
        <v>1213</v>
      </c>
      <c r="D121" s="667" t="s">
        <v>1214</v>
      </c>
      <c r="E121" s="668" t="s">
        <v>110</v>
      </c>
      <c r="F121" s="750">
        <v>74047083</v>
      </c>
      <c r="G121" s="751">
        <v>41545</v>
      </c>
      <c r="H121" s="751">
        <v>0</v>
      </c>
      <c r="I121" s="751">
        <v>299517</v>
      </c>
      <c r="J121" s="751">
        <v>0</v>
      </c>
      <c r="K121" s="751">
        <v>299517</v>
      </c>
      <c r="L121" s="751">
        <v>0</v>
      </c>
      <c r="M121" s="751">
        <v>0</v>
      </c>
      <c r="N121" s="751">
        <v>0</v>
      </c>
      <c r="O121" s="751">
        <v>0</v>
      </c>
      <c r="P121" s="751">
        <v>0</v>
      </c>
      <c r="Q121" s="751">
        <v>0</v>
      </c>
      <c r="R121" s="751">
        <v>73789111</v>
      </c>
      <c r="S121" s="749">
        <v>0.33</v>
      </c>
      <c r="T121" s="749">
        <v>0.3</v>
      </c>
      <c r="U121" s="749">
        <v>0.37</v>
      </c>
      <c r="V121" s="749">
        <v>0</v>
      </c>
      <c r="W121" s="749">
        <v>1</v>
      </c>
      <c r="X121" s="751">
        <v>24350407</v>
      </c>
      <c r="Y121" s="751">
        <v>22136733</v>
      </c>
      <c r="Z121" s="751">
        <v>27301971</v>
      </c>
      <c r="AA121" s="751">
        <v>0</v>
      </c>
      <c r="AB121" s="751">
        <v>73789111</v>
      </c>
      <c r="AC121" s="751">
        <v>0</v>
      </c>
      <c r="AD121" s="751">
        <v>0</v>
      </c>
      <c r="AE121" s="751">
        <v>24350407</v>
      </c>
      <c r="AF121" s="751">
        <v>22136733</v>
      </c>
      <c r="AG121" s="751">
        <v>27301971</v>
      </c>
      <c r="AH121" s="751">
        <v>0</v>
      </c>
      <c r="AI121" s="751">
        <v>73789111</v>
      </c>
      <c r="AJ121" s="751">
        <v>299517</v>
      </c>
      <c r="AK121" s="751">
        <v>299517</v>
      </c>
      <c r="AL121" s="751">
        <v>0</v>
      </c>
      <c r="AM121" s="751">
        <v>0</v>
      </c>
      <c r="AN121" s="751">
        <v>0</v>
      </c>
      <c r="AO121" s="751">
        <v>0</v>
      </c>
      <c r="AP121" s="751">
        <v>0</v>
      </c>
      <c r="AQ121" s="751">
        <v>0</v>
      </c>
      <c r="AR121" s="751">
        <v>0</v>
      </c>
      <c r="AS121" s="751">
        <v>0</v>
      </c>
      <c r="AT121" s="751">
        <v>0</v>
      </c>
      <c r="AU121" s="751">
        <v>0</v>
      </c>
      <c r="AV121" s="751">
        <v>0</v>
      </c>
      <c r="AW121" s="751">
        <v>0</v>
      </c>
      <c r="AX121" s="751">
        <v>0</v>
      </c>
      <c r="AY121" s="751">
        <v>0</v>
      </c>
      <c r="AZ121" s="751">
        <v>0</v>
      </c>
      <c r="BA121" s="751">
        <v>0</v>
      </c>
      <c r="BB121" s="751">
        <v>0</v>
      </c>
      <c r="BC121" s="751">
        <v>-15287866</v>
      </c>
      <c r="BD121" s="751">
        <v>-14595610</v>
      </c>
      <c r="BE121" s="751">
        <v>-17112503</v>
      </c>
      <c r="BF121" s="751">
        <v>0</v>
      </c>
      <c r="BG121" s="751">
        <v>-46995979</v>
      </c>
      <c r="BH121" s="751">
        <v>9062541</v>
      </c>
      <c r="BI121" s="751">
        <v>7840640</v>
      </c>
      <c r="BJ121" s="751">
        <v>10189468</v>
      </c>
      <c r="BK121" s="751">
        <v>0</v>
      </c>
      <c r="BL121" s="751">
        <v>27092649</v>
      </c>
      <c r="BM121" s="751">
        <v>1153417</v>
      </c>
      <c r="BN121" s="751">
        <v>1422548</v>
      </c>
      <c r="BO121" s="751">
        <v>0</v>
      </c>
      <c r="BP121" s="751">
        <v>2575965</v>
      </c>
      <c r="BQ121" s="751">
        <v>2186292</v>
      </c>
      <c r="BR121" s="751">
        <v>2696427</v>
      </c>
      <c r="BS121" s="751">
        <v>0</v>
      </c>
      <c r="BT121" s="751">
        <v>4882719</v>
      </c>
      <c r="BU121" s="751">
        <v>112657</v>
      </c>
      <c r="BV121" s="751">
        <v>138944</v>
      </c>
      <c r="BW121" s="751">
        <v>0</v>
      </c>
      <c r="BX121" s="751">
        <v>251601</v>
      </c>
      <c r="BY121" s="751">
        <v>4892</v>
      </c>
      <c r="BZ121" s="751">
        <v>6033</v>
      </c>
      <c r="CA121" s="751">
        <v>0</v>
      </c>
      <c r="CB121" s="751">
        <v>10925</v>
      </c>
      <c r="CC121" s="751">
        <v>0</v>
      </c>
      <c r="CD121" s="751">
        <v>0</v>
      </c>
      <c r="CE121" s="751">
        <v>0</v>
      </c>
      <c r="CF121" s="751">
        <v>0</v>
      </c>
      <c r="CG121" s="751">
        <v>14472</v>
      </c>
      <c r="CH121" s="751">
        <v>17849</v>
      </c>
      <c r="CI121" s="751">
        <v>0</v>
      </c>
      <c r="CJ121" s="751">
        <v>32321</v>
      </c>
      <c r="CK121" s="751">
        <v>0</v>
      </c>
      <c r="CL121" s="751">
        <v>0</v>
      </c>
      <c r="CM121" s="751">
        <v>0</v>
      </c>
      <c r="CN121" s="751">
        <v>0</v>
      </c>
      <c r="CO121" s="751">
        <v>0</v>
      </c>
      <c r="CP121" s="751">
        <v>0</v>
      </c>
      <c r="CQ121" s="751">
        <v>0</v>
      </c>
      <c r="CR121" s="751">
        <v>0</v>
      </c>
      <c r="CS121" s="751">
        <v>0</v>
      </c>
      <c r="CT121" s="751">
        <v>0</v>
      </c>
      <c r="CU121" s="751">
        <v>0</v>
      </c>
      <c r="CV121" s="751">
        <v>0</v>
      </c>
      <c r="CW121" s="751">
        <v>3471730</v>
      </c>
      <c r="CX121" s="751">
        <v>4281801</v>
      </c>
      <c r="CY121" s="751">
        <v>0</v>
      </c>
      <c r="CZ121" s="751">
        <v>7753531</v>
      </c>
      <c r="DA121" s="662" t="s">
        <v>110</v>
      </c>
      <c r="DB121" s="324" t="s">
        <v>576</v>
      </c>
      <c r="DC121" s="669" t="s">
        <v>485</v>
      </c>
      <c r="DD121" s="529" t="s">
        <v>1328</v>
      </c>
    </row>
    <row r="122" spans="1:108" ht="12.75" x14ac:dyDescent="0.2">
      <c r="A122" s="664">
        <v>115</v>
      </c>
      <c r="B122" s="665" t="s">
        <v>113</v>
      </c>
      <c r="C122" s="666" t="s">
        <v>1201</v>
      </c>
      <c r="D122" s="667" t="s">
        <v>1211</v>
      </c>
      <c r="E122" s="668" t="s">
        <v>112</v>
      </c>
      <c r="F122" s="750">
        <v>48460861</v>
      </c>
      <c r="G122" s="751">
        <v>0</v>
      </c>
      <c r="H122" s="751">
        <v>74457</v>
      </c>
      <c r="I122" s="751">
        <v>110677</v>
      </c>
      <c r="J122" s="751">
        <v>0</v>
      </c>
      <c r="K122" s="751">
        <v>110677</v>
      </c>
      <c r="L122" s="751">
        <v>0</v>
      </c>
      <c r="M122" s="751">
        <v>1072710</v>
      </c>
      <c r="N122" s="751">
        <v>0</v>
      </c>
      <c r="O122" s="751">
        <v>0</v>
      </c>
      <c r="P122" s="751">
        <v>0</v>
      </c>
      <c r="Q122" s="751">
        <v>0</v>
      </c>
      <c r="R122" s="751">
        <v>47203017</v>
      </c>
      <c r="S122" s="749">
        <v>0.5</v>
      </c>
      <c r="T122" s="749">
        <v>0.4</v>
      </c>
      <c r="U122" s="749">
        <v>0.09</v>
      </c>
      <c r="V122" s="749">
        <v>0.01</v>
      </c>
      <c r="W122" s="749">
        <v>1</v>
      </c>
      <c r="X122" s="751">
        <v>23601508</v>
      </c>
      <c r="Y122" s="751">
        <v>18881207</v>
      </c>
      <c r="Z122" s="751">
        <v>4248272</v>
      </c>
      <c r="AA122" s="751">
        <v>472030</v>
      </c>
      <c r="AB122" s="751">
        <v>47203017</v>
      </c>
      <c r="AC122" s="751">
        <v>0</v>
      </c>
      <c r="AD122" s="751">
        <v>0</v>
      </c>
      <c r="AE122" s="751">
        <v>23601508</v>
      </c>
      <c r="AF122" s="751">
        <v>18881207</v>
      </c>
      <c r="AG122" s="751">
        <v>4248272</v>
      </c>
      <c r="AH122" s="751">
        <v>472030</v>
      </c>
      <c r="AI122" s="751">
        <v>47203017</v>
      </c>
      <c r="AJ122" s="751">
        <v>110677</v>
      </c>
      <c r="AK122" s="751">
        <v>110677</v>
      </c>
      <c r="AL122" s="751">
        <v>1072710</v>
      </c>
      <c r="AM122" s="751">
        <v>1072710</v>
      </c>
      <c r="AN122" s="751">
        <v>0</v>
      </c>
      <c r="AO122" s="751">
        <v>0</v>
      </c>
      <c r="AP122" s="751">
        <v>0</v>
      </c>
      <c r="AQ122" s="751">
        <v>0</v>
      </c>
      <c r="AR122" s="751">
        <v>0</v>
      </c>
      <c r="AS122" s="751">
        <v>0</v>
      </c>
      <c r="AT122" s="751">
        <v>0</v>
      </c>
      <c r="AU122" s="751">
        <v>0</v>
      </c>
      <c r="AV122" s="751">
        <v>0</v>
      </c>
      <c r="AW122" s="751">
        <v>0</v>
      </c>
      <c r="AX122" s="751">
        <v>0</v>
      </c>
      <c r="AY122" s="751">
        <v>0</v>
      </c>
      <c r="AZ122" s="751">
        <v>0</v>
      </c>
      <c r="BA122" s="751">
        <v>0</v>
      </c>
      <c r="BB122" s="751">
        <v>0</v>
      </c>
      <c r="BC122" s="751">
        <v>-11437800</v>
      </c>
      <c r="BD122" s="751">
        <v>-9150240</v>
      </c>
      <c r="BE122" s="751">
        <v>-2058804</v>
      </c>
      <c r="BF122" s="751">
        <v>-228756</v>
      </c>
      <c r="BG122" s="751">
        <v>-22875600</v>
      </c>
      <c r="BH122" s="751">
        <v>12163708</v>
      </c>
      <c r="BI122" s="751">
        <v>10914354</v>
      </c>
      <c r="BJ122" s="751">
        <v>2189468</v>
      </c>
      <c r="BK122" s="751">
        <v>243274</v>
      </c>
      <c r="BL122" s="751">
        <v>25510804</v>
      </c>
      <c r="BM122" s="751">
        <v>1039683</v>
      </c>
      <c r="BN122" s="751">
        <v>221353</v>
      </c>
      <c r="BO122" s="751">
        <v>24595</v>
      </c>
      <c r="BP122" s="751">
        <v>1285631</v>
      </c>
      <c r="BQ122" s="751">
        <v>684638</v>
      </c>
      <c r="BR122" s="751">
        <v>134253</v>
      </c>
      <c r="BS122" s="751">
        <v>14917</v>
      </c>
      <c r="BT122" s="751">
        <v>833808</v>
      </c>
      <c r="BU122" s="751">
        <v>83958</v>
      </c>
      <c r="BV122" s="751">
        <v>15738</v>
      </c>
      <c r="BW122" s="751">
        <v>1749</v>
      </c>
      <c r="BX122" s="751">
        <v>101445</v>
      </c>
      <c r="BY122" s="751">
        <v>0</v>
      </c>
      <c r="BZ122" s="751">
        <v>0</v>
      </c>
      <c r="CA122" s="751">
        <v>0</v>
      </c>
      <c r="CB122" s="751">
        <v>0</v>
      </c>
      <c r="CC122" s="751">
        <v>0</v>
      </c>
      <c r="CD122" s="751">
        <v>0</v>
      </c>
      <c r="CE122" s="751">
        <v>0</v>
      </c>
      <c r="CF122" s="751">
        <v>0</v>
      </c>
      <c r="CG122" s="751">
        <v>1537</v>
      </c>
      <c r="CH122" s="751">
        <v>346</v>
      </c>
      <c r="CI122" s="751">
        <v>38</v>
      </c>
      <c r="CJ122" s="751">
        <v>1921</v>
      </c>
      <c r="CK122" s="751">
        <v>0</v>
      </c>
      <c r="CL122" s="751">
        <v>0</v>
      </c>
      <c r="CM122" s="751">
        <v>0</v>
      </c>
      <c r="CN122" s="751">
        <v>0</v>
      </c>
      <c r="CO122" s="751">
        <v>0</v>
      </c>
      <c r="CP122" s="751">
        <v>0</v>
      </c>
      <c r="CQ122" s="751">
        <v>0</v>
      </c>
      <c r="CR122" s="751">
        <v>0</v>
      </c>
      <c r="CS122" s="751">
        <v>0</v>
      </c>
      <c r="CT122" s="751">
        <v>0</v>
      </c>
      <c r="CU122" s="751">
        <v>0</v>
      </c>
      <c r="CV122" s="751">
        <v>0</v>
      </c>
      <c r="CW122" s="751">
        <v>1809816</v>
      </c>
      <c r="CX122" s="751">
        <v>371690</v>
      </c>
      <c r="CY122" s="751">
        <v>41299</v>
      </c>
      <c r="CZ122" s="751">
        <v>2222805</v>
      </c>
      <c r="DA122" s="662" t="s">
        <v>112</v>
      </c>
      <c r="DB122" s="324" t="s">
        <v>528</v>
      </c>
      <c r="DC122" s="663" t="s">
        <v>1913</v>
      </c>
      <c r="DD122" s="529" t="s">
        <v>1329</v>
      </c>
    </row>
    <row r="123" spans="1:108" ht="12.75" x14ac:dyDescent="0.2">
      <c r="A123" s="664">
        <v>116</v>
      </c>
      <c r="B123" s="665" t="s">
        <v>115</v>
      </c>
      <c r="C123" s="666" t="s">
        <v>1201</v>
      </c>
      <c r="D123" s="667" t="s">
        <v>1218</v>
      </c>
      <c r="E123" s="668" t="s">
        <v>114</v>
      </c>
      <c r="F123" s="750">
        <v>63535809</v>
      </c>
      <c r="G123" s="751">
        <v>78260</v>
      </c>
      <c r="H123" s="751">
        <v>0</v>
      </c>
      <c r="I123" s="751">
        <v>279589</v>
      </c>
      <c r="J123" s="751">
        <v>0</v>
      </c>
      <c r="K123" s="751">
        <v>279589</v>
      </c>
      <c r="L123" s="751">
        <v>0</v>
      </c>
      <c r="M123" s="751">
        <v>0</v>
      </c>
      <c r="N123" s="751">
        <v>227840</v>
      </c>
      <c r="O123" s="751">
        <v>0</v>
      </c>
      <c r="P123" s="751">
        <v>227840</v>
      </c>
      <c r="Q123" s="751">
        <v>0</v>
      </c>
      <c r="R123" s="751">
        <v>63106640</v>
      </c>
      <c r="S123" s="749">
        <v>0.5</v>
      </c>
      <c r="T123" s="749">
        <v>0.4</v>
      </c>
      <c r="U123" s="749">
        <v>0.09</v>
      </c>
      <c r="V123" s="749">
        <v>0.01</v>
      </c>
      <c r="W123" s="749">
        <v>1</v>
      </c>
      <c r="X123" s="751">
        <v>31553320</v>
      </c>
      <c r="Y123" s="751">
        <v>25242656</v>
      </c>
      <c r="Z123" s="751">
        <v>5679598</v>
      </c>
      <c r="AA123" s="751">
        <v>631066</v>
      </c>
      <c r="AB123" s="751">
        <v>63106640</v>
      </c>
      <c r="AC123" s="751">
        <v>0</v>
      </c>
      <c r="AD123" s="751">
        <v>0</v>
      </c>
      <c r="AE123" s="751">
        <v>31553320</v>
      </c>
      <c r="AF123" s="751">
        <v>25242656</v>
      </c>
      <c r="AG123" s="751">
        <v>5679598</v>
      </c>
      <c r="AH123" s="751">
        <v>631066</v>
      </c>
      <c r="AI123" s="751">
        <v>63106640</v>
      </c>
      <c r="AJ123" s="751">
        <v>279589</v>
      </c>
      <c r="AK123" s="751">
        <v>279589</v>
      </c>
      <c r="AL123" s="751">
        <v>0</v>
      </c>
      <c r="AM123" s="751">
        <v>0</v>
      </c>
      <c r="AN123" s="751">
        <v>0</v>
      </c>
      <c r="AO123" s="751">
        <v>227840</v>
      </c>
      <c r="AP123" s="751">
        <v>227840</v>
      </c>
      <c r="AQ123" s="751">
        <v>0</v>
      </c>
      <c r="AR123" s="751">
        <v>0</v>
      </c>
      <c r="AS123" s="751">
        <v>0</v>
      </c>
      <c r="AT123" s="751">
        <v>0</v>
      </c>
      <c r="AU123" s="751">
        <v>0</v>
      </c>
      <c r="AV123" s="751">
        <v>0</v>
      </c>
      <c r="AW123" s="751">
        <v>0</v>
      </c>
      <c r="AX123" s="751">
        <v>0</v>
      </c>
      <c r="AY123" s="751">
        <v>0</v>
      </c>
      <c r="AZ123" s="751">
        <v>0</v>
      </c>
      <c r="BA123" s="751">
        <v>0</v>
      </c>
      <c r="BB123" s="751">
        <v>0</v>
      </c>
      <c r="BC123" s="751">
        <v>-17167265</v>
      </c>
      <c r="BD123" s="751">
        <v>-13192927</v>
      </c>
      <c r="BE123" s="751">
        <v>-2807183</v>
      </c>
      <c r="BF123" s="751">
        <v>-335024</v>
      </c>
      <c r="BG123" s="751">
        <v>-33502399</v>
      </c>
      <c r="BH123" s="751">
        <v>14386055</v>
      </c>
      <c r="BI123" s="751">
        <v>12329318</v>
      </c>
      <c r="BJ123" s="751">
        <v>3100255</v>
      </c>
      <c r="BK123" s="751">
        <v>296042</v>
      </c>
      <c r="BL123" s="751">
        <v>30111670</v>
      </c>
      <c r="BM123" s="751">
        <v>1315249</v>
      </c>
      <c r="BN123" s="751">
        <v>307802</v>
      </c>
      <c r="BO123" s="751">
        <v>32881</v>
      </c>
      <c r="BP123" s="751">
        <v>1655932</v>
      </c>
      <c r="BQ123" s="751">
        <v>2583863</v>
      </c>
      <c r="BR123" s="751">
        <v>581369</v>
      </c>
      <c r="BS123" s="751">
        <v>64597</v>
      </c>
      <c r="BT123" s="751">
        <v>3229829</v>
      </c>
      <c r="BU123" s="751">
        <v>143847</v>
      </c>
      <c r="BV123" s="751">
        <v>32366</v>
      </c>
      <c r="BW123" s="751">
        <v>3596</v>
      </c>
      <c r="BX123" s="751">
        <v>179809</v>
      </c>
      <c r="BY123" s="751">
        <v>0</v>
      </c>
      <c r="BZ123" s="751">
        <v>0</v>
      </c>
      <c r="CA123" s="751">
        <v>0</v>
      </c>
      <c r="CB123" s="751">
        <v>0</v>
      </c>
      <c r="CC123" s="751">
        <v>20412</v>
      </c>
      <c r="CD123" s="751">
        <v>4592</v>
      </c>
      <c r="CE123" s="751">
        <v>510</v>
      </c>
      <c r="CF123" s="751">
        <v>25514</v>
      </c>
      <c r="CG123" s="751">
        <v>14309</v>
      </c>
      <c r="CH123" s="751">
        <v>3219</v>
      </c>
      <c r="CI123" s="751">
        <v>358</v>
      </c>
      <c r="CJ123" s="751">
        <v>17886</v>
      </c>
      <c r="CK123" s="751">
        <v>0</v>
      </c>
      <c r="CL123" s="751">
        <v>0</v>
      </c>
      <c r="CM123" s="751">
        <v>0</v>
      </c>
      <c r="CN123" s="751">
        <v>0</v>
      </c>
      <c r="CO123" s="751">
        <v>0</v>
      </c>
      <c r="CP123" s="751">
        <v>0</v>
      </c>
      <c r="CQ123" s="751">
        <v>0</v>
      </c>
      <c r="CR123" s="751">
        <v>0</v>
      </c>
      <c r="CS123" s="751">
        <v>0</v>
      </c>
      <c r="CT123" s="751">
        <v>0</v>
      </c>
      <c r="CU123" s="751">
        <v>0</v>
      </c>
      <c r="CV123" s="751">
        <v>0</v>
      </c>
      <c r="CW123" s="751">
        <v>4077680</v>
      </c>
      <c r="CX123" s="751">
        <v>929348</v>
      </c>
      <c r="CY123" s="751">
        <v>101942</v>
      </c>
      <c r="CZ123" s="751">
        <v>5108970</v>
      </c>
      <c r="DA123" s="662" t="s">
        <v>114</v>
      </c>
      <c r="DB123" s="324" t="s">
        <v>556</v>
      </c>
      <c r="DC123" s="663" t="s">
        <v>555</v>
      </c>
      <c r="DD123" s="529" t="s">
        <v>1330</v>
      </c>
    </row>
    <row r="124" spans="1:108" ht="12.75" x14ac:dyDescent="0.2">
      <c r="A124" s="664">
        <v>117</v>
      </c>
      <c r="B124" s="665" t="s">
        <v>117</v>
      </c>
      <c r="C124" s="666" t="s">
        <v>1213</v>
      </c>
      <c r="D124" s="667" t="s">
        <v>1214</v>
      </c>
      <c r="E124" s="668" t="s">
        <v>116</v>
      </c>
      <c r="F124" s="750">
        <v>51441958</v>
      </c>
      <c r="G124" s="751">
        <v>0</v>
      </c>
      <c r="H124" s="751">
        <v>50000</v>
      </c>
      <c r="I124" s="751">
        <v>238978</v>
      </c>
      <c r="J124" s="751">
        <v>0</v>
      </c>
      <c r="K124" s="751">
        <v>238978</v>
      </c>
      <c r="L124" s="751">
        <v>0</v>
      </c>
      <c r="M124" s="751">
        <v>0</v>
      </c>
      <c r="N124" s="751">
        <v>0</v>
      </c>
      <c r="O124" s="751">
        <v>0</v>
      </c>
      <c r="P124" s="751">
        <v>0</v>
      </c>
      <c r="Q124" s="751">
        <v>0</v>
      </c>
      <c r="R124" s="751">
        <v>51152980</v>
      </c>
      <c r="S124" s="749">
        <v>0.33</v>
      </c>
      <c r="T124" s="749">
        <v>0.3</v>
      </c>
      <c r="U124" s="749">
        <v>0.37</v>
      </c>
      <c r="V124" s="749">
        <v>0</v>
      </c>
      <c r="W124" s="749">
        <v>1</v>
      </c>
      <c r="X124" s="751">
        <v>16880483</v>
      </c>
      <c r="Y124" s="751">
        <v>15345894</v>
      </c>
      <c r="Z124" s="751">
        <v>18926603</v>
      </c>
      <c r="AA124" s="751">
        <v>0</v>
      </c>
      <c r="AB124" s="751">
        <v>51152980</v>
      </c>
      <c r="AC124" s="751">
        <v>0</v>
      </c>
      <c r="AD124" s="751">
        <v>0</v>
      </c>
      <c r="AE124" s="751">
        <v>16880483</v>
      </c>
      <c r="AF124" s="751">
        <v>15345894</v>
      </c>
      <c r="AG124" s="751">
        <v>18926603</v>
      </c>
      <c r="AH124" s="751">
        <v>0</v>
      </c>
      <c r="AI124" s="751">
        <v>51152980</v>
      </c>
      <c r="AJ124" s="751">
        <v>238978</v>
      </c>
      <c r="AK124" s="751">
        <v>238978</v>
      </c>
      <c r="AL124" s="751">
        <v>0</v>
      </c>
      <c r="AM124" s="751">
        <v>0</v>
      </c>
      <c r="AN124" s="751">
        <v>0</v>
      </c>
      <c r="AO124" s="751">
        <v>0</v>
      </c>
      <c r="AP124" s="751">
        <v>0</v>
      </c>
      <c r="AQ124" s="751">
        <v>0</v>
      </c>
      <c r="AR124" s="751">
        <v>0</v>
      </c>
      <c r="AS124" s="751">
        <v>0</v>
      </c>
      <c r="AT124" s="751">
        <v>0</v>
      </c>
      <c r="AU124" s="751">
        <v>0</v>
      </c>
      <c r="AV124" s="751">
        <v>0</v>
      </c>
      <c r="AW124" s="751">
        <v>0</v>
      </c>
      <c r="AX124" s="751">
        <v>0</v>
      </c>
      <c r="AY124" s="751">
        <v>0</v>
      </c>
      <c r="AZ124" s="751">
        <v>0</v>
      </c>
      <c r="BA124" s="751">
        <v>0</v>
      </c>
      <c r="BB124" s="751">
        <v>0</v>
      </c>
      <c r="BC124" s="751">
        <v>-9098152</v>
      </c>
      <c r="BD124" s="751">
        <v>-8258028</v>
      </c>
      <c r="BE124" s="751">
        <v>-10201489</v>
      </c>
      <c r="BF124" s="751">
        <v>0</v>
      </c>
      <c r="BG124" s="751">
        <v>-27557670</v>
      </c>
      <c r="BH124" s="751">
        <v>7782331</v>
      </c>
      <c r="BI124" s="751">
        <v>7326844</v>
      </c>
      <c r="BJ124" s="751">
        <v>8725114</v>
      </c>
      <c r="BK124" s="751">
        <v>0</v>
      </c>
      <c r="BL124" s="751">
        <v>23834288</v>
      </c>
      <c r="BM124" s="751">
        <v>799586</v>
      </c>
      <c r="BN124" s="751">
        <v>986156</v>
      </c>
      <c r="BO124" s="751">
        <v>0</v>
      </c>
      <c r="BP124" s="751">
        <v>1785742</v>
      </c>
      <c r="BQ124" s="751">
        <v>1652544</v>
      </c>
      <c r="BR124" s="751">
        <v>2038138</v>
      </c>
      <c r="BS124" s="751">
        <v>0</v>
      </c>
      <c r="BT124" s="751">
        <v>3690682</v>
      </c>
      <c r="BU124" s="751">
        <v>77266</v>
      </c>
      <c r="BV124" s="751">
        <v>95295</v>
      </c>
      <c r="BW124" s="751">
        <v>0</v>
      </c>
      <c r="BX124" s="751">
        <v>172561</v>
      </c>
      <c r="BY124" s="751">
        <v>0</v>
      </c>
      <c r="BZ124" s="751">
        <v>0</v>
      </c>
      <c r="CA124" s="751">
        <v>0</v>
      </c>
      <c r="CB124" s="751">
        <v>0</v>
      </c>
      <c r="CC124" s="751">
        <v>0</v>
      </c>
      <c r="CD124" s="751">
        <v>0</v>
      </c>
      <c r="CE124" s="751">
        <v>0</v>
      </c>
      <c r="CF124" s="751">
        <v>0</v>
      </c>
      <c r="CG124" s="751">
        <v>0</v>
      </c>
      <c r="CH124" s="751">
        <v>0</v>
      </c>
      <c r="CI124" s="751">
        <v>0</v>
      </c>
      <c r="CJ124" s="751">
        <v>0</v>
      </c>
      <c r="CK124" s="751">
        <v>0</v>
      </c>
      <c r="CL124" s="751">
        <v>0</v>
      </c>
      <c r="CM124" s="751">
        <v>0</v>
      </c>
      <c r="CN124" s="751">
        <v>0</v>
      </c>
      <c r="CO124" s="751">
        <v>0</v>
      </c>
      <c r="CP124" s="751">
        <v>0</v>
      </c>
      <c r="CQ124" s="751">
        <v>0</v>
      </c>
      <c r="CR124" s="751">
        <v>0</v>
      </c>
      <c r="CS124" s="751">
        <v>0</v>
      </c>
      <c r="CT124" s="751">
        <v>0</v>
      </c>
      <c r="CU124" s="751">
        <v>0</v>
      </c>
      <c r="CV124" s="751">
        <v>0</v>
      </c>
      <c r="CW124" s="751">
        <v>2529396</v>
      </c>
      <c r="CX124" s="751">
        <v>3119589</v>
      </c>
      <c r="CY124" s="751">
        <v>0</v>
      </c>
      <c r="CZ124" s="751">
        <v>5648985</v>
      </c>
      <c r="DA124" s="662" t="s">
        <v>116</v>
      </c>
      <c r="DB124" s="324" t="s">
        <v>576</v>
      </c>
      <c r="DC124" s="669" t="s">
        <v>485</v>
      </c>
      <c r="DD124" s="529" t="s">
        <v>1331</v>
      </c>
    </row>
    <row r="125" spans="1:108" ht="12.75" x14ac:dyDescent="0.2">
      <c r="A125" s="664">
        <v>118</v>
      </c>
      <c r="B125" s="665" t="s">
        <v>119</v>
      </c>
      <c r="C125" s="666" t="s">
        <v>1201</v>
      </c>
      <c r="D125" s="667" t="s">
        <v>1202</v>
      </c>
      <c r="E125" s="668" t="s">
        <v>118</v>
      </c>
      <c r="F125" s="750">
        <v>30993381</v>
      </c>
      <c r="G125" s="751">
        <v>20595</v>
      </c>
      <c r="H125" s="751">
        <v>0</v>
      </c>
      <c r="I125" s="751">
        <v>96787</v>
      </c>
      <c r="J125" s="751">
        <v>0</v>
      </c>
      <c r="K125" s="751">
        <v>96787</v>
      </c>
      <c r="L125" s="751">
        <v>0</v>
      </c>
      <c r="M125" s="751">
        <v>0</v>
      </c>
      <c r="N125" s="751">
        <v>0</v>
      </c>
      <c r="O125" s="751">
        <v>0</v>
      </c>
      <c r="P125" s="751">
        <v>0</v>
      </c>
      <c r="Q125" s="751">
        <v>0</v>
      </c>
      <c r="R125" s="751">
        <v>30917189</v>
      </c>
      <c r="S125" s="749">
        <v>0.5</v>
      </c>
      <c r="T125" s="749">
        <v>0.4</v>
      </c>
      <c r="U125" s="749">
        <v>0.09</v>
      </c>
      <c r="V125" s="749">
        <v>0.01</v>
      </c>
      <c r="W125" s="749">
        <v>1</v>
      </c>
      <c r="X125" s="751">
        <v>15458594</v>
      </c>
      <c r="Y125" s="751">
        <v>12366876</v>
      </c>
      <c r="Z125" s="751">
        <v>2782547</v>
      </c>
      <c r="AA125" s="751">
        <v>309172</v>
      </c>
      <c r="AB125" s="751">
        <v>30917189</v>
      </c>
      <c r="AC125" s="751">
        <v>0</v>
      </c>
      <c r="AD125" s="751">
        <v>0</v>
      </c>
      <c r="AE125" s="751">
        <v>15458594</v>
      </c>
      <c r="AF125" s="751">
        <v>12366876</v>
      </c>
      <c r="AG125" s="751">
        <v>2782547</v>
      </c>
      <c r="AH125" s="751">
        <v>309172</v>
      </c>
      <c r="AI125" s="751">
        <v>30917189</v>
      </c>
      <c r="AJ125" s="751">
        <v>96787</v>
      </c>
      <c r="AK125" s="751">
        <v>96787</v>
      </c>
      <c r="AL125" s="751">
        <v>0</v>
      </c>
      <c r="AM125" s="751">
        <v>0</v>
      </c>
      <c r="AN125" s="751">
        <v>0</v>
      </c>
      <c r="AO125" s="751">
        <v>0</v>
      </c>
      <c r="AP125" s="751">
        <v>0</v>
      </c>
      <c r="AQ125" s="751">
        <v>0</v>
      </c>
      <c r="AR125" s="751">
        <v>0</v>
      </c>
      <c r="AS125" s="751">
        <v>0</v>
      </c>
      <c r="AT125" s="751">
        <v>0</v>
      </c>
      <c r="AU125" s="751">
        <v>0</v>
      </c>
      <c r="AV125" s="751">
        <v>0</v>
      </c>
      <c r="AW125" s="751">
        <v>0</v>
      </c>
      <c r="AX125" s="751">
        <v>0</v>
      </c>
      <c r="AY125" s="751">
        <v>0</v>
      </c>
      <c r="AZ125" s="751">
        <v>0</v>
      </c>
      <c r="BA125" s="751">
        <v>0</v>
      </c>
      <c r="BB125" s="751">
        <v>0</v>
      </c>
      <c r="BC125" s="751">
        <v>-7003427</v>
      </c>
      <c r="BD125" s="751">
        <v>-5602741</v>
      </c>
      <c r="BE125" s="751">
        <v>-1260617</v>
      </c>
      <c r="BF125" s="751">
        <v>-140069</v>
      </c>
      <c r="BG125" s="751">
        <v>-14006854</v>
      </c>
      <c r="BH125" s="751">
        <v>8455167</v>
      </c>
      <c r="BI125" s="751">
        <v>6860922</v>
      </c>
      <c r="BJ125" s="751">
        <v>1521930</v>
      </c>
      <c r="BK125" s="751">
        <v>169103</v>
      </c>
      <c r="BL125" s="751">
        <v>17007122</v>
      </c>
      <c r="BM125" s="751">
        <v>644366</v>
      </c>
      <c r="BN125" s="751">
        <v>144982</v>
      </c>
      <c r="BO125" s="751">
        <v>16109</v>
      </c>
      <c r="BP125" s="751">
        <v>805457</v>
      </c>
      <c r="BQ125" s="751">
        <v>764915</v>
      </c>
      <c r="BR125" s="751">
        <v>172106</v>
      </c>
      <c r="BS125" s="751">
        <v>19123</v>
      </c>
      <c r="BT125" s="751">
        <v>956144</v>
      </c>
      <c r="BU125" s="751">
        <v>57631</v>
      </c>
      <c r="BV125" s="751">
        <v>12967</v>
      </c>
      <c r="BW125" s="751">
        <v>1441</v>
      </c>
      <c r="BX125" s="751">
        <v>72039</v>
      </c>
      <c r="BY125" s="751">
        <v>0</v>
      </c>
      <c r="BZ125" s="751">
        <v>0</v>
      </c>
      <c r="CA125" s="751">
        <v>0</v>
      </c>
      <c r="CB125" s="751">
        <v>0</v>
      </c>
      <c r="CC125" s="751">
        <v>1045</v>
      </c>
      <c r="CD125" s="751">
        <v>235</v>
      </c>
      <c r="CE125" s="751">
        <v>26</v>
      </c>
      <c r="CF125" s="751">
        <v>1306</v>
      </c>
      <c r="CG125" s="751">
        <v>3431</v>
      </c>
      <c r="CH125" s="751">
        <v>772</v>
      </c>
      <c r="CI125" s="751">
        <v>86</v>
      </c>
      <c r="CJ125" s="751">
        <v>4289</v>
      </c>
      <c r="CK125" s="751">
        <v>0</v>
      </c>
      <c r="CL125" s="751">
        <v>0</v>
      </c>
      <c r="CM125" s="751">
        <v>0</v>
      </c>
      <c r="CN125" s="751">
        <v>0</v>
      </c>
      <c r="CO125" s="751">
        <v>0</v>
      </c>
      <c r="CP125" s="751">
        <v>0</v>
      </c>
      <c r="CQ125" s="751">
        <v>0</v>
      </c>
      <c r="CR125" s="751">
        <v>0</v>
      </c>
      <c r="CS125" s="751">
        <v>0</v>
      </c>
      <c r="CT125" s="751">
        <v>0</v>
      </c>
      <c r="CU125" s="751">
        <v>0</v>
      </c>
      <c r="CV125" s="751">
        <v>0</v>
      </c>
      <c r="CW125" s="751">
        <v>1471388</v>
      </c>
      <c r="CX125" s="751">
        <v>331062</v>
      </c>
      <c r="CY125" s="751">
        <v>36785</v>
      </c>
      <c r="CZ125" s="751">
        <v>1839235</v>
      </c>
      <c r="DA125" s="662" t="s">
        <v>118</v>
      </c>
      <c r="DB125" s="324" t="s">
        <v>532</v>
      </c>
      <c r="DC125" s="663" t="s">
        <v>1914</v>
      </c>
      <c r="DD125" s="529" t="s">
        <v>1332</v>
      </c>
    </row>
    <row r="126" spans="1:108" ht="12.75" x14ac:dyDescent="0.2">
      <c r="A126" s="664">
        <v>119</v>
      </c>
      <c r="B126" s="665" t="s">
        <v>121</v>
      </c>
      <c r="C126" s="666" t="s">
        <v>486</v>
      </c>
      <c r="D126" s="667" t="s">
        <v>1283</v>
      </c>
      <c r="E126" s="668" t="s">
        <v>508</v>
      </c>
      <c r="F126" s="750">
        <v>32791901</v>
      </c>
      <c r="G126" s="751">
        <v>0</v>
      </c>
      <c r="H126" s="751">
        <v>289963</v>
      </c>
      <c r="I126" s="751">
        <v>112959</v>
      </c>
      <c r="J126" s="751">
        <v>0</v>
      </c>
      <c r="K126" s="751">
        <v>112959</v>
      </c>
      <c r="L126" s="751">
        <v>0</v>
      </c>
      <c r="M126" s="751">
        <v>168173</v>
      </c>
      <c r="N126" s="751">
        <v>290777</v>
      </c>
      <c r="O126" s="751">
        <v>290777</v>
      </c>
      <c r="P126" s="751">
        <v>0</v>
      </c>
      <c r="Q126" s="751">
        <v>0</v>
      </c>
      <c r="R126" s="751">
        <v>31930029</v>
      </c>
      <c r="S126" s="749">
        <v>0.5</v>
      </c>
      <c r="T126" s="749">
        <v>0.49</v>
      </c>
      <c r="U126" s="749">
        <v>0</v>
      </c>
      <c r="V126" s="749">
        <v>0.01</v>
      </c>
      <c r="W126" s="749">
        <v>1</v>
      </c>
      <c r="X126" s="751">
        <v>15965015</v>
      </c>
      <c r="Y126" s="751">
        <v>15645714</v>
      </c>
      <c r="Z126" s="751">
        <v>0</v>
      </c>
      <c r="AA126" s="751">
        <v>319300</v>
      </c>
      <c r="AB126" s="751">
        <v>31930029</v>
      </c>
      <c r="AC126" s="751">
        <v>3144</v>
      </c>
      <c r="AD126" s="751">
        <v>3144</v>
      </c>
      <c r="AE126" s="751">
        <v>15961871</v>
      </c>
      <c r="AF126" s="751">
        <v>15645714</v>
      </c>
      <c r="AG126" s="751">
        <v>0</v>
      </c>
      <c r="AH126" s="751">
        <v>319300</v>
      </c>
      <c r="AI126" s="751">
        <v>31926885</v>
      </c>
      <c r="AJ126" s="751">
        <v>112959</v>
      </c>
      <c r="AK126" s="751">
        <v>112959</v>
      </c>
      <c r="AL126" s="751">
        <v>168173</v>
      </c>
      <c r="AM126" s="751">
        <v>168173</v>
      </c>
      <c r="AN126" s="751">
        <v>290777</v>
      </c>
      <c r="AO126" s="751">
        <v>0</v>
      </c>
      <c r="AP126" s="751">
        <v>290777</v>
      </c>
      <c r="AQ126" s="751">
        <v>0</v>
      </c>
      <c r="AR126" s="751">
        <v>0</v>
      </c>
      <c r="AS126" s="751">
        <v>0</v>
      </c>
      <c r="AT126" s="751">
        <v>0</v>
      </c>
      <c r="AU126" s="751">
        <v>3081</v>
      </c>
      <c r="AV126" s="751">
        <v>0</v>
      </c>
      <c r="AW126" s="751">
        <v>63</v>
      </c>
      <c r="AX126" s="751">
        <v>3144</v>
      </c>
      <c r="AY126" s="751">
        <v>0</v>
      </c>
      <c r="AZ126" s="751">
        <v>0</v>
      </c>
      <c r="BA126" s="751">
        <v>0</v>
      </c>
      <c r="BB126" s="751">
        <v>0</v>
      </c>
      <c r="BC126" s="751">
        <v>-5181417</v>
      </c>
      <c r="BD126" s="751">
        <v>-5077788</v>
      </c>
      <c r="BE126" s="751">
        <v>0</v>
      </c>
      <c r="BF126" s="751">
        <v>-103628</v>
      </c>
      <c r="BG126" s="751">
        <v>-10362833</v>
      </c>
      <c r="BH126" s="751">
        <v>10780454</v>
      </c>
      <c r="BI126" s="751">
        <v>11142916</v>
      </c>
      <c r="BJ126" s="751">
        <v>0</v>
      </c>
      <c r="BK126" s="751">
        <v>215735</v>
      </c>
      <c r="BL126" s="751">
        <v>22139105</v>
      </c>
      <c r="BM126" s="751">
        <v>839281</v>
      </c>
      <c r="BN126" s="751">
        <v>0</v>
      </c>
      <c r="BO126" s="751">
        <v>16640</v>
      </c>
      <c r="BP126" s="751">
        <v>855921</v>
      </c>
      <c r="BQ126" s="751">
        <v>1154895</v>
      </c>
      <c r="BR126" s="751">
        <v>0</v>
      </c>
      <c r="BS126" s="751">
        <v>22821</v>
      </c>
      <c r="BT126" s="751">
        <v>1177716</v>
      </c>
      <c r="BU126" s="751">
        <v>49299</v>
      </c>
      <c r="BV126" s="751">
        <v>0</v>
      </c>
      <c r="BW126" s="751">
        <v>999</v>
      </c>
      <c r="BX126" s="751">
        <v>50298</v>
      </c>
      <c r="BY126" s="751">
        <v>0</v>
      </c>
      <c r="BZ126" s="751">
        <v>0</v>
      </c>
      <c r="CA126" s="751">
        <v>0</v>
      </c>
      <c r="CB126" s="751">
        <v>0</v>
      </c>
      <c r="CC126" s="751">
        <v>0</v>
      </c>
      <c r="CD126" s="751">
        <v>0</v>
      </c>
      <c r="CE126" s="751">
        <v>0</v>
      </c>
      <c r="CF126" s="751">
        <v>0</v>
      </c>
      <c r="CG126" s="751">
        <v>13155</v>
      </c>
      <c r="CH126" s="751">
        <v>0</v>
      </c>
      <c r="CI126" s="751">
        <v>268</v>
      </c>
      <c r="CJ126" s="751">
        <v>13423</v>
      </c>
      <c r="CK126" s="751">
        <v>0</v>
      </c>
      <c r="CL126" s="751">
        <v>0</v>
      </c>
      <c r="CM126" s="751">
        <v>0</v>
      </c>
      <c r="CN126" s="751">
        <v>0</v>
      </c>
      <c r="CO126" s="751">
        <v>0</v>
      </c>
      <c r="CP126" s="751">
        <v>0</v>
      </c>
      <c r="CQ126" s="751">
        <v>0</v>
      </c>
      <c r="CR126" s="751">
        <v>0</v>
      </c>
      <c r="CS126" s="751">
        <v>669</v>
      </c>
      <c r="CT126" s="751">
        <v>0</v>
      </c>
      <c r="CU126" s="751">
        <v>14</v>
      </c>
      <c r="CV126" s="751">
        <v>683</v>
      </c>
      <c r="CW126" s="751">
        <v>2057299</v>
      </c>
      <c r="CX126" s="751">
        <v>0</v>
      </c>
      <c r="CY126" s="751">
        <v>40742</v>
      </c>
      <c r="CZ126" s="751">
        <v>2098041</v>
      </c>
      <c r="DA126" s="662" t="s">
        <v>508</v>
      </c>
      <c r="DB126" s="324" t="s">
        <v>486</v>
      </c>
      <c r="DC126" s="663" t="s">
        <v>509</v>
      </c>
      <c r="DD126" s="529" t="s">
        <v>1333</v>
      </c>
    </row>
    <row r="127" spans="1:108" ht="12.75" x14ac:dyDescent="0.2">
      <c r="A127" s="664">
        <v>120</v>
      </c>
      <c r="B127" s="665" t="s">
        <v>123</v>
      </c>
      <c r="C127" s="666" t="s">
        <v>1201</v>
      </c>
      <c r="D127" s="667" t="s">
        <v>1202</v>
      </c>
      <c r="E127" s="668" t="s">
        <v>122</v>
      </c>
      <c r="F127" s="750">
        <v>23089714</v>
      </c>
      <c r="G127" s="751">
        <v>0</v>
      </c>
      <c r="H127" s="751">
        <v>127293</v>
      </c>
      <c r="I127" s="751">
        <v>130460</v>
      </c>
      <c r="J127" s="751">
        <v>0</v>
      </c>
      <c r="K127" s="751">
        <v>130460</v>
      </c>
      <c r="L127" s="751">
        <v>0</v>
      </c>
      <c r="M127" s="751">
        <v>0</v>
      </c>
      <c r="N127" s="751">
        <v>0</v>
      </c>
      <c r="O127" s="751">
        <v>0</v>
      </c>
      <c r="P127" s="751">
        <v>0</v>
      </c>
      <c r="Q127" s="751">
        <v>0</v>
      </c>
      <c r="R127" s="751">
        <v>22831961</v>
      </c>
      <c r="S127" s="749">
        <v>0.5</v>
      </c>
      <c r="T127" s="749">
        <v>0.4</v>
      </c>
      <c r="U127" s="749">
        <v>0.09</v>
      </c>
      <c r="V127" s="749">
        <v>0.01</v>
      </c>
      <c r="W127" s="749">
        <v>1</v>
      </c>
      <c r="X127" s="751">
        <v>11415981</v>
      </c>
      <c r="Y127" s="751">
        <v>9132784</v>
      </c>
      <c r="Z127" s="751">
        <v>2054876</v>
      </c>
      <c r="AA127" s="751">
        <v>228320</v>
      </c>
      <c r="AB127" s="751">
        <v>22831961</v>
      </c>
      <c r="AC127" s="751">
        <v>0</v>
      </c>
      <c r="AD127" s="751">
        <v>0</v>
      </c>
      <c r="AE127" s="751">
        <v>11415981</v>
      </c>
      <c r="AF127" s="751">
        <v>9132784</v>
      </c>
      <c r="AG127" s="751">
        <v>2054876</v>
      </c>
      <c r="AH127" s="751">
        <v>228320</v>
      </c>
      <c r="AI127" s="751">
        <v>22831961</v>
      </c>
      <c r="AJ127" s="751">
        <v>130460</v>
      </c>
      <c r="AK127" s="751">
        <v>130460</v>
      </c>
      <c r="AL127" s="751">
        <v>0</v>
      </c>
      <c r="AM127" s="751">
        <v>0</v>
      </c>
      <c r="AN127" s="751">
        <v>0</v>
      </c>
      <c r="AO127" s="751">
        <v>0</v>
      </c>
      <c r="AP127" s="751">
        <v>0</v>
      </c>
      <c r="AQ127" s="751">
        <v>0</v>
      </c>
      <c r="AR127" s="751">
        <v>0</v>
      </c>
      <c r="AS127" s="751">
        <v>0</v>
      </c>
      <c r="AT127" s="751">
        <v>0</v>
      </c>
      <c r="AU127" s="751">
        <v>0</v>
      </c>
      <c r="AV127" s="751">
        <v>0</v>
      </c>
      <c r="AW127" s="751">
        <v>0</v>
      </c>
      <c r="AX127" s="751">
        <v>0</v>
      </c>
      <c r="AY127" s="751">
        <v>0</v>
      </c>
      <c r="AZ127" s="751">
        <v>0</v>
      </c>
      <c r="BA127" s="751">
        <v>0</v>
      </c>
      <c r="BB127" s="751">
        <v>0</v>
      </c>
      <c r="BC127" s="751">
        <v>-400487</v>
      </c>
      <c r="BD127" s="751">
        <v>-136626</v>
      </c>
      <c r="BE127" s="751">
        <v>92534</v>
      </c>
      <c r="BF127" s="751">
        <v>26446</v>
      </c>
      <c r="BG127" s="751">
        <v>-418133</v>
      </c>
      <c r="BH127" s="751">
        <v>11015494</v>
      </c>
      <c r="BI127" s="751">
        <v>9126618</v>
      </c>
      <c r="BJ127" s="751">
        <v>2147410</v>
      </c>
      <c r="BK127" s="751">
        <v>254766</v>
      </c>
      <c r="BL127" s="751">
        <v>22544288</v>
      </c>
      <c r="BM127" s="751">
        <v>475856</v>
      </c>
      <c r="BN127" s="751">
        <v>107068</v>
      </c>
      <c r="BO127" s="751">
        <v>11896</v>
      </c>
      <c r="BP127" s="751">
        <v>594820</v>
      </c>
      <c r="BQ127" s="751">
        <v>1057192</v>
      </c>
      <c r="BR127" s="751">
        <v>237868</v>
      </c>
      <c r="BS127" s="751">
        <v>26430</v>
      </c>
      <c r="BT127" s="751">
        <v>1321490</v>
      </c>
      <c r="BU127" s="751">
        <v>49949</v>
      </c>
      <c r="BV127" s="751">
        <v>11239</v>
      </c>
      <c r="BW127" s="751">
        <v>1249</v>
      </c>
      <c r="BX127" s="751">
        <v>62437</v>
      </c>
      <c r="BY127" s="751">
        <v>0</v>
      </c>
      <c r="BZ127" s="751">
        <v>0</v>
      </c>
      <c r="CA127" s="751">
        <v>0</v>
      </c>
      <c r="CB127" s="751">
        <v>0</v>
      </c>
      <c r="CC127" s="751">
        <v>0</v>
      </c>
      <c r="CD127" s="751">
        <v>0</v>
      </c>
      <c r="CE127" s="751">
        <v>0</v>
      </c>
      <c r="CF127" s="751">
        <v>0</v>
      </c>
      <c r="CG127" s="751">
        <v>9342</v>
      </c>
      <c r="CH127" s="751">
        <v>2102</v>
      </c>
      <c r="CI127" s="751">
        <v>234</v>
      </c>
      <c r="CJ127" s="751">
        <v>11678</v>
      </c>
      <c r="CK127" s="751">
        <v>0</v>
      </c>
      <c r="CL127" s="751">
        <v>0</v>
      </c>
      <c r="CM127" s="751">
        <v>0</v>
      </c>
      <c r="CN127" s="751">
        <v>0</v>
      </c>
      <c r="CO127" s="751">
        <v>0</v>
      </c>
      <c r="CP127" s="751">
        <v>0</v>
      </c>
      <c r="CQ127" s="751">
        <v>0</v>
      </c>
      <c r="CR127" s="751">
        <v>0</v>
      </c>
      <c r="CS127" s="751">
        <v>631</v>
      </c>
      <c r="CT127" s="751">
        <v>142</v>
      </c>
      <c r="CU127" s="751">
        <v>16</v>
      </c>
      <c r="CV127" s="751">
        <v>789</v>
      </c>
      <c r="CW127" s="751">
        <v>1592970</v>
      </c>
      <c r="CX127" s="751">
        <v>358419</v>
      </c>
      <c r="CY127" s="751">
        <v>39825</v>
      </c>
      <c r="CZ127" s="751">
        <v>1991214</v>
      </c>
      <c r="DA127" s="662" t="s">
        <v>122</v>
      </c>
      <c r="DB127" s="324" t="s">
        <v>525</v>
      </c>
      <c r="DC127" s="663" t="s">
        <v>524</v>
      </c>
      <c r="DD127" s="529" t="s">
        <v>1334</v>
      </c>
    </row>
    <row r="128" spans="1:108" ht="14.25" x14ac:dyDescent="0.2">
      <c r="A128" s="664">
        <v>121</v>
      </c>
      <c r="B128" s="665" t="s">
        <v>125</v>
      </c>
      <c r="C128" s="666" t="s">
        <v>1201</v>
      </c>
      <c r="D128" s="667" t="s">
        <v>1202</v>
      </c>
      <c r="E128" s="668" t="s">
        <v>1922</v>
      </c>
      <c r="F128" s="750">
        <v>35510699</v>
      </c>
      <c r="G128" s="751">
        <v>0</v>
      </c>
      <c r="H128" s="751">
        <v>221885</v>
      </c>
      <c r="I128" s="751">
        <v>133144</v>
      </c>
      <c r="J128" s="751">
        <v>0</v>
      </c>
      <c r="K128" s="751">
        <v>133144</v>
      </c>
      <c r="L128" s="751">
        <v>0</v>
      </c>
      <c r="M128" s="751">
        <v>0</v>
      </c>
      <c r="N128" s="751">
        <v>0</v>
      </c>
      <c r="O128" s="751">
        <v>0</v>
      </c>
      <c r="P128" s="751">
        <v>0</v>
      </c>
      <c r="Q128" s="751">
        <v>0</v>
      </c>
      <c r="R128" s="751">
        <v>35155670</v>
      </c>
      <c r="S128" s="749">
        <v>0.5</v>
      </c>
      <c r="T128" s="749">
        <v>0.4</v>
      </c>
      <c r="U128" s="749">
        <v>0.09</v>
      </c>
      <c r="V128" s="749">
        <v>0.01</v>
      </c>
      <c r="W128" s="749">
        <v>1</v>
      </c>
      <c r="X128" s="751">
        <v>17577835</v>
      </c>
      <c r="Y128" s="751">
        <v>14062268</v>
      </c>
      <c r="Z128" s="751">
        <v>3164010</v>
      </c>
      <c r="AA128" s="751">
        <v>351557</v>
      </c>
      <c r="AB128" s="751">
        <v>35155670</v>
      </c>
      <c r="AC128" s="751">
        <v>0</v>
      </c>
      <c r="AD128" s="751">
        <v>0</v>
      </c>
      <c r="AE128" s="751">
        <v>17577835</v>
      </c>
      <c r="AF128" s="751">
        <v>14062268</v>
      </c>
      <c r="AG128" s="751">
        <v>3164010</v>
      </c>
      <c r="AH128" s="751">
        <v>351557</v>
      </c>
      <c r="AI128" s="751">
        <v>35155670</v>
      </c>
      <c r="AJ128" s="751">
        <v>133144</v>
      </c>
      <c r="AK128" s="751">
        <v>133144</v>
      </c>
      <c r="AL128" s="751">
        <v>0</v>
      </c>
      <c r="AM128" s="751">
        <v>0</v>
      </c>
      <c r="AN128" s="751">
        <v>0</v>
      </c>
      <c r="AO128" s="751">
        <v>0</v>
      </c>
      <c r="AP128" s="751">
        <v>0</v>
      </c>
      <c r="AQ128" s="751">
        <v>0</v>
      </c>
      <c r="AR128" s="751">
        <v>0</v>
      </c>
      <c r="AS128" s="751">
        <v>0</v>
      </c>
      <c r="AT128" s="751">
        <v>0</v>
      </c>
      <c r="AU128" s="751">
        <v>0</v>
      </c>
      <c r="AV128" s="751">
        <v>0</v>
      </c>
      <c r="AW128" s="751">
        <v>0</v>
      </c>
      <c r="AX128" s="751">
        <v>0</v>
      </c>
      <c r="AY128" s="751">
        <v>0</v>
      </c>
      <c r="AZ128" s="751">
        <v>0</v>
      </c>
      <c r="BA128" s="751">
        <v>0</v>
      </c>
      <c r="BB128" s="751">
        <v>0</v>
      </c>
      <c r="BC128" s="751">
        <v>-11253182</v>
      </c>
      <c r="BD128" s="751">
        <v>-9002545</v>
      </c>
      <c r="BE128" s="751">
        <v>-2025573</v>
      </c>
      <c r="BF128" s="751">
        <v>-225064</v>
      </c>
      <c r="BG128" s="751">
        <v>-22506363</v>
      </c>
      <c r="BH128" s="751">
        <v>6324653</v>
      </c>
      <c r="BI128" s="751">
        <v>5192867</v>
      </c>
      <c r="BJ128" s="751">
        <v>1138437</v>
      </c>
      <c r="BK128" s="751">
        <v>126493</v>
      </c>
      <c r="BL128" s="751">
        <v>12782451</v>
      </c>
      <c r="BM128" s="751">
        <v>732703</v>
      </c>
      <c r="BN128" s="751">
        <v>164858</v>
      </c>
      <c r="BO128" s="751">
        <v>18318</v>
      </c>
      <c r="BP128" s="751">
        <v>915879</v>
      </c>
      <c r="BQ128" s="751">
        <v>1063362</v>
      </c>
      <c r="BR128" s="751">
        <v>239256</v>
      </c>
      <c r="BS128" s="751">
        <v>26584</v>
      </c>
      <c r="BT128" s="751">
        <v>1329202</v>
      </c>
      <c r="BU128" s="751">
        <v>67681</v>
      </c>
      <c r="BV128" s="751">
        <v>15228</v>
      </c>
      <c r="BW128" s="751">
        <v>1692</v>
      </c>
      <c r="BX128" s="751">
        <v>84601</v>
      </c>
      <c r="BY128" s="751">
        <v>0</v>
      </c>
      <c r="BZ128" s="751">
        <v>0</v>
      </c>
      <c r="CA128" s="751">
        <v>0</v>
      </c>
      <c r="CB128" s="751">
        <v>0</v>
      </c>
      <c r="CC128" s="751">
        <v>1017</v>
      </c>
      <c r="CD128" s="751">
        <v>229</v>
      </c>
      <c r="CE128" s="751">
        <v>25</v>
      </c>
      <c r="CF128" s="751">
        <v>1271</v>
      </c>
      <c r="CG128" s="751">
        <v>2118</v>
      </c>
      <c r="CH128" s="751">
        <v>477</v>
      </c>
      <c r="CI128" s="751">
        <v>53</v>
      </c>
      <c r="CJ128" s="751">
        <v>2648</v>
      </c>
      <c r="CK128" s="751">
        <v>0</v>
      </c>
      <c r="CL128" s="751">
        <v>0</v>
      </c>
      <c r="CM128" s="751">
        <v>0</v>
      </c>
      <c r="CN128" s="751">
        <v>0</v>
      </c>
      <c r="CO128" s="751">
        <v>0</v>
      </c>
      <c r="CP128" s="751">
        <v>0</v>
      </c>
      <c r="CQ128" s="751">
        <v>0</v>
      </c>
      <c r="CR128" s="751">
        <v>0</v>
      </c>
      <c r="CS128" s="751">
        <v>0</v>
      </c>
      <c r="CT128" s="751">
        <v>0</v>
      </c>
      <c r="CU128" s="751">
        <v>0</v>
      </c>
      <c r="CV128" s="751">
        <v>0</v>
      </c>
      <c r="CW128" s="751">
        <v>1866881</v>
      </c>
      <c r="CX128" s="751">
        <v>420048</v>
      </c>
      <c r="CY128" s="751">
        <v>46672</v>
      </c>
      <c r="CZ128" s="751">
        <v>2333601</v>
      </c>
      <c r="DA128" s="662" t="s">
        <v>124</v>
      </c>
      <c r="DB128" s="324" t="s">
        <v>532</v>
      </c>
      <c r="DC128" s="663" t="s">
        <v>1920</v>
      </c>
      <c r="DD128" s="529" t="s">
        <v>1335</v>
      </c>
    </row>
    <row r="129" spans="1:108" ht="12.75" x14ac:dyDescent="0.2">
      <c r="A129" s="664">
        <v>122</v>
      </c>
      <c r="B129" s="665" t="s">
        <v>127</v>
      </c>
      <c r="C129" s="666" t="s">
        <v>1213</v>
      </c>
      <c r="D129" s="667" t="s">
        <v>1214</v>
      </c>
      <c r="E129" s="668" t="s">
        <v>126</v>
      </c>
      <c r="F129" s="750">
        <v>79922883</v>
      </c>
      <c r="G129" s="751">
        <v>182106</v>
      </c>
      <c r="H129" s="751">
        <v>0</v>
      </c>
      <c r="I129" s="751">
        <v>262023</v>
      </c>
      <c r="J129" s="751">
        <v>0</v>
      </c>
      <c r="K129" s="751">
        <v>262023</v>
      </c>
      <c r="L129" s="751">
        <v>0</v>
      </c>
      <c r="M129" s="751">
        <v>0</v>
      </c>
      <c r="N129" s="751">
        <v>0</v>
      </c>
      <c r="O129" s="751">
        <v>0</v>
      </c>
      <c r="P129" s="751">
        <v>0</v>
      </c>
      <c r="Q129" s="751">
        <v>0</v>
      </c>
      <c r="R129" s="751">
        <v>79842966</v>
      </c>
      <c r="S129" s="749">
        <v>0.33</v>
      </c>
      <c r="T129" s="749">
        <v>0.3</v>
      </c>
      <c r="U129" s="749">
        <v>0.37</v>
      </c>
      <c r="V129" s="749">
        <v>0</v>
      </c>
      <c r="W129" s="749">
        <v>1</v>
      </c>
      <c r="X129" s="751">
        <v>26348179</v>
      </c>
      <c r="Y129" s="751">
        <v>23952890</v>
      </c>
      <c r="Z129" s="751">
        <v>29541897</v>
      </c>
      <c r="AA129" s="751">
        <v>0</v>
      </c>
      <c r="AB129" s="751">
        <v>79842966</v>
      </c>
      <c r="AC129" s="751">
        <v>0</v>
      </c>
      <c r="AD129" s="751">
        <v>0</v>
      </c>
      <c r="AE129" s="751">
        <v>26348179</v>
      </c>
      <c r="AF129" s="751">
        <v>23952890</v>
      </c>
      <c r="AG129" s="751">
        <v>29541897</v>
      </c>
      <c r="AH129" s="751">
        <v>0</v>
      </c>
      <c r="AI129" s="751">
        <v>79842966</v>
      </c>
      <c r="AJ129" s="751">
        <v>262023</v>
      </c>
      <c r="AK129" s="751">
        <v>262023</v>
      </c>
      <c r="AL129" s="751">
        <v>0</v>
      </c>
      <c r="AM129" s="751">
        <v>0</v>
      </c>
      <c r="AN129" s="751">
        <v>0</v>
      </c>
      <c r="AO129" s="751">
        <v>0</v>
      </c>
      <c r="AP129" s="751">
        <v>0</v>
      </c>
      <c r="AQ129" s="751">
        <v>0</v>
      </c>
      <c r="AR129" s="751">
        <v>0</v>
      </c>
      <c r="AS129" s="751">
        <v>0</v>
      </c>
      <c r="AT129" s="751">
        <v>0</v>
      </c>
      <c r="AU129" s="751">
        <v>0</v>
      </c>
      <c r="AV129" s="751">
        <v>0</v>
      </c>
      <c r="AW129" s="751">
        <v>0</v>
      </c>
      <c r="AX129" s="751">
        <v>0</v>
      </c>
      <c r="AY129" s="751">
        <v>0</v>
      </c>
      <c r="AZ129" s="751">
        <v>0</v>
      </c>
      <c r="BA129" s="751">
        <v>0</v>
      </c>
      <c r="BB129" s="751">
        <v>0</v>
      </c>
      <c r="BC129" s="751">
        <v>-15474764</v>
      </c>
      <c r="BD129" s="751">
        <v>-14148851</v>
      </c>
      <c r="BE129" s="751">
        <v>-17347196</v>
      </c>
      <c r="BF129" s="751">
        <v>0</v>
      </c>
      <c r="BG129" s="751">
        <v>-46970810</v>
      </c>
      <c r="BH129" s="751">
        <v>10873415</v>
      </c>
      <c r="BI129" s="751">
        <v>10066062</v>
      </c>
      <c r="BJ129" s="751">
        <v>12194701</v>
      </c>
      <c r="BK129" s="751">
        <v>0</v>
      </c>
      <c r="BL129" s="751">
        <v>33134179</v>
      </c>
      <c r="BM129" s="751">
        <v>1248046</v>
      </c>
      <c r="BN129" s="751">
        <v>1539257</v>
      </c>
      <c r="BO129" s="751">
        <v>0</v>
      </c>
      <c r="BP129" s="751">
        <v>2787303</v>
      </c>
      <c r="BQ129" s="751">
        <v>1811841</v>
      </c>
      <c r="BR129" s="751">
        <v>2234605</v>
      </c>
      <c r="BS129" s="751">
        <v>0</v>
      </c>
      <c r="BT129" s="751">
        <v>4046446</v>
      </c>
      <c r="BU129" s="751">
        <v>84752</v>
      </c>
      <c r="BV129" s="751">
        <v>104528</v>
      </c>
      <c r="BW129" s="751">
        <v>0</v>
      </c>
      <c r="BX129" s="751">
        <v>189280</v>
      </c>
      <c r="BY129" s="751">
        <v>0</v>
      </c>
      <c r="BZ129" s="751">
        <v>0</v>
      </c>
      <c r="CA129" s="751">
        <v>0</v>
      </c>
      <c r="CB129" s="751">
        <v>0</v>
      </c>
      <c r="CC129" s="751">
        <v>0</v>
      </c>
      <c r="CD129" s="751">
        <v>0</v>
      </c>
      <c r="CE129" s="751">
        <v>0</v>
      </c>
      <c r="CF129" s="751">
        <v>0</v>
      </c>
      <c r="CG129" s="751">
        <v>20117</v>
      </c>
      <c r="CH129" s="751">
        <v>24810</v>
      </c>
      <c r="CI129" s="751">
        <v>0</v>
      </c>
      <c r="CJ129" s="751">
        <v>44927</v>
      </c>
      <c r="CK129" s="751">
        <v>0</v>
      </c>
      <c r="CL129" s="751">
        <v>0</v>
      </c>
      <c r="CM129" s="751">
        <v>0</v>
      </c>
      <c r="CN129" s="751">
        <v>0</v>
      </c>
      <c r="CO129" s="751">
        <v>0</v>
      </c>
      <c r="CP129" s="751">
        <v>0</v>
      </c>
      <c r="CQ129" s="751">
        <v>0</v>
      </c>
      <c r="CR129" s="751">
        <v>0</v>
      </c>
      <c r="CS129" s="751">
        <v>0</v>
      </c>
      <c r="CT129" s="751">
        <v>0</v>
      </c>
      <c r="CU129" s="751">
        <v>0</v>
      </c>
      <c r="CV129" s="751">
        <v>0</v>
      </c>
      <c r="CW129" s="751">
        <v>3164756</v>
      </c>
      <c r="CX129" s="751">
        <v>3903200</v>
      </c>
      <c r="CY129" s="751">
        <v>0</v>
      </c>
      <c r="CZ129" s="751">
        <v>7067956</v>
      </c>
      <c r="DA129" s="662" t="s">
        <v>126</v>
      </c>
      <c r="DB129" s="324" t="s">
        <v>576</v>
      </c>
      <c r="DC129" s="669" t="s">
        <v>485</v>
      </c>
      <c r="DD129" s="529" t="s">
        <v>1336</v>
      </c>
    </row>
    <row r="130" spans="1:108" ht="12.75" x14ac:dyDescent="0.2">
      <c r="A130" s="664">
        <v>123</v>
      </c>
      <c r="B130" s="665" t="s">
        <v>129</v>
      </c>
      <c r="C130" s="666" t="s">
        <v>486</v>
      </c>
      <c r="D130" s="667" t="s">
        <v>1228</v>
      </c>
      <c r="E130" s="668" t="s">
        <v>533</v>
      </c>
      <c r="F130" s="750">
        <v>46362893</v>
      </c>
      <c r="G130" s="751">
        <v>673225</v>
      </c>
      <c r="H130" s="751">
        <v>0</v>
      </c>
      <c r="I130" s="751">
        <v>299345</v>
      </c>
      <c r="J130" s="751">
        <v>0</v>
      </c>
      <c r="K130" s="751">
        <v>299345</v>
      </c>
      <c r="L130" s="751">
        <v>0</v>
      </c>
      <c r="M130" s="751">
        <v>226241</v>
      </c>
      <c r="N130" s="751">
        <v>245000</v>
      </c>
      <c r="O130" s="751">
        <v>245000</v>
      </c>
      <c r="P130" s="751">
        <v>0</v>
      </c>
      <c r="Q130" s="751">
        <v>0</v>
      </c>
      <c r="R130" s="751">
        <v>46265532</v>
      </c>
      <c r="S130" s="749">
        <v>0.5</v>
      </c>
      <c r="T130" s="749">
        <v>0.49</v>
      </c>
      <c r="U130" s="749">
        <v>0</v>
      </c>
      <c r="V130" s="749">
        <v>0.01</v>
      </c>
      <c r="W130" s="749">
        <v>1</v>
      </c>
      <c r="X130" s="751">
        <v>23132766</v>
      </c>
      <c r="Y130" s="751">
        <v>22670111</v>
      </c>
      <c r="Z130" s="751">
        <v>0</v>
      </c>
      <c r="AA130" s="751">
        <v>462655</v>
      </c>
      <c r="AB130" s="751">
        <v>46265532</v>
      </c>
      <c r="AC130" s="751">
        <v>345410</v>
      </c>
      <c r="AD130" s="751">
        <v>345410</v>
      </c>
      <c r="AE130" s="751">
        <v>22787356</v>
      </c>
      <c r="AF130" s="751">
        <v>22670111</v>
      </c>
      <c r="AG130" s="751">
        <v>0</v>
      </c>
      <c r="AH130" s="751">
        <v>462655</v>
      </c>
      <c r="AI130" s="751">
        <v>45920122</v>
      </c>
      <c r="AJ130" s="751">
        <v>299345</v>
      </c>
      <c r="AK130" s="751">
        <v>299345</v>
      </c>
      <c r="AL130" s="751">
        <v>226241</v>
      </c>
      <c r="AM130" s="751">
        <v>226241</v>
      </c>
      <c r="AN130" s="751">
        <v>245000</v>
      </c>
      <c r="AO130" s="751">
        <v>0</v>
      </c>
      <c r="AP130" s="751">
        <v>245000</v>
      </c>
      <c r="AQ130" s="751">
        <v>0</v>
      </c>
      <c r="AR130" s="751">
        <v>0</v>
      </c>
      <c r="AS130" s="751">
        <v>0</v>
      </c>
      <c r="AT130" s="751">
        <v>0</v>
      </c>
      <c r="AU130" s="751">
        <v>345410</v>
      </c>
      <c r="AV130" s="751">
        <v>0</v>
      </c>
      <c r="AW130" s="751">
        <v>0</v>
      </c>
      <c r="AX130" s="751">
        <v>345410</v>
      </c>
      <c r="AY130" s="751">
        <v>0</v>
      </c>
      <c r="AZ130" s="751">
        <v>0</v>
      </c>
      <c r="BA130" s="751">
        <v>0</v>
      </c>
      <c r="BB130" s="751">
        <v>0</v>
      </c>
      <c r="BC130" s="751">
        <v>-12873853</v>
      </c>
      <c r="BD130" s="751">
        <v>-12616376</v>
      </c>
      <c r="BE130" s="751">
        <v>0</v>
      </c>
      <c r="BF130" s="751">
        <v>-257477</v>
      </c>
      <c r="BG130" s="751">
        <v>-25747707</v>
      </c>
      <c r="BH130" s="751">
        <v>9913503</v>
      </c>
      <c r="BI130" s="751">
        <v>11169731</v>
      </c>
      <c r="BJ130" s="751">
        <v>0</v>
      </c>
      <c r="BK130" s="751">
        <v>205178</v>
      </c>
      <c r="BL130" s="751">
        <v>21288411</v>
      </c>
      <c r="BM130" s="751">
        <v>1223759</v>
      </c>
      <c r="BN130" s="751">
        <v>0</v>
      </c>
      <c r="BO130" s="751">
        <v>24106</v>
      </c>
      <c r="BP130" s="751">
        <v>1247865</v>
      </c>
      <c r="BQ130" s="751">
        <v>3346358</v>
      </c>
      <c r="BR130" s="751">
        <v>0</v>
      </c>
      <c r="BS130" s="751">
        <v>66974</v>
      </c>
      <c r="BT130" s="751">
        <v>3413332</v>
      </c>
      <c r="BU130" s="751">
        <v>155590</v>
      </c>
      <c r="BV130" s="751">
        <v>0</v>
      </c>
      <c r="BW130" s="751">
        <v>3075</v>
      </c>
      <c r="BX130" s="751">
        <v>158665</v>
      </c>
      <c r="BY130" s="751">
        <v>0</v>
      </c>
      <c r="BZ130" s="751">
        <v>0</v>
      </c>
      <c r="CA130" s="751">
        <v>0</v>
      </c>
      <c r="CB130" s="751">
        <v>0</v>
      </c>
      <c r="CC130" s="751">
        <v>43895</v>
      </c>
      <c r="CD130" s="751">
        <v>0</v>
      </c>
      <c r="CE130" s="751">
        <v>896</v>
      </c>
      <c r="CF130" s="751">
        <v>44791</v>
      </c>
      <c r="CG130" s="751">
        <v>38665</v>
      </c>
      <c r="CH130" s="751">
        <v>0</v>
      </c>
      <c r="CI130" s="751">
        <v>789</v>
      </c>
      <c r="CJ130" s="751">
        <v>39454</v>
      </c>
      <c r="CK130" s="751">
        <v>0</v>
      </c>
      <c r="CL130" s="751">
        <v>0</v>
      </c>
      <c r="CM130" s="751">
        <v>0</v>
      </c>
      <c r="CN130" s="751">
        <v>0</v>
      </c>
      <c r="CO130" s="751">
        <v>0</v>
      </c>
      <c r="CP130" s="751">
        <v>0</v>
      </c>
      <c r="CQ130" s="751">
        <v>0</v>
      </c>
      <c r="CR130" s="751">
        <v>0</v>
      </c>
      <c r="CS130" s="751">
        <v>0</v>
      </c>
      <c r="CT130" s="751">
        <v>0</v>
      </c>
      <c r="CU130" s="751">
        <v>0</v>
      </c>
      <c r="CV130" s="751">
        <v>0</v>
      </c>
      <c r="CW130" s="751">
        <v>4808267</v>
      </c>
      <c r="CX130" s="751">
        <v>0</v>
      </c>
      <c r="CY130" s="751">
        <v>95840</v>
      </c>
      <c r="CZ130" s="751">
        <v>4904107</v>
      </c>
      <c r="DA130" s="662" t="s">
        <v>533</v>
      </c>
      <c r="DB130" s="324" t="s">
        <v>486</v>
      </c>
      <c r="DC130" s="663" t="s">
        <v>534</v>
      </c>
      <c r="DD130" s="529" t="s">
        <v>1337</v>
      </c>
    </row>
    <row r="131" spans="1:108" ht="12.75" x14ac:dyDescent="0.2">
      <c r="A131" s="664">
        <v>124</v>
      </c>
      <c r="B131" s="665" t="s">
        <v>131</v>
      </c>
      <c r="C131" s="666" t="s">
        <v>1201</v>
      </c>
      <c r="D131" s="667" t="s">
        <v>1211</v>
      </c>
      <c r="E131" s="668" t="s">
        <v>130</v>
      </c>
      <c r="F131" s="750">
        <v>48775579</v>
      </c>
      <c r="G131" s="751">
        <v>0</v>
      </c>
      <c r="H131" s="751">
        <v>115132</v>
      </c>
      <c r="I131" s="751">
        <v>142435</v>
      </c>
      <c r="J131" s="751">
        <v>0</v>
      </c>
      <c r="K131" s="751">
        <v>142435</v>
      </c>
      <c r="L131" s="751">
        <v>0</v>
      </c>
      <c r="M131" s="751">
        <v>0</v>
      </c>
      <c r="N131" s="751">
        <v>0</v>
      </c>
      <c r="O131" s="751">
        <v>0</v>
      </c>
      <c r="P131" s="751">
        <v>0</v>
      </c>
      <c r="Q131" s="751">
        <v>0</v>
      </c>
      <c r="R131" s="751">
        <v>48518012</v>
      </c>
      <c r="S131" s="749">
        <v>0.5</v>
      </c>
      <c r="T131" s="749">
        <v>0.4</v>
      </c>
      <c r="U131" s="749">
        <v>0.1</v>
      </c>
      <c r="V131" s="749">
        <v>0</v>
      </c>
      <c r="W131" s="749">
        <v>1</v>
      </c>
      <c r="X131" s="751">
        <v>24259006</v>
      </c>
      <c r="Y131" s="751">
        <v>19407205</v>
      </c>
      <c r="Z131" s="751">
        <v>4851801</v>
      </c>
      <c r="AA131" s="751">
        <v>0</v>
      </c>
      <c r="AB131" s="751">
        <v>48518012</v>
      </c>
      <c r="AC131" s="751">
        <v>0</v>
      </c>
      <c r="AD131" s="751">
        <v>0</v>
      </c>
      <c r="AE131" s="751">
        <v>24259006</v>
      </c>
      <c r="AF131" s="751">
        <v>19407205</v>
      </c>
      <c r="AG131" s="751">
        <v>4851801</v>
      </c>
      <c r="AH131" s="751">
        <v>0</v>
      </c>
      <c r="AI131" s="751">
        <v>48518012</v>
      </c>
      <c r="AJ131" s="751">
        <v>142435</v>
      </c>
      <c r="AK131" s="751">
        <v>142435</v>
      </c>
      <c r="AL131" s="751">
        <v>0</v>
      </c>
      <c r="AM131" s="751">
        <v>0</v>
      </c>
      <c r="AN131" s="751">
        <v>0</v>
      </c>
      <c r="AO131" s="751">
        <v>0</v>
      </c>
      <c r="AP131" s="751">
        <v>0</v>
      </c>
      <c r="AQ131" s="751">
        <v>0</v>
      </c>
      <c r="AR131" s="751">
        <v>0</v>
      </c>
      <c r="AS131" s="751">
        <v>0</v>
      </c>
      <c r="AT131" s="751">
        <v>0</v>
      </c>
      <c r="AU131" s="751">
        <v>0</v>
      </c>
      <c r="AV131" s="751">
        <v>0</v>
      </c>
      <c r="AW131" s="751">
        <v>0</v>
      </c>
      <c r="AX131" s="751">
        <v>0</v>
      </c>
      <c r="AY131" s="751">
        <v>0</v>
      </c>
      <c r="AZ131" s="751">
        <v>0</v>
      </c>
      <c r="BA131" s="751">
        <v>0</v>
      </c>
      <c r="BB131" s="751">
        <v>0</v>
      </c>
      <c r="BC131" s="751">
        <v>-10856235</v>
      </c>
      <c r="BD131" s="751">
        <v>-8355526</v>
      </c>
      <c r="BE131" s="751">
        <v>-1402502</v>
      </c>
      <c r="BF131" s="751">
        <v>0</v>
      </c>
      <c r="BG131" s="751">
        <v>-20614262</v>
      </c>
      <c r="BH131" s="751">
        <v>13402771</v>
      </c>
      <c r="BI131" s="751">
        <v>11194114</v>
      </c>
      <c r="BJ131" s="751">
        <v>3449299</v>
      </c>
      <c r="BK131" s="751">
        <v>0</v>
      </c>
      <c r="BL131" s="751">
        <v>28046185</v>
      </c>
      <c r="BM131" s="751">
        <v>1011197</v>
      </c>
      <c r="BN131" s="751">
        <v>252799</v>
      </c>
      <c r="BO131" s="751">
        <v>0</v>
      </c>
      <c r="BP131" s="751">
        <v>1263996</v>
      </c>
      <c r="BQ131" s="751">
        <v>992746</v>
      </c>
      <c r="BR131" s="751">
        <v>248186</v>
      </c>
      <c r="BS131" s="751">
        <v>0</v>
      </c>
      <c r="BT131" s="751">
        <v>1240932</v>
      </c>
      <c r="BU131" s="751">
        <v>97497</v>
      </c>
      <c r="BV131" s="751">
        <v>24374</v>
      </c>
      <c r="BW131" s="751">
        <v>0</v>
      </c>
      <c r="BX131" s="751">
        <v>121871</v>
      </c>
      <c r="BY131" s="751">
        <v>0</v>
      </c>
      <c r="BZ131" s="751">
        <v>0</v>
      </c>
      <c r="CA131" s="751">
        <v>0</v>
      </c>
      <c r="CB131" s="751">
        <v>0</v>
      </c>
      <c r="CC131" s="751">
        <v>0</v>
      </c>
      <c r="CD131" s="751">
        <v>0</v>
      </c>
      <c r="CE131" s="751">
        <v>0</v>
      </c>
      <c r="CF131" s="751">
        <v>0</v>
      </c>
      <c r="CG131" s="751">
        <v>2591</v>
      </c>
      <c r="CH131" s="751">
        <v>648</v>
      </c>
      <c r="CI131" s="751">
        <v>0</v>
      </c>
      <c r="CJ131" s="751">
        <v>3239</v>
      </c>
      <c r="CK131" s="751">
        <v>0</v>
      </c>
      <c r="CL131" s="751">
        <v>0</v>
      </c>
      <c r="CM131" s="751">
        <v>0</v>
      </c>
      <c r="CN131" s="751">
        <v>0</v>
      </c>
      <c r="CO131" s="751">
        <v>0</v>
      </c>
      <c r="CP131" s="751">
        <v>0</v>
      </c>
      <c r="CQ131" s="751">
        <v>0</v>
      </c>
      <c r="CR131" s="751">
        <v>0</v>
      </c>
      <c r="CS131" s="751">
        <v>0</v>
      </c>
      <c r="CT131" s="751">
        <v>0</v>
      </c>
      <c r="CU131" s="751">
        <v>0</v>
      </c>
      <c r="CV131" s="751">
        <v>0</v>
      </c>
      <c r="CW131" s="751">
        <v>2104031</v>
      </c>
      <c r="CX131" s="751">
        <v>526007</v>
      </c>
      <c r="CY131" s="751">
        <v>0</v>
      </c>
      <c r="CZ131" s="751">
        <v>2630038</v>
      </c>
      <c r="DA131" s="662" t="s">
        <v>130</v>
      </c>
      <c r="DB131" s="324" t="s">
        <v>536</v>
      </c>
      <c r="DC131" s="663" t="s">
        <v>512</v>
      </c>
      <c r="DD131" s="529" t="s">
        <v>1338</v>
      </c>
    </row>
    <row r="132" spans="1:108" ht="12.75" x14ac:dyDescent="0.2">
      <c r="A132" s="664">
        <v>125</v>
      </c>
      <c r="B132" s="665" t="s">
        <v>133</v>
      </c>
      <c r="C132" s="666" t="s">
        <v>1201</v>
      </c>
      <c r="D132" s="667" t="s">
        <v>1206</v>
      </c>
      <c r="E132" s="668" t="s">
        <v>132</v>
      </c>
      <c r="F132" s="750">
        <v>26699970</v>
      </c>
      <c r="G132" s="751">
        <v>209575</v>
      </c>
      <c r="H132" s="751">
        <v>0</v>
      </c>
      <c r="I132" s="751">
        <v>134037</v>
      </c>
      <c r="J132" s="751">
        <v>0</v>
      </c>
      <c r="K132" s="751">
        <v>134037</v>
      </c>
      <c r="L132" s="751">
        <v>0</v>
      </c>
      <c r="M132" s="751">
        <v>0</v>
      </c>
      <c r="N132" s="751">
        <v>0</v>
      </c>
      <c r="O132" s="751">
        <v>0</v>
      </c>
      <c r="P132" s="751">
        <v>0</v>
      </c>
      <c r="Q132" s="751">
        <v>0</v>
      </c>
      <c r="R132" s="751">
        <v>26775508</v>
      </c>
      <c r="S132" s="749">
        <v>0.5</v>
      </c>
      <c r="T132" s="749">
        <v>0.4</v>
      </c>
      <c r="U132" s="749">
        <v>0.09</v>
      </c>
      <c r="V132" s="749">
        <v>0.01</v>
      </c>
      <c r="W132" s="749">
        <v>1</v>
      </c>
      <c r="X132" s="751">
        <v>13387754</v>
      </c>
      <c r="Y132" s="751">
        <v>10710203</v>
      </c>
      <c r="Z132" s="751">
        <v>2409796</v>
      </c>
      <c r="AA132" s="751">
        <v>267755</v>
      </c>
      <c r="AB132" s="751">
        <v>26775508</v>
      </c>
      <c r="AC132" s="751">
        <v>0</v>
      </c>
      <c r="AD132" s="751">
        <v>0</v>
      </c>
      <c r="AE132" s="751">
        <v>13387754</v>
      </c>
      <c r="AF132" s="751">
        <v>10710203</v>
      </c>
      <c r="AG132" s="751">
        <v>2409796</v>
      </c>
      <c r="AH132" s="751">
        <v>267755</v>
      </c>
      <c r="AI132" s="751">
        <v>26775508</v>
      </c>
      <c r="AJ132" s="751">
        <v>134037</v>
      </c>
      <c r="AK132" s="751">
        <v>134037</v>
      </c>
      <c r="AL132" s="751">
        <v>0</v>
      </c>
      <c r="AM132" s="751">
        <v>0</v>
      </c>
      <c r="AN132" s="751">
        <v>0</v>
      </c>
      <c r="AO132" s="751">
        <v>0</v>
      </c>
      <c r="AP132" s="751">
        <v>0</v>
      </c>
      <c r="AQ132" s="751">
        <v>0</v>
      </c>
      <c r="AR132" s="751">
        <v>0</v>
      </c>
      <c r="AS132" s="751">
        <v>0</v>
      </c>
      <c r="AT132" s="751">
        <v>0</v>
      </c>
      <c r="AU132" s="751">
        <v>0</v>
      </c>
      <c r="AV132" s="751">
        <v>0</v>
      </c>
      <c r="AW132" s="751">
        <v>0</v>
      </c>
      <c r="AX132" s="751">
        <v>0</v>
      </c>
      <c r="AY132" s="751">
        <v>0</v>
      </c>
      <c r="AZ132" s="751">
        <v>0</v>
      </c>
      <c r="BA132" s="751">
        <v>0</v>
      </c>
      <c r="BB132" s="751">
        <v>0</v>
      </c>
      <c r="BC132" s="751">
        <v>-4334738</v>
      </c>
      <c r="BD132" s="751">
        <v>-3467790</v>
      </c>
      <c r="BE132" s="751">
        <v>-780253</v>
      </c>
      <c r="BF132" s="751">
        <v>-86695</v>
      </c>
      <c r="BG132" s="751">
        <v>-8669475</v>
      </c>
      <c r="BH132" s="751">
        <v>9053017</v>
      </c>
      <c r="BI132" s="751">
        <v>7376450</v>
      </c>
      <c r="BJ132" s="751">
        <v>1629543</v>
      </c>
      <c r="BK132" s="751">
        <v>181060</v>
      </c>
      <c r="BL132" s="751">
        <v>18240070</v>
      </c>
      <c r="BM132" s="751">
        <v>558047</v>
      </c>
      <c r="BN132" s="751">
        <v>125561</v>
      </c>
      <c r="BO132" s="751">
        <v>13951</v>
      </c>
      <c r="BP132" s="751">
        <v>697559</v>
      </c>
      <c r="BQ132" s="751">
        <v>1340553</v>
      </c>
      <c r="BR132" s="751">
        <v>301624</v>
      </c>
      <c r="BS132" s="751">
        <v>33514</v>
      </c>
      <c r="BT132" s="751">
        <v>1675691</v>
      </c>
      <c r="BU132" s="751">
        <v>60538</v>
      </c>
      <c r="BV132" s="751">
        <v>13621</v>
      </c>
      <c r="BW132" s="751">
        <v>1513</v>
      </c>
      <c r="BX132" s="751">
        <v>75672</v>
      </c>
      <c r="BY132" s="751">
        <v>0</v>
      </c>
      <c r="BZ132" s="751">
        <v>0</v>
      </c>
      <c r="CA132" s="751">
        <v>0</v>
      </c>
      <c r="CB132" s="751">
        <v>0</v>
      </c>
      <c r="CC132" s="751">
        <v>5433</v>
      </c>
      <c r="CD132" s="751">
        <v>1223</v>
      </c>
      <c r="CE132" s="751">
        <v>136</v>
      </c>
      <c r="CF132" s="751">
        <v>6792</v>
      </c>
      <c r="CG132" s="751">
        <v>0</v>
      </c>
      <c r="CH132" s="751">
        <v>0</v>
      </c>
      <c r="CI132" s="751">
        <v>0</v>
      </c>
      <c r="CJ132" s="751">
        <v>0</v>
      </c>
      <c r="CK132" s="751">
        <v>0</v>
      </c>
      <c r="CL132" s="751">
        <v>0</v>
      </c>
      <c r="CM132" s="751">
        <v>0</v>
      </c>
      <c r="CN132" s="751">
        <v>0</v>
      </c>
      <c r="CO132" s="751">
        <v>0</v>
      </c>
      <c r="CP132" s="751">
        <v>0</v>
      </c>
      <c r="CQ132" s="751">
        <v>0</v>
      </c>
      <c r="CR132" s="751">
        <v>0</v>
      </c>
      <c r="CS132" s="751">
        <v>0</v>
      </c>
      <c r="CT132" s="751">
        <v>0</v>
      </c>
      <c r="CU132" s="751">
        <v>0</v>
      </c>
      <c r="CV132" s="751">
        <v>0</v>
      </c>
      <c r="CW132" s="751">
        <v>1964571</v>
      </c>
      <c r="CX132" s="751">
        <v>442029</v>
      </c>
      <c r="CY132" s="751">
        <v>49114</v>
      </c>
      <c r="CZ132" s="751">
        <v>2455714</v>
      </c>
      <c r="DA132" s="662" t="s">
        <v>132</v>
      </c>
      <c r="DB132" s="324" t="s">
        <v>516</v>
      </c>
      <c r="DC132" s="663" t="s">
        <v>515</v>
      </c>
      <c r="DD132" s="529" t="s">
        <v>1339</v>
      </c>
    </row>
    <row r="133" spans="1:108" ht="12.75" x14ac:dyDescent="0.2">
      <c r="A133" s="664">
        <v>126</v>
      </c>
      <c r="B133" s="665" t="s">
        <v>135</v>
      </c>
      <c r="C133" s="666" t="s">
        <v>1213</v>
      </c>
      <c r="D133" s="667" t="s">
        <v>1214</v>
      </c>
      <c r="E133" s="668" t="s">
        <v>134</v>
      </c>
      <c r="F133" s="750">
        <v>368959000</v>
      </c>
      <c r="G133" s="751">
        <v>0</v>
      </c>
      <c r="H133" s="751">
        <v>0</v>
      </c>
      <c r="I133" s="751">
        <v>566133</v>
      </c>
      <c r="J133" s="751">
        <v>0</v>
      </c>
      <c r="K133" s="751">
        <v>566133</v>
      </c>
      <c r="L133" s="751">
        <v>0</v>
      </c>
      <c r="M133" s="751">
        <v>0</v>
      </c>
      <c r="N133" s="751">
        <v>0</v>
      </c>
      <c r="O133" s="751">
        <v>0</v>
      </c>
      <c r="P133" s="751">
        <v>0</v>
      </c>
      <c r="Q133" s="751">
        <v>0</v>
      </c>
      <c r="R133" s="751">
        <v>368392867</v>
      </c>
      <c r="S133" s="749">
        <v>0.33</v>
      </c>
      <c r="T133" s="749">
        <v>0.3</v>
      </c>
      <c r="U133" s="749">
        <v>0.37</v>
      </c>
      <c r="V133" s="749">
        <v>0</v>
      </c>
      <c r="W133" s="749">
        <v>1</v>
      </c>
      <c r="X133" s="751">
        <v>121569646</v>
      </c>
      <c r="Y133" s="751">
        <v>110517860</v>
      </c>
      <c r="Z133" s="751">
        <v>136305361</v>
      </c>
      <c r="AA133" s="751">
        <v>0</v>
      </c>
      <c r="AB133" s="751">
        <v>368392867</v>
      </c>
      <c r="AC133" s="751">
        <v>0</v>
      </c>
      <c r="AD133" s="751">
        <v>0</v>
      </c>
      <c r="AE133" s="751">
        <v>121569646</v>
      </c>
      <c r="AF133" s="751">
        <v>110517860</v>
      </c>
      <c r="AG133" s="751">
        <v>136305361</v>
      </c>
      <c r="AH133" s="751">
        <v>0</v>
      </c>
      <c r="AI133" s="751">
        <v>368392867</v>
      </c>
      <c r="AJ133" s="751">
        <v>566133</v>
      </c>
      <c r="AK133" s="751">
        <v>566133</v>
      </c>
      <c r="AL133" s="751">
        <v>0</v>
      </c>
      <c r="AM133" s="751">
        <v>0</v>
      </c>
      <c r="AN133" s="751">
        <v>0</v>
      </c>
      <c r="AO133" s="751">
        <v>0</v>
      </c>
      <c r="AP133" s="751">
        <v>0</v>
      </c>
      <c r="AQ133" s="751">
        <v>0</v>
      </c>
      <c r="AR133" s="751">
        <v>0</v>
      </c>
      <c r="AS133" s="751">
        <v>0</v>
      </c>
      <c r="AT133" s="751">
        <v>0</v>
      </c>
      <c r="AU133" s="751">
        <v>0</v>
      </c>
      <c r="AV133" s="751">
        <v>0</v>
      </c>
      <c r="AW133" s="751">
        <v>0</v>
      </c>
      <c r="AX133" s="751">
        <v>0</v>
      </c>
      <c r="AY133" s="751">
        <v>0</v>
      </c>
      <c r="AZ133" s="751">
        <v>0</v>
      </c>
      <c r="BA133" s="751">
        <v>0</v>
      </c>
      <c r="BB133" s="751">
        <v>0</v>
      </c>
      <c r="BC133" s="751">
        <v>-34417137</v>
      </c>
      <c r="BD133" s="751">
        <v>-31808501</v>
      </c>
      <c r="BE133" s="751">
        <v>-38567704</v>
      </c>
      <c r="BF133" s="751">
        <v>0</v>
      </c>
      <c r="BG133" s="751">
        <v>-104793343</v>
      </c>
      <c r="BH133" s="751">
        <v>87152509</v>
      </c>
      <c r="BI133" s="751">
        <v>79275492</v>
      </c>
      <c r="BJ133" s="751">
        <v>97737657</v>
      </c>
      <c r="BK133" s="751">
        <v>0</v>
      </c>
      <c r="BL133" s="751">
        <v>264165657</v>
      </c>
      <c r="BM133" s="751">
        <v>5758446</v>
      </c>
      <c r="BN133" s="751">
        <v>7102083</v>
      </c>
      <c r="BO133" s="751">
        <v>0</v>
      </c>
      <c r="BP133" s="751">
        <v>12860529</v>
      </c>
      <c r="BQ133" s="751">
        <v>1892807</v>
      </c>
      <c r="BR133" s="751">
        <v>2334461</v>
      </c>
      <c r="BS133" s="751">
        <v>0</v>
      </c>
      <c r="BT133" s="751">
        <v>4227268</v>
      </c>
      <c r="BU133" s="751">
        <v>92337</v>
      </c>
      <c r="BV133" s="751">
        <v>113883</v>
      </c>
      <c r="BW133" s="751">
        <v>0</v>
      </c>
      <c r="BX133" s="751">
        <v>206220</v>
      </c>
      <c r="BY133" s="751">
        <v>0</v>
      </c>
      <c r="BZ133" s="751">
        <v>0</v>
      </c>
      <c r="CA133" s="751">
        <v>0</v>
      </c>
      <c r="CB133" s="751">
        <v>0</v>
      </c>
      <c r="CC133" s="751">
        <v>0</v>
      </c>
      <c r="CD133" s="751">
        <v>0</v>
      </c>
      <c r="CE133" s="751">
        <v>0</v>
      </c>
      <c r="CF133" s="751">
        <v>0</v>
      </c>
      <c r="CG133" s="751">
        <v>6944</v>
      </c>
      <c r="CH133" s="751">
        <v>8564</v>
      </c>
      <c r="CI133" s="751">
        <v>0</v>
      </c>
      <c r="CJ133" s="751">
        <v>15508</v>
      </c>
      <c r="CK133" s="751">
        <v>0</v>
      </c>
      <c r="CL133" s="751">
        <v>0</v>
      </c>
      <c r="CM133" s="751">
        <v>0</v>
      </c>
      <c r="CN133" s="751">
        <v>0</v>
      </c>
      <c r="CO133" s="751">
        <v>0</v>
      </c>
      <c r="CP133" s="751">
        <v>0</v>
      </c>
      <c r="CQ133" s="751">
        <v>0</v>
      </c>
      <c r="CR133" s="751">
        <v>0</v>
      </c>
      <c r="CS133" s="751">
        <v>0</v>
      </c>
      <c r="CT133" s="751">
        <v>0</v>
      </c>
      <c r="CU133" s="751">
        <v>0</v>
      </c>
      <c r="CV133" s="751">
        <v>0</v>
      </c>
      <c r="CW133" s="751">
        <v>7750534</v>
      </c>
      <c r="CX133" s="751">
        <v>9558991</v>
      </c>
      <c r="CY133" s="751">
        <v>0</v>
      </c>
      <c r="CZ133" s="751">
        <v>17309525</v>
      </c>
      <c r="DA133" s="662" t="s">
        <v>134</v>
      </c>
      <c r="DB133" s="324" t="s">
        <v>576</v>
      </c>
      <c r="DC133" s="669" t="s">
        <v>485</v>
      </c>
      <c r="DD133" s="529" t="s">
        <v>1340</v>
      </c>
    </row>
    <row r="134" spans="1:108" ht="12.75" x14ac:dyDescent="0.2">
      <c r="A134" s="664">
        <v>127</v>
      </c>
      <c r="B134" s="665" t="s">
        <v>137</v>
      </c>
      <c r="C134" s="666" t="s">
        <v>1201</v>
      </c>
      <c r="D134" s="667" t="s">
        <v>1206</v>
      </c>
      <c r="E134" s="668" t="s">
        <v>136</v>
      </c>
      <c r="F134" s="750">
        <v>34772369</v>
      </c>
      <c r="G134" s="751">
        <v>136104</v>
      </c>
      <c r="H134" s="751">
        <v>0</v>
      </c>
      <c r="I134" s="751">
        <v>122995</v>
      </c>
      <c r="J134" s="751">
        <v>0</v>
      </c>
      <c r="K134" s="751">
        <v>122995</v>
      </c>
      <c r="L134" s="751">
        <v>0</v>
      </c>
      <c r="M134" s="751">
        <v>264092</v>
      </c>
      <c r="N134" s="751">
        <v>97617</v>
      </c>
      <c r="O134" s="751">
        <v>97617</v>
      </c>
      <c r="P134" s="751">
        <v>0</v>
      </c>
      <c r="Q134" s="751">
        <v>0</v>
      </c>
      <c r="R134" s="751">
        <v>34423769</v>
      </c>
      <c r="S134" s="749">
        <v>0.5</v>
      </c>
      <c r="T134" s="749">
        <v>0.4</v>
      </c>
      <c r="U134" s="749">
        <v>0.09</v>
      </c>
      <c r="V134" s="749">
        <v>0.01</v>
      </c>
      <c r="W134" s="749">
        <v>1</v>
      </c>
      <c r="X134" s="751">
        <v>17211884</v>
      </c>
      <c r="Y134" s="751">
        <v>13769508</v>
      </c>
      <c r="Z134" s="751">
        <v>3098139</v>
      </c>
      <c r="AA134" s="751">
        <v>344238</v>
      </c>
      <c r="AB134" s="751">
        <v>34423769</v>
      </c>
      <c r="AC134" s="751">
        <v>80299</v>
      </c>
      <c r="AD134" s="751">
        <v>80299</v>
      </c>
      <c r="AE134" s="751">
        <v>17131585</v>
      </c>
      <c r="AF134" s="751">
        <v>13769508</v>
      </c>
      <c r="AG134" s="751">
        <v>3098139</v>
      </c>
      <c r="AH134" s="751">
        <v>344238</v>
      </c>
      <c r="AI134" s="751">
        <v>34343470</v>
      </c>
      <c r="AJ134" s="751">
        <v>122995</v>
      </c>
      <c r="AK134" s="751">
        <v>122995</v>
      </c>
      <c r="AL134" s="751">
        <v>264092</v>
      </c>
      <c r="AM134" s="751">
        <v>264092</v>
      </c>
      <c r="AN134" s="751">
        <v>97617</v>
      </c>
      <c r="AO134" s="751">
        <v>0</v>
      </c>
      <c r="AP134" s="751">
        <v>97617</v>
      </c>
      <c r="AQ134" s="751">
        <v>0</v>
      </c>
      <c r="AR134" s="751">
        <v>0</v>
      </c>
      <c r="AS134" s="751">
        <v>0</v>
      </c>
      <c r="AT134" s="751">
        <v>0</v>
      </c>
      <c r="AU134" s="751">
        <v>80299</v>
      </c>
      <c r="AV134" s="751">
        <v>0</v>
      </c>
      <c r="AW134" s="751">
        <v>0</v>
      </c>
      <c r="AX134" s="751">
        <v>80299</v>
      </c>
      <c r="AY134" s="751">
        <v>0</v>
      </c>
      <c r="AZ134" s="751">
        <v>0</v>
      </c>
      <c r="BA134" s="751">
        <v>0</v>
      </c>
      <c r="BB134" s="751">
        <v>0</v>
      </c>
      <c r="BC134" s="751">
        <v>-4142340</v>
      </c>
      <c r="BD134" s="751">
        <v>-2981067</v>
      </c>
      <c r="BE134" s="751">
        <v>-137064</v>
      </c>
      <c r="BF134" s="751">
        <v>-73338</v>
      </c>
      <c r="BG134" s="751">
        <v>-7333809</v>
      </c>
      <c r="BH134" s="751">
        <v>12989245</v>
      </c>
      <c r="BI134" s="751">
        <v>11353444</v>
      </c>
      <c r="BJ134" s="751">
        <v>2961075</v>
      </c>
      <c r="BK134" s="751">
        <v>270900</v>
      </c>
      <c r="BL134" s="751">
        <v>27574664</v>
      </c>
      <c r="BM134" s="751">
        <v>740480</v>
      </c>
      <c r="BN134" s="751">
        <v>161426</v>
      </c>
      <c r="BO134" s="751">
        <v>17936</v>
      </c>
      <c r="BP134" s="751">
        <v>919842</v>
      </c>
      <c r="BQ134" s="751">
        <v>1261786</v>
      </c>
      <c r="BR134" s="751">
        <v>283902</v>
      </c>
      <c r="BS134" s="751">
        <v>31545</v>
      </c>
      <c r="BT134" s="751">
        <v>1577233</v>
      </c>
      <c r="BU134" s="751">
        <v>64141</v>
      </c>
      <c r="BV134" s="751">
        <v>14054</v>
      </c>
      <c r="BW134" s="751">
        <v>1562</v>
      </c>
      <c r="BX134" s="751">
        <v>79757</v>
      </c>
      <c r="BY134" s="751">
        <v>2394</v>
      </c>
      <c r="BZ134" s="751">
        <v>539</v>
      </c>
      <c r="CA134" s="751">
        <v>60</v>
      </c>
      <c r="CB134" s="751">
        <v>2993</v>
      </c>
      <c r="CC134" s="751">
        <v>2252</v>
      </c>
      <c r="CD134" s="751">
        <v>506</v>
      </c>
      <c r="CE134" s="751">
        <v>56</v>
      </c>
      <c r="CF134" s="751">
        <v>2814</v>
      </c>
      <c r="CG134" s="751">
        <v>15051</v>
      </c>
      <c r="CH134" s="751">
        <v>3386</v>
      </c>
      <c r="CI134" s="751">
        <v>376</v>
      </c>
      <c r="CJ134" s="751">
        <v>18813</v>
      </c>
      <c r="CK134" s="751">
        <v>0</v>
      </c>
      <c r="CL134" s="751">
        <v>0</v>
      </c>
      <c r="CM134" s="751">
        <v>0</v>
      </c>
      <c r="CN134" s="751">
        <v>0</v>
      </c>
      <c r="CO134" s="751">
        <v>0</v>
      </c>
      <c r="CP134" s="751">
        <v>0</v>
      </c>
      <c r="CQ134" s="751">
        <v>0</v>
      </c>
      <c r="CR134" s="751">
        <v>0</v>
      </c>
      <c r="CS134" s="751">
        <v>0</v>
      </c>
      <c r="CT134" s="751">
        <v>0</v>
      </c>
      <c r="CU134" s="751">
        <v>0</v>
      </c>
      <c r="CV134" s="751">
        <v>0</v>
      </c>
      <c r="CW134" s="751">
        <v>2086104</v>
      </c>
      <c r="CX134" s="751">
        <v>463813</v>
      </c>
      <c r="CY134" s="751">
        <v>51535</v>
      </c>
      <c r="CZ134" s="751">
        <v>2601452</v>
      </c>
      <c r="DA134" s="662" t="s">
        <v>136</v>
      </c>
      <c r="DB134" s="324" t="s">
        <v>551</v>
      </c>
      <c r="DC134" s="663" t="s">
        <v>549</v>
      </c>
      <c r="DD134" s="529" t="s">
        <v>1341</v>
      </c>
    </row>
    <row r="135" spans="1:108" ht="12.75" x14ac:dyDescent="0.2">
      <c r="A135" s="664">
        <v>128</v>
      </c>
      <c r="B135" s="665" t="s">
        <v>139</v>
      </c>
      <c r="C135" s="666" t="s">
        <v>1201</v>
      </c>
      <c r="D135" s="667" t="s">
        <v>1202</v>
      </c>
      <c r="E135" s="668" t="s">
        <v>138</v>
      </c>
      <c r="F135" s="750">
        <v>43867384</v>
      </c>
      <c r="G135" s="751">
        <v>106099</v>
      </c>
      <c r="H135" s="751">
        <v>0</v>
      </c>
      <c r="I135" s="751">
        <v>183508</v>
      </c>
      <c r="J135" s="751">
        <v>0</v>
      </c>
      <c r="K135" s="751">
        <v>183508</v>
      </c>
      <c r="L135" s="751">
        <v>0</v>
      </c>
      <c r="M135" s="751">
        <v>0</v>
      </c>
      <c r="N135" s="751">
        <v>94681</v>
      </c>
      <c r="O135" s="751">
        <v>94681</v>
      </c>
      <c r="P135" s="751">
        <v>0</v>
      </c>
      <c r="Q135" s="751">
        <v>0</v>
      </c>
      <c r="R135" s="751">
        <v>43695294</v>
      </c>
      <c r="S135" s="749">
        <v>0.5</v>
      </c>
      <c r="T135" s="749">
        <v>0.4</v>
      </c>
      <c r="U135" s="749">
        <v>0.1</v>
      </c>
      <c r="V135" s="749">
        <v>0</v>
      </c>
      <c r="W135" s="749">
        <v>1</v>
      </c>
      <c r="X135" s="751">
        <v>21847647</v>
      </c>
      <c r="Y135" s="751">
        <v>17478118</v>
      </c>
      <c r="Z135" s="751">
        <v>4369529</v>
      </c>
      <c r="AA135" s="751">
        <v>0</v>
      </c>
      <c r="AB135" s="751">
        <v>43695294</v>
      </c>
      <c r="AC135" s="751">
        <v>0</v>
      </c>
      <c r="AD135" s="751">
        <v>0</v>
      </c>
      <c r="AE135" s="751">
        <v>21847647</v>
      </c>
      <c r="AF135" s="751">
        <v>17478118</v>
      </c>
      <c r="AG135" s="751">
        <v>4369529</v>
      </c>
      <c r="AH135" s="751">
        <v>0</v>
      </c>
      <c r="AI135" s="751">
        <v>43695294</v>
      </c>
      <c r="AJ135" s="751">
        <v>183508</v>
      </c>
      <c r="AK135" s="751">
        <v>183508</v>
      </c>
      <c r="AL135" s="751">
        <v>0</v>
      </c>
      <c r="AM135" s="751">
        <v>0</v>
      </c>
      <c r="AN135" s="751">
        <v>94681</v>
      </c>
      <c r="AO135" s="751">
        <v>0</v>
      </c>
      <c r="AP135" s="751">
        <v>94681</v>
      </c>
      <c r="AQ135" s="751">
        <v>0</v>
      </c>
      <c r="AR135" s="751">
        <v>0</v>
      </c>
      <c r="AS135" s="751">
        <v>0</v>
      </c>
      <c r="AT135" s="751">
        <v>0</v>
      </c>
      <c r="AU135" s="751">
        <v>0</v>
      </c>
      <c r="AV135" s="751">
        <v>0</v>
      </c>
      <c r="AW135" s="751">
        <v>0</v>
      </c>
      <c r="AX135" s="751">
        <v>0</v>
      </c>
      <c r="AY135" s="751">
        <v>0</v>
      </c>
      <c r="AZ135" s="751">
        <v>0</v>
      </c>
      <c r="BA135" s="751">
        <v>0</v>
      </c>
      <c r="BB135" s="751">
        <v>0</v>
      </c>
      <c r="BC135" s="751">
        <v>-9868385</v>
      </c>
      <c r="BD135" s="751">
        <v>-7894708</v>
      </c>
      <c r="BE135" s="751">
        <v>-2505233</v>
      </c>
      <c r="BF135" s="751">
        <v>0</v>
      </c>
      <c r="BG135" s="751">
        <v>-20268326</v>
      </c>
      <c r="BH135" s="751">
        <v>11979262</v>
      </c>
      <c r="BI135" s="751">
        <v>9861599</v>
      </c>
      <c r="BJ135" s="751">
        <v>1864296</v>
      </c>
      <c r="BK135" s="751">
        <v>0</v>
      </c>
      <c r="BL135" s="751">
        <v>23705157</v>
      </c>
      <c r="BM135" s="751">
        <v>915617</v>
      </c>
      <c r="BN135" s="751">
        <v>227671</v>
      </c>
      <c r="BO135" s="751">
        <v>0</v>
      </c>
      <c r="BP135" s="751">
        <v>1143288</v>
      </c>
      <c r="BQ135" s="751">
        <v>1730281</v>
      </c>
      <c r="BR135" s="751">
        <v>432570</v>
      </c>
      <c r="BS135" s="751">
        <v>0</v>
      </c>
      <c r="BT135" s="751">
        <v>2162851</v>
      </c>
      <c r="BU135" s="751">
        <v>117872</v>
      </c>
      <c r="BV135" s="751">
        <v>29468</v>
      </c>
      <c r="BW135" s="751">
        <v>0</v>
      </c>
      <c r="BX135" s="751">
        <v>147340</v>
      </c>
      <c r="BY135" s="751">
        <v>0</v>
      </c>
      <c r="BZ135" s="751">
        <v>0</v>
      </c>
      <c r="CA135" s="751">
        <v>0</v>
      </c>
      <c r="CB135" s="751">
        <v>0</v>
      </c>
      <c r="CC135" s="751">
        <v>2148</v>
      </c>
      <c r="CD135" s="751">
        <v>537</v>
      </c>
      <c r="CE135" s="751">
        <v>0</v>
      </c>
      <c r="CF135" s="751">
        <v>2685</v>
      </c>
      <c r="CG135" s="751">
        <v>0</v>
      </c>
      <c r="CH135" s="751">
        <v>0</v>
      </c>
      <c r="CI135" s="751">
        <v>0</v>
      </c>
      <c r="CJ135" s="751">
        <v>0</v>
      </c>
      <c r="CK135" s="751">
        <v>0</v>
      </c>
      <c r="CL135" s="751">
        <v>0</v>
      </c>
      <c r="CM135" s="751">
        <v>0</v>
      </c>
      <c r="CN135" s="751">
        <v>0</v>
      </c>
      <c r="CO135" s="751">
        <v>0</v>
      </c>
      <c r="CP135" s="751">
        <v>0</v>
      </c>
      <c r="CQ135" s="751">
        <v>0</v>
      </c>
      <c r="CR135" s="751">
        <v>0</v>
      </c>
      <c r="CS135" s="751">
        <v>0</v>
      </c>
      <c r="CT135" s="751">
        <v>0</v>
      </c>
      <c r="CU135" s="751">
        <v>0</v>
      </c>
      <c r="CV135" s="751">
        <v>0</v>
      </c>
      <c r="CW135" s="751">
        <v>2765918</v>
      </c>
      <c r="CX135" s="751">
        <v>690246</v>
      </c>
      <c r="CY135" s="751">
        <v>0</v>
      </c>
      <c r="CZ135" s="751">
        <v>3456164</v>
      </c>
      <c r="DA135" s="662" t="s">
        <v>138</v>
      </c>
      <c r="DB135" s="324" t="s">
        <v>568</v>
      </c>
      <c r="DC135" s="663" t="s">
        <v>512</v>
      </c>
      <c r="DD135" s="529" t="s">
        <v>1342</v>
      </c>
    </row>
    <row r="136" spans="1:108" ht="12.75" x14ac:dyDescent="0.2">
      <c r="A136" s="664">
        <v>129</v>
      </c>
      <c r="B136" s="665" t="s">
        <v>141</v>
      </c>
      <c r="C136" s="666" t="s">
        <v>1213</v>
      </c>
      <c r="D136" s="667" t="s">
        <v>1214</v>
      </c>
      <c r="E136" s="668" t="s">
        <v>140</v>
      </c>
      <c r="F136" s="750">
        <v>185322261</v>
      </c>
      <c r="G136" s="751">
        <v>342411</v>
      </c>
      <c r="H136" s="751">
        <v>0</v>
      </c>
      <c r="I136" s="751">
        <v>406401</v>
      </c>
      <c r="J136" s="751">
        <v>0</v>
      </c>
      <c r="K136" s="751">
        <v>406401</v>
      </c>
      <c r="L136" s="751">
        <v>0</v>
      </c>
      <c r="M136" s="751">
        <v>0</v>
      </c>
      <c r="N136" s="751">
        <v>0</v>
      </c>
      <c r="O136" s="751">
        <v>0</v>
      </c>
      <c r="P136" s="751">
        <v>0</v>
      </c>
      <c r="Q136" s="751">
        <v>0</v>
      </c>
      <c r="R136" s="751">
        <v>185258271</v>
      </c>
      <c r="S136" s="749">
        <v>0.33</v>
      </c>
      <c r="T136" s="749">
        <v>0.3</v>
      </c>
      <c r="U136" s="749">
        <v>0.37</v>
      </c>
      <c r="V136" s="749">
        <v>0</v>
      </c>
      <c r="W136" s="749">
        <v>1</v>
      </c>
      <c r="X136" s="751">
        <v>61135230</v>
      </c>
      <c r="Y136" s="751">
        <v>55577481</v>
      </c>
      <c r="Z136" s="751">
        <v>68545560</v>
      </c>
      <c r="AA136" s="751">
        <v>0</v>
      </c>
      <c r="AB136" s="751">
        <v>185258271</v>
      </c>
      <c r="AC136" s="751">
        <v>0</v>
      </c>
      <c r="AD136" s="751">
        <v>0</v>
      </c>
      <c r="AE136" s="751">
        <v>61135230</v>
      </c>
      <c r="AF136" s="751">
        <v>55577481</v>
      </c>
      <c r="AG136" s="751">
        <v>68545560</v>
      </c>
      <c r="AH136" s="751">
        <v>0</v>
      </c>
      <c r="AI136" s="751">
        <v>185258271</v>
      </c>
      <c r="AJ136" s="751">
        <v>406401</v>
      </c>
      <c r="AK136" s="751">
        <v>406401</v>
      </c>
      <c r="AL136" s="751">
        <v>0</v>
      </c>
      <c r="AM136" s="751">
        <v>0</v>
      </c>
      <c r="AN136" s="751">
        <v>0</v>
      </c>
      <c r="AO136" s="751">
        <v>0</v>
      </c>
      <c r="AP136" s="751">
        <v>0</v>
      </c>
      <c r="AQ136" s="751">
        <v>0</v>
      </c>
      <c r="AR136" s="751">
        <v>0</v>
      </c>
      <c r="AS136" s="751">
        <v>0</v>
      </c>
      <c r="AT136" s="751">
        <v>0</v>
      </c>
      <c r="AU136" s="751">
        <v>0</v>
      </c>
      <c r="AV136" s="751">
        <v>0</v>
      </c>
      <c r="AW136" s="751">
        <v>0</v>
      </c>
      <c r="AX136" s="751">
        <v>0</v>
      </c>
      <c r="AY136" s="751">
        <v>0</v>
      </c>
      <c r="AZ136" s="751">
        <v>0</v>
      </c>
      <c r="BA136" s="751">
        <v>0</v>
      </c>
      <c r="BB136" s="751">
        <v>0</v>
      </c>
      <c r="BC136" s="751">
        <v>-22181328</v>
      </c>
      <c r="BD136" s="751">
        <v>-21742075</v>
      </c>
      <c r="BE136" s="751">
        <v>-24805674</v>
      </c>
      <c r="BF136" s="751">
        <v>0</v>
      </c>
      <c r="BG136" s="751">
        <v>-68729076</v>
      </c>
      <c r="BH136" s="751">
        <v>38953902</v>
      </c>
      <c r="BI136" s="751">
        <v>34241807</v>
      </c>
      <c r="BJ136" s="751">
        <v>43739886</v>
      </c>
      <c r="BK136" s="751">
        <v>0</v>
      </c>
      <c r="BL136" s="751">
        <v>116935596</v>
      </c>
      <c r="BM136" s="751">
        <v>2895821</v>
      </c>
      <c r="BN136" s="751">
        <v>3571512</v>
      </c>
      <c r="BO136" s="751">
        <v>0</v>
      </c>
      <c r="BP136" s="751">
        <v>6467333</v>
      </c>
      <c r="BQ136" s="751">
        <v>1476225</v>
      </c>
      <c r="BR136" s="751">
        <v>1820677</v>
      </c>
      <c r="BS136" s="751">
        <v>0</v>
      </c>
      <c r="BT136" s="751">
        <v>3296902</v>
      </c>
      <c r="BU136" s="751">
        <v>124906</v>
      </c>
      <c r="BV136" s="751">
        <v>154051</v>
      </c>
      <c r="BW136" s="751">
        <v>0</v>
      </c>
      <c r="BX136" s="751">
        <v>278957</v>
      </c>
      <c r="BY136" s="751">
        <v>1851</v>
      </c>
      <c r="BZ136" s="751">
        <v>2282</v>
      </c>
      <c r="CA136" s="751">
        <v>0</v>
      </c>
      <c r="CB136" s="751">
        <v>4133</v>
      </c>
      <c r="CC136" s="751">
        <v>0</v>
      </c>
      <c r="CD136" s="751">
        <v>0</v>
      </c>
      <c r="CE136" s="751">
        <v>0</v>
      </c>
      <c r="CF136" s="751">
        <v>0</v>
      </c>
      <c r="CG136" s="751">
        <v>477</v>
      </c>
      <c r="CH136" s="751">
        <v>587</v>
      </c>
      <c r="CI136" s="751">
        <v>0</v>
      </c>
      <c r="CJ136" s="751">
        <v>1064</v>
      </c>
      <c r="CK136" s="751">
        <v>0</v>
      </c>
      <c r="CL136" s="751">
        <v>0</v>
      </c>
      <c r="CM136" s="751">
        <v>0</v>
      </c>
      <c r="CN136" s="751">
        <v>0</v>
      </c>
      <c r="CO136" s="751">
        <v>0</v>
      </c>
      <c r="CP136" s="751">
        <v>0</v>
      </c>
      <c r="CQ136" s="751">
        <v>0</v>
      </c>
      <c r="CR136" s="751">
        <v>0</v>
      </c>
      <c r="CS136" s="751">
        <v>0</v>
      </c>
      <c r="CT136" s="751">
        <v>0</v>
      </c>
      <c r="CU136" s="751">
        <v>0</v>
      </c>
      <c r="CV136" s="751">
        <v>0</v>
      </c>
      <c r="CW136" s="751">
        <v>4499280</v>
      </c>
      <c r="CX136" s="751">
        <v>5549109</v>
      </c>
      <c r="CY136" s="751">
        <v>0</v>
      </c>
      <c r="CZ136" s="751">
        <v>10048389</v>
      </c>
      <c r="DA136" s="662" t="s">
        <v>140</v>
      </c>
      <c r="DB136" s="324" t="s">
        <v>576</v>
      </c>
      <c r="DC136" s="669" t="s">
        <v>485</v>
      </c>
      <c r="DD136" s="529" t="s">
        <v>1343</v>
      </c>
    </row>
    <row r="137" spans="1:108" ht="12.75" x14ac:dyDescent="0.2">
      <c r="A137" s="664">
        <v>130</v>
      </c>
      <c r="B137" s="665" t="s">
        <v>143</v>
      </c>
      <c r="C137" s="666" t="s">
        <v>1201</v>
      </c>
      <c r="D137" s="667" t="s">
        <v>1211</v>
      </c>
      <c r="E137" s="668" t="s">
        <v>142</v>
      </c>
      <c r="F137" s="750">
        <v>64689340</v>
      </c>
      <c r="G137" s="751">
        <v>0</v>
      </c>
      <c r="H137" s="751">
        <v>169397</v>
      </c>
      <c r="I137" s="751">
        <v>218600</v>
      </c>
      <c r="J137" s="751">
        <v>0</v>
      </c>
      <c r="K137" s="751">
        <v>218600</v>
      </c>
      <c r="L137" s="751">
        <v>0</v>
      </c>
      <c r="M137" s="751">
        <v>1012090</v>
      </c>
      <c r="N137" s="751">
        <v>996214</v>
      </c>
      <c r="O137" s="751">
        <v>996214</v>
      </c>
      <c r="P137" s="751">
        <v>0</v>
      </c>
      <c r="Q137" s="751">
        <v>0</v>
      </c>
      <c r="R137" s="751">
        <v>62293039</v>
      </c>
      <c r="S137" s="749">
        <v>0.5</v>
      </c>
      <c r="T137" s="749">
        <v>0.4</v>
      </c>
      <c r="U137" s="749">
        <v>0.09</v>
      </c>
      <c r="V137" s="749">
        <v>0.01</v>
      </c>
      <c r="W137" s="749">
        <v>1</v>
      </c>
      <c r="X137" s="751">
        <v>31146519</v>
      </c>
      <c r="Y137" s="751">
        <v>24917216</v>
      </c>
      <c r="Z137" s="751">
        <v>5606374</v>
      </c>
      <c r="AA137" s="751">
        <v>622930</v>
      </c>
      <c r="AB137" s="751">
        <v>62293039</v>
      </c>
      <c r="AC137" s="751">
        <v>155930</v>
      </c>
      <c r="AD137" s="751">
        <v>155930</v>
      </c>
      <c r="AE137" s="751">
        <v>30990589</v>
      </c>
      <c r="AF137" s="751">
        <v>24917216</v>
      </c>
      <c r="AG137" s="751">
        <v>5606374</v>
      </c>
      <c r="AH137" s="751">
        <v>622930</v>
      </c>
      <c r="AI137" s="751">
        <v>62137109</v>
      </c>
      <c r="AJ137" s="751">
        <v>218600</v>
      </c>
      <c r="AK137" s="751">
        <v>218600</v>
      </c>
      <c r="AL137" s="751">
        <v>1012090</v>
      </c>
      <c r="AM137" s="751">
        <v>1012090</v>
      </c>
      <c r="AN137" s="751">
        <v>996214</v>
      </c>
      <c r="AO137" s="751">
        <v>0</v>
      </c>
      <c r="AP137" s="751">
        <v>996214</v>
      </c>
      <c r="AQ137" s="751">
        <v>0</v>
      </c>
      <c r="AR137" s="751">
        <v>0</v>
      </c>
      <c r="AS137" s="751">
        <v>0</v>
      </c>
      <c r="AT137" s="751">
        <v>0</v>
      </c>
      <c r="AU137" s="751">
        <v>155930</v>
      </c>
      <c r="AV137" s="751">
        <v>0</v>
      </c>
      <c r="AW137" s="751">
        <v>0</v>
      </c>
      <c r="AX137" s="751">
        <v>155930</v>
      </c>
      <c r="AY137" s="751">
        <v>0</v>
      </c>
      <c r="AZ137" s="751">
        <v>0</v>
      </c>
      <c r="BA137" s="751">
        <v>0</v>
      </c>
      <c r="BB137" s="751">
        <v>0</v>
      </c>
      <c r="BC137" s="751">
        <v>-11748957</v>
      </c>
      <c r="BD137" s="751">
        <v>-9399166</v>
      </c>
      <c r="BE137" s="751">
        <v>-2114812</v>
      </c>
      <c r="BF137" s="751">
        <v>-234979</v>
      </c>
      <c r="BG137" s="751">
        <v>-23497915</v>
      </c>
      <c r="BH137" s="751">
        <v>19241632</v>
      </c>
      <c r="BI137" s="751">
        <v>17900884</v>
      </c>
      <c r="BJ137" s="751">
        <v>3491562</v>
      </c>
      <c r="BK137" s="751">
        <v>387951</v>
      </c>
      <c r="BL137" s="751">
        <v>41022028</v>
      </c>
      <c r="BM137" s="751">
        <v>1411058</v>
      </c>
      <c r="BN137" s="751">
        <v>292116</v>
      </c>
      <c r="BO137" s="751">
        <v>32457</v>
      </c>
      <c r="BP137" s="751">
        <v>1735631</v>
      </c>
      <c r="BQ137" s="751">
        <v>1772475</v>
      </c>
      <c r="BR137" s="751">
        <v>397961</v>
      </c>
      <c r="BS137" s="751">
        <v>44218</v>
      </c>
      <c r="BT137" s="751">
        <v>2214654</v>
      </c>
      <c r="BU137" s="751">
        <v>137924</v>
      </c>
      <c r="BV137" s="751">
        <v>30481</v>
      </c>
      <c r="BW137" s="751">
        <v>3387</v>
      </c>
      <c r="BX137" s="751">
        <v>171792</v>
      </c>
      <c r="BY137" s="751">
        <v>12187</v>
      </c>
      <c r="BZ137" s="751">
        <v>2066</v>
      </c>
      <c r="CA137" s="751">
        <v>230</v>
      </c>
      <c r="CB137" s="751">
        <v>14483</v>
      </c>
      <c r="CC137" s="751">
        <v>13844</v>
      </c>
      <c r="CD137" s="751">
        <v>3115</v>
      </c>
      <c r="CE137" s="751">
        <v>346</v>
      </c>
      <c r="CF137" s="751">
        <v>17305</v>
      </c>
      <c r="CG137" s="751">
        <v>9668</v>
      </c>
      <c r="CH137" s="751">
        <v>2175</v>
      </c>
      <c r="CI137" s="751">
        <v>242</v>
      </c>
      <c r="CJ137" s="751">
        <v>12085</v>
      </c>
      <c r="CK137" s="751">
        <v>0</v>
      </c>
      <c r="CL137" s="751">
        <v>0</v>
      </c>
      <c r="CM137" s="751">
        <v>0</v>
      </c>
      <c r="CN137" s="751">
        <v>0</v>
      </c>
      <c r="CO137" s="751">
        <v>0</v>
      </c>
      <c r="CP137" s="751">
        <v>0</v>
      </c>
      <c r="CQ137" s="751">
        <v>0</v>
      </c>
      <c r="CR137" s="751">
        <v>0</v>
      </c>
      <c r="CS137" s="751">
        <v>0</v>
      </c>
      <c r="CT137" s="751">
        <v>0</v>
      </c>
      <c r="CU137" s="751">
        <v>0</v>
      </c>
      <c r="CV137" s="751">
        <v>0</v>
      </c>
      <c r="CW137" s="751">
        <v>3357156</v>
      </c>
      <c r="CX137" s="751">
        <v>727914</v>
      </c>
      <c r="CY137" s="751">
        <v>80880</v>
      </c>
      <c r="CZ137" s="751">
        <v>4165950</v>
      </c>
      <c r="DA137" s="662" t="s">
        <v>142</v>
      </c>
      <c r="DB137" s="324" t="s">
        <v>503</v>
      </c>
      <c r="DC137" s="663" t="s">
        <v>502</v>
      </c>
      <c r="DD137" s="529" t="s">
        <v>1344</v>
      </c>
    </row>
    <row r="138" spans="1:108" ht="12.75" x14ac:dyDescent="0.2">
      <c r="A138" s="664">
        <v>131</v>
      </c>
      <c r="B138" s="665" t="s">
        <v>145</v>
      </c>
      <c r="C138" s="666" t="s">
        <v>1201</v>
      </c>
      <c r="D138" s="667" t="s">
        <v>1204</v>
      </c>
      <c r="E138" s="668" t="s">
        <v>144</v>
      </c>
      <c r="F138" s="750">
        <v>16706098</v>
      </c>
      <c r="G138" s="751">
        <v>0</v>
      </c>
      <c r="H138" s="751">
        <v>132612</v>
      </c>
      <c r="I138" s="751">
        <v>121025</v>
      </c>
      <c r="J138" s="751">
        <v>0</v>
      </c>
      <c r="K138" s="751">
        <v>121025</v>
      </c>
      <c r="L138" s="751">
        <v>0</v>
      </c>
      <c r="M138" s="751">
        <v>0</v>
      </c>
      <c r="N138" s="751">
        <v>0</v>
      </c>
      <c r="O138" s="751">
        <v>0</v>
      </c>
      <c r="P138" s="751">
        <v>0</v>
      </c>
      <c r="Q138" s="751">
        <v>0</v>
      </c>
      <c r="R138" s="751">
        <v>16452461</v>
      </c>
      <c r="S138" s="749">
        <v>0.5</v>
      </c>
      <c r="T138" s="749">
        <v>0.4</v>
      </c>
      <c r="U138" s="749">
        <v>0.09</v>
      </c>
      <c r="V138" s="749">
        <v>0.01</v>
      </c>
      <c r="W138" s="749">
        <v>1</v>
      </c>
      <c r="X138" s="751">
        <v>8226231</v>
      </c>
      <c r="Y138" s="751">
        <v>6580984</v>
      </c>
      <c r="Z138" s="751">
        <v>1480721</v>
      </c>
      <c r="AA138" s="751">
        <v>164525</v>
      </c>
      <c r="AB138" s="751">
        <v>16452461</v>
      </c>
      <c r="AC138" s="751">
        <v>0</v>
      </c>
      <c r="AD138" s="751">
        <v>0</v>
      </c>
      <c r="AE138" s="751">
        <v>8226231</v>
      </c>
      <c r="AF138" s="751">
        <v>6580984</v>
      </c>
      <c r="AG138" s="751">
        <v>1480721</v>
      </c>
      <c r="AH138" s="751">
        <v>164525</v>
      </c>
      <c r="AI138" s="751">
        <v>16452461</v>
      </c>
      <c r="AJ138" s="751">
        <v>121025</v>
      </c>
      <c r="AK138" s="751">
        <v>121025</v>
      </c>
      <c r="AL138" s="751">
        <v>0</v>
      </c>
      <c r="AM138" s="751">
        <v>0</v>
      </c>
      <c r="AN138" s="751">
        <v>0</v>
      </c>
      <c r="AO138" s="751">
        <v>0</v>
      </c>
      <c r="AP138" s="751">
        <v>0</v>
      </c>
      <c r="AQ138" s="751">
        <v>0</v>
      </c>
      <c r="AR138" s="751">
        <v>0</v>
      </c>
      <c r="AS138" s="751">
        <v>0</v>
      </c>
      <c r="AT138" s="751">
        <v>0</v>
      </c>
      <c r="AU138" s="751">
        <v>0</v>
      </c>
      <c r="AV138" s="751">
        <v>0</v>
      </c>
      <c r="AW138" s="751">
        <v>0</v>
      </c>
      <c r="AX138" s="751">
        <v>0</v>
      </c>
      <c r="AY138" s="751">
        <v>0</v>
      </c>
      <c r="AZ138" s="751">
        <v>0</v>
      </c>
      <c r="BA138" s="751">
        <v>0</v>
      </c>
      <c r="BB138" s="751">
        <v>0</v>
      </c>
      <c r="BC138" s="751">
        <v>-3893152</v>
      </c>
      <c r="BD138" s="751">
        <v>-2980668</v>
      </c>
      <c r="BE138" s="751">
        <v>-652431</v>
      </c>
      <c r="BF138" s="751">
        <v>-74145</v>
      </c>
      <c r="BG138" s="751">
        <v>-7600396</v>
      </c>
      <c r="BH138" s="751">
        <v>4333079</v>
      </c>
      <c r="BI138" s="751">
        <v>3721341</v>
      </c>
      <c r="BJ138" s="751">
        <v>828290</v>
      </c>
      <c r="BK138" s="751">
        <v>90380</v>
      </c>
      <c r="BL138" s="751">
        <v>8973090</v>
      </c>
      <c r="BM138" s="751">
        <v>342897</v>
      </c>
      <c r="BN138" s="751">
        <v>77152</v>
      </c>
      <c r="BO138" s="751">
        <v>8572</v>
      </c>
      <c r="BP138" s="751">
        <v>428621</v>
      </c>
      <c r="BQ138" s="751">
        <v>1158339</v>
      </c>
      <c r="BR138" s="751">
        <v>260626</v>
      </c>
      <c r="BS138" s="751">
        <v>28958</v>
      </c>
      <c r="BT138" s="751">
        <v>1447923</v>
      </c>
      <c r="BU138" s="751">
        <v>38416</v>
      </c>
      <c r="BV138" s="751">
        <v>8644</v>
      </c>
      <c r="BW138" s="751">
        <v>960</v>
      </c>
      <c r="BX138" s="751">
        <v>48020</v>
      </c>
      <c r="BY138" s="751">
        <v>3433</v>
      </c>
      <c r="BZ138" s="751">
        <v>773</v>
      </c>
      <c r="CA138" s="751">
        <v>86</v>
      </c>
      <c r="CB138" s="751">
        <v>4292</v>
      </c>
      <c r="CC138" s="751">
        <v>0</v>
      </c>
      <c r="CD138" s="751">
        <v>0</v>
      </c>
      <c r="CE138" s="751">
        <v>0</v>
      </c>
      <c r="CF138" s="751">
        <v>0</v>
      </c>
      <c r="CG138" s="751">
        <v>0</v>
      </c>
      <c r="CH138" s="751">
        <v>0</v>
      </c>
      <c r="CI138" s="751">
        <v>0</v>
      </c>
      <c r="CJ138" s="751">
        <v>0</v>
      </c>
      <c r="CK138" s="751">
        <v>0</v>
      </c>
      <c r="CL138" s="751">
        <v>0</v>
      </c>
      <c r="CM138" s="751">
        <v>0</v>
      </c>
      <c r="CN138" s="751">
        <v>0</v>
      </c>
      <c r="CO138" s="751">
        <v>0</v>
      </c>
      <c r="CP138" s="751">
        <v>0</v>
      </c>
      <c r="CQ138" s="751">
        <v>0</v>
      </c>
      <c r="CR138" s="751">
        <v>0</v>
      </c>
      <c r="CS138" s="751">
        <v>0</v>
      </c>
      <c r="CT138" s="751">
        <v>0</v>
      </c>
      <c r="CU138" s="751">
        <v>0</v>
      </c>
      <c r="CV138" s="751">
        <v>0</v>
      </c>
      <c r="CW138" s="751">
        <v>1543085</v>
      </c>
      <c r="CX138" s="751">
        <v>347195</v>
      </c>
      <c r="CY138" s="751">
        <v>38576</v>
      </c>
      <c r="CZ138" s="751">
        <v>1928856</v>
      </c>
      <c r="DA138" s="662" t="s">
        <v>144</v>
      </c>
      <c r="DB138" s="324" t="s">
        <v>547</v>
      </c>
      <c r="DC138" s="663" t="s">
        <v>545</v>
      </c>
      <c r="DD138" s="529" t="s">
        <v>1345</v>
      </c>
    </row>
    <row r="139" spans="1:108" ht="12.75" x14ac:dyDescent="0.2">
      <c r="A139" s="664">
        <v>132</v>
      </c>
      <c r="B139" s="665" t="s">
        <v>147</v>
      </c>
      <c r="C139" s="666" t="s">
        <v>1201</v>
      </c>
      <c r="D139" s="667" t="s">
        <v>1211</v>
      </c>
      <c r="E139" s="668" t="s">
        <v>146</v>
      </c>
      <c r="F139" s="750">
        <v>56134446</v>
      </c>
      <c r="G139" s="751">
        <v>0</v>
      </c>
      <c r="H139" s="751">
        <v>203731</v>
      </c>
      <c r="I139" s="751">
        <v>184199</v>
      </c>
      <c r="J139" s="751">
        <v>0</v>
      </c>
      <c r="K139" s="751">
        <v>184199</v>
      </c>
      <c r="L139" s="751">
        <v>0</v>
      </c>
      <c r="M139" s="751">
        <v>990305</v>
      </c>
      <c r="N139" s="751">
        <v>8614</v>
      </c>
      <c r="O139" s="751">
        <v>8501</v>
      </c>
      <c r="P139" s="751">
        <v>113</v>
      </c>
      <c r="Q139" s="751">
        <v>0</v>
      </c>
      <c r="R139" s="751">
        <v>54747597</v>
      </c>
      <c r="S139" s="749">
        <v>0.5</v>
      </c>
      <c r="T139" s="749">
        <v>0.4</v>
      </c>
      <c r="U139" s="749">
        <v>0.1</v>
      </c>
      <c r="V139" s="749">
        <v>0</v>
      </c>
      <c r="W139" s="749">
        <v>1</v>
      </c>
      <c r="X139" s="751">
        <v>27373798</v>
      </c>
      <c r="Y139" s="751">
        <v>21899039</v>
      </c>
      <c r="Z139" s="751">
        <v>5474760</v>
      </c>
      <c r="AA139" s="751">
        <v>0</v>
      </c>
      <c r="AB139" s="751">
        <v>54747597</v>
      </c>
      <c r="AC139" s="751">
        <v>131518</v>
      </c>
      <c r="AD139" s="751">
        <v>131518</v>
      </c>
      <c r="AE139" s="751">
        <v>27242280</v>
      </c>
      <c r="AF139" s="751">
        <v>21899039</v>
      </c>
      <c r="AG139" s="751">
        <v>5474760</v>
      </c>
      <c r="AH139" s="751">
        <v>0</v>
      </c>
      <c r="AI139" s="751">
        <v>54616079</v>
      </c>
      <c r="AJ139" s="751">
        <v>184199</v>
      </c>
      <c r="AK139" s="751">
        <v>184199</v>
      </c>
      <c r="AL139" s="751">
        <v>990305</v>
      </c>
      <c r="AM139" s="751">
        <v>990305</v>
      </c>
      <c r="AN139" s="751">
        <v>8501</v>
      </c>
      <c r="AO139" s="751">
        <v>113</v>
      </c>
      <c r="AP139" s="751">
        <v>8614</v>
      </c>
      <c r="AQ139" s="751">
        <v>0</v>
      </c>
      <c r="AR139" s="751">
        <v>0</v>
      </c>
      <c r="AS139" s="751">
        <v>0</v>
      </c>
      <c r="AT139" s="751">
        <v>0</v>
      </c>
      <c r="AU139" s="751">
        <v>131518</v>
      </c>
      <c r="AV139" s="751">
        <v>0</v>
      </c>
      <c r="AW139" s="751">
        <v>0</v>
      </c>
      <c r="AX139" s="751">
        <v>131518</v>
      </c>
      <c r="AY139" s="751">
        <v>0</v>
      </c>
      <c r="AZ139" s="751">
        <v>0</v>
      </c>
      <c r="BA139" s="751">
        <v>0</v>
      </c>
      <c r="BB139" s="751">
        <v>0</v>
      </c>
      <c r="BC139" s="751">
        <v>-14294131</v>
      </c>
      <c r="BD139" s="751">
        <v>-11435305</v>
      </c>
      <c r="BE139" s="751">
        <v>-2858826</v>
      </c>
      <c r="BF139" s="751">
        <v>0</v>
      </c>
      <c r="BG139" s="751">
        <v>-28588262</v>
      </c>
      <c r="BH139" s="751">
        <v>12948149</v>
      </c>
      <c r="BI139" s="751">
        <v>11778257</v>
      </c>
      <c r="BJ139" s="751">
        <v>2616047</v>
      </c>
      <c r="BK139" s="751">
        <v>0</v>
      </c>
      <c r="BL139" s="751">
        <v>27342453</v>
      </c>
      <c r="BM139" s="751">
        <v>1199927</v>
      </c>
      <c r="BN139" s="751">
        <v>285264</v>
      </c>
      <c r="BO139" s="751">
        <v>0</v>
      </c>
      <c r="BP139" s="751">
        <v>1485191</v>
      </c>
      <c r="BQ139" s="751">
        <v>1321609</v>
      </c>
      <c r="BR139" s="751">
        <v>330402</v>
      </c>
      <c r="BS139" s="751">
        <v>0</v>
      </c>
      <c r="BT139" s="751">
        <v>1652011</v>
      </c>
      <c r="BU139" s="751">
        <v>95569</v>
      </c>
      <c r="BV139" s="751">
        <v>23414</v>
      </c>
      <c r="BW139" s="751">
        <v>0</v>
      </c>
      <c r="BX139" s="751">
        <v>118983</v>
      </c>
      <c r="BY139" s="751">
        <v>9187</v>
      </c>
      <c r="BZ139" s="751">
        <v>2297</v>
      </c>
      <c r="CA139" s="751">
        <v>0</v>
      </c>
      <c r="CB139" s="751">
        <v>11484</v>
      </c>
      <c r="CC139" s="751">
        <v>0</v>
      </c>
      <c r="CD139" s="751">
        <v>0</v>
      </c>
      <c r="CE139" s="751">
        <v>0</v>
      </c>
      <c r="CF139" s="751">
        <v>0</v>
      </c>
      <c r="CG139" s="751">
        <v>1423</v>
      </c>
      <c r="CH139" s="751">
        <v>356</v>
      </c>
      <c r="CI139" s="751">
        <v>0</v>
      </c>
      <c r="CJ139" s="751">
        <v>1779</v>
      </c>
      <c r="CK139" s="751">
        <v>0</v>
      </c>
      <c r="CL139" s="751">
        <v>0</v>
      </c>
      <c r="CM139" s="751">
        <v>0</v>
      </c>
      <c r="CN139" s="751">
        <v>0</v>
      </c>
      <c r="CO139" s="751">
        <v>0</v>
      </c>
      <c r="CP139" s="751">
        <v>0</v>
      </c>
      <c r="CQ139" s="751">
        <v>0</v>
      </c>
      <c r="CR139" s="751">
        <v>0</v>
      </c>
      <c r="CS139" s="751">
        <v>631</v>
      </c>
      <c r="CT139" s="751">
        <v>158</v>
      </c>
      <c r="CU139" s="751">
        <v>0</v>
      </c>
      <c r="CV139" s="751">
        <v>789</v>
      </c>
      <c r="CW139" s="751">
        <v>2628346</v>
      </c>
      <c r="CX139" s="751">
        <v>641891</v>
      </c>
      <c r="CY139" s="751">
        <v>0</v>
      </c>
      <c r="CZ139" s="751">
        <v>3270237</v>
      </c>
      <c r="DA139" s="662" t="s">
        <v>146</v>
      </c>
      <c r="DB139" s="324" t="s">
        <v>565</v>
      </c>
      <c r="DC139" s="663" t="s">
        <v>512</v>
      </c>
      <c r="DD139" s="529" t="s">
        <v>1346</v>
      </c>
    </row>
    <row r="140" spans="1:108" ht="12.75" x14ac:dyDescent="0.2">
      <c r="A140" s="664">
        <v>133</v>
      </c>
      <c r="B140" s="665" t="s">
        <v>148</v>
      </c>
      <c r="C140" s="666" t="s">
        <v>486</v>
      </c>
      <c r="D140" s="667" t="s">
        <v>1202</v>
      </c>
      <c r="E140" s="668" t="s">
        <v>820</v>
      </c>
      <c r="F140" s="750">
        <v>40170953</v>
      </c>
      <c r="G140" s="751">
        <v>298272</v>
      </c>
      <c r="H140" s="751">
        <v>0</v>
      </c>
      <c r="I140" s="751">
        <v>267967</v>
      </c>
      <c r="J140" s="751">
        <v>0</v>
      </c>
      <c r="K140" s="751">
        <v>267967</v>
      </c>
      <c r="L140" s="751">
        <v>0</v>
      </c>
      <c r="M140" s="751">
        <v>0</v>
      </c>
      <c r="N140" s="751">
        <v>328543</v>
      </c>
      <c r="O140" s="751">
        <v>328543</v>
      </c>
      <c r="P140" s="751">
        <v>0</v>
      </c>
      <c r="Q140" s="751">
        <v>0</v>
      </c>
      <c r="R140" s="751">
        <v>39872715</v>
      </c>
      <c r="S140" s="749">
        <v>0.5</v>
      </c>
      <c r="T140" s="749">
        <v>0.49</v>
      </c>
      <c r="U140" s="749">
        <v>0</v>
      </c>
      <c r="V140" s="749">
        <v>0.01</v>
      </c>
      <c r="W140" s="749">
        <v>1</v>
      </c>
      <c r="X140" s="751">
        <v>19936358</v>
      </c>
      <c r="Y140" s="751">
        <v>19537630</v>
      </c>
      <c r="Z140" s="751">
        <v>0</v>
      </c>
      <c r="AA140" s="751">
        <v>398727</v>
      </c>
      <c r="AB140" s="751">
        <v>39872715</v>
      </c>
      <c r="AC140" s="751">
        <v>0</v>
      </c>
      <c r="AD140" s="751">
        <v>0</v>
      </c>
      <c r="AE140" s="751">
        <v>19936358</v>
      </c>
      <c r="AF140" s="751">
        <v>19537630</v>
      </c>
      <c r="AG140" s="751">
        <v>0</v>
      </c>
      <c r="AH140" s="751">
        <v>398727</v>
      </c>
      <c r="AI140" s="751">
        <v>39872715</v>
      </c>
      <c r="AJ140" s="751">
        <v>267967</v>
      </c>
      <c r="AK140" s="751">
        <v>267967</v>
      </c>
      <c r="AL140" s="751">
        <v>0</v>
      </c>
      <c r="AM140" s="751">
        <v>0</v>
      </c>
      <c r="AN140" s="751">
        <v>328543</v>
      </c>
      <c r="AO140" s="751">
        <v>0</v>
      </c>
      <c r="AP140" s="751">
        <v>328543</v>
      </c>
      <c r="AQ140" s="751">
        <v>0</v>
      </c>
      <c r="AR140" s="751">
        <v>0</v>
      </c>
      <c r="AS140" s="751">
        <v>0</v>
      </c>
      <c r="AT140" s="751">
        <v>0</v>
      </c>
      <c r="AU140" s="751">
        <v>0</v>
      </c>
      <c r="AV140" s="751">
        <v>0</v>
      </c>
      <c r="AW140" s="751">
        <v>0</v>
      </c>
      <c r="AX140" s="751">
        <v>0</v>
      </c>
      <c r="AY140" s="751">
        <v>0</v>
      </c>
      <c r="AZ140" s="751">
        <v>0</v>
      </c>
      <c r="BA140" s="751">
        <v>0</v>
      </c>
      <c r="BB140" s="751">
        <v>0</v>
      </c>
      <c r="BC140" s="751">
        <v>-12473351</v>
      </c>
      <c r="BD140" s="751">
        <v>-12444280</v>
      </c>
      <c r="BE140" s="751">
        <v>0</v>
      </c>
      <c r="BF140" s="751">
        <v>-251693</v>
      </c>
      <c r="BG140" s="751">
        <v>-25169325</v>
      </c>
      <c r="BH140" s="751">
        <v>7463007</v>
      </c>
      <c r="BI140" s="751">
        <v>7689860</v>
      </c>
      <c r="BJ140" s="751">
        <v>0</v>
      </c>
      <c r="BK140" s="751">
        <v>147034</v>
      </c>
      <c r="BL140" s="751">
        <v>15299900</v>
      </c>
      <c r="BM140" s="751">
        <v>1035111</v>
      </c>
      <c r="BN140" s="751">
        <v>0</v>
      </c>
      <c r="BO140" s="751">
        <v>20775</v>
      </c>
      <c r="BP140" s="751">
        <v>1055886</v>
      </c>
      <c r="BQ140" s="751">
        <v>3064916</v>
      </c>
      <c r="BR140" s="751">
        <v>0</v>
      </c>
      <c r="BS140" s="751">
        <v>62549</v>
      </c>
      <c r="BT140" s="751">
        <v>3127465</v>
      </c>
      <c r="BU140" s="751">
        <v>105173</v>
      </c>
      <c r="BV140" s="751">
        <v>0</v>
      </c>
      <c r="BW140" s="751">
        <v>2146</v>
      </c>
      <c r="BX140" s="751">
        <v>107319</v>
      </c>
      <c r="BY140" s="751">
        <v>7023</v>
      </c>
      <c r="BZ140" s="751">
        <v>0</v>
      </c>
      <c r="CA140" s="751">
        <v>143</v>
      </c>
      <c r="CB140" s="751">
        <v>7166</v>
      </c>
      <c r="CC140" s="751">
        <v>0</v>
      </c>
      <c r="CD140" s="751">
        <v>0</v>
      </c>
      <c r="CE140" s="751">
        <v>0</v>
      </c>
      <c r="CF140" s="751">
        <v>0</v>
      </c>
      <c r="CG140" s="751">
        <v>11949</v>
      </c>
      <c r="CH140" s="751">
        <v>0</v>
      </c>
      <c r="CI140" s="751">
        <v>244</v>
      </c>
      <c r="CJ140" s="751">
        <v>12193</v>
      </c>
      <c r="CK140" s="751">
        <v>0</v>
      </c>
      <c r="CL140" s="751">
        <v>0</v>
      </c>
      <c r="CM140" s="751">
        <v>0</v>
      </c>
      <c r="CN140" s="751">
        <v>0</v>
      </c>
      <c r="CO140" s="751">
        <v>31629</v>
      </c>
      <c r="CP140" s="751">
        <v>0</v>
      </c>
      <c r="CQ140" s="751">
        <v>645</v>
      </c>
      <c r="CR140" s="751">
        <v>32274</v>
      </c>
      <c r="CS140" s="751">
        <v>773</v>
      </c>
      <c r="CT140" s="751">
        <v>0</v>
      </c>
      <c r="CU140" s="751">
        <v>16</v>
      </c>
      <c r="CV140" s="751">
        <v>789</v>
      </c>
      <c r="CW140" s="751">
        <v>4256574</v>
      </c>
      <c r="CX140" s="751">
        <v>0</v>
      </c>
      <c r="CY140" s="751">
        <v>86518</v>
      </c>
      <c r="CZ140" s="751">
        <v>4343092</v>
      </c>
      <c r="DA140" s="662" t="s">
        <v>820</v>
      </c>
      <c r="DB140" s="324" t="s">
        <v>486</v>
      </c>
      <c r="DC140" s="663" t="s">
        <v>1914</v>
      </c>
      <c r="DD140" s="529" t="s">
        <v>1347</v>
      </c>
    </row>
    <row r="141" spans="1:108" ht="12.75" x14ac:dyDescent="0.2">
      <c r="A141" s="664">
        <v>134</v>
      </c>
      <c r="B141" s="665" t="s">
        <v>149</v>
      </c>
      <c r="C141" s="666" t="s">
        <v>486</v>
      </c>
      <c r="D141" s="667" t="s">
        <v>1224</v>
      </c>
      <c r="E141" s="668" t="s">
        <v>821</v>
      </c>
      <c r="F141" s="750">
        <v>1587451</v>
      </c>
      <c r="G141" s="751">
        <v>3175</v>
      </c>
      <c r="H141" s="751">
        <v>0</v>
      </c>
      <c r="I141" s="751">
        <v>25504</v>
      </c>
      <c r="J141" s="751">
        <v>0</v>
      </c>
      <c r="K141" s="751">
        <v>25504</v>
      </c>
      <c r="L141" s="751">
        <v>0</v>
      </c>
      <c r="M141" s="751">
        <v>0</v>
      </c>
      <c r="N141" s="751">
        <v>0</v>
      </c>
      <c r="O141" s="751">
        <v>0</v>
      </c>
      <c r="P141" s="751">
        <v>0</v>
      </c>
      <c r="Q141" s="751">
        <v>0</v>
      </c>
      <c r="R141" s="751">
        <v>1565122</v>
      </c>
      <c r="S141" s="749">
        <v>0.5</v>
      </c>
      <c r="T141" s="749">
        <v>0.5</v>
      </c>
      <c r="U141" s="749">
        <v>0</v>
      </c>
      <c r="V141" s="749">
        <v>0</v>
      </c>
      <c r="W141" s="749">
        <v>1</v>
      </c>
      <c r="X141" s="751">
        <v>782561</v>
      </c>
      <c r="Y141" s="751">
        <v>782561</v>
      </c>
      <c r="Z141" s="751">
        <v>0</v>
      </c>
      <c r="AA141" s="751">
        <v>0</v>
      </c>
      <c r="AB141" s="751">
        <v>1565122</v>
      </c>
      <c r="AC141" s="751">
        <v>0</v>
      </c>
      <c r="AD141" s="751">
        <v>0</v>
      </c>
      <c r="AE141" s="751">
        <v>782561</v>
      </c>
      <c r="AF141" s="751">
        <v>782561</v>
      </c>
      <c r="AG141" s="751">
        <v>0</v>
      </c>
      <c r="AH141" s="751">
        <v>0</v>
      </c>
      <c r="AI141" s="751">
        <v>1565122</v>
      </c>
      <c r="AJ141" s="751">
        <v>25504</v>
      </c>
      <c r="AK141" s="751">
        <v>25504</v>
      </c>
      <c r="AL141" s="751">
        <v>0</v>
      </c>
      <c r="AM141" s="751">
        <v>0</v>
      </c>
      <c r="AN141" s="751">
        <v>0</v>
      </c>
      <c r="AO141" s="751">
        <v>0</v>
      </c>
      <c r="AP141" s="751">
        <v>0</v>
      </c>
      <c r="AQ141" s="751">
        <v>0</v>
      </c>
      <c r="AR141" s="751">
        <v>0</v>
      </c>
      <c r="AS141" s="751">
        <v>0</v>
      </c>
      <c r="AT141" s="751">
        <v>0</v>
      </c>
      <c r="AU141" s="751">
        <v>0</v>
      </c>
      <c r="AV141" s="751">
        <v>0</v>
      </c>
      <c r="AW141" s="751">
        <v>0</v>
      </c>
      <c r="AX141" s="751">
        <v>0</v>
      </c>
      <c r="AY141" s="751">
        <v>0</v>
      </c>
      <c r="AZ141" s="751">
        <v>0</v>
      </c>
      <c r="BA141" s="751">
        <v>0</v>
      </c>
      <c r="BB141" s="751">
        <v>0</v>
      </c>
      <c r="BC141" s="751">
        <v>-558736</v>
      </c>
      <c r="BD141" s="751">
        <v>-558736</v>
      </c>
      <c r="BE141" s="751">
        <v>0</v>
      </c>
      <c r="BF141" s="751">
        <v>0</v>
      </c>
      <c r="BG141" s="751">
        <v>-1117472</v>
      </c>
      <c r="BH141" s="751">
        <v>223825</v>
      </c>
      <c r="BI141" s="751">
        <v>249329</v>
      </c>
      <c r="BJ141" s="751">
        <v>0</v>
      </c>
      <c r="BK141" s="751">
        <v>0</v>
      </c>
      <c r="BL141" s="751">
        <v>473154</v>
      </c>
      <c r="BM141" s="751">
        <v>40775</v>
      </c>
      <c r="BN141" s="751">
        <v>0</v>
      </c>
      <c r="BO141" s="751">
        <v>0</v>
      </c>
      <c r="BP141" s="751">
        <v>40775</v>
      </c>
      <c r="BQ141" s="751">
        <v>230080</v>
      </c>
      <c r="BR141" s="751">
        <v>0</v>
      </c>
      <c r="BS141" s="751">
        <v>0</v>
      </c>
      <c r="BT141" s="751">
        <v>230080</v>
      </c>
      <c r="BU141" s="751">
        <v>4568</v>
      </c>
      <c r="BV141" s="751">
        <v>0</v>
      </c>
      <c r="BW141" s="751">
        <v>0</v>
      </c>
      <c r="BX141" s="751">
        <v>4568</v>
      </c>
      <c r="BY141" s="751">
        <v>0</v>
      </c>
      <c r="BZ141" s="751">
        <v>0</v>
      </c>
      <c r="CA141" s="751">
        <v>0</v>
      </c>
      <c r="CB141" s="751">
        <v>0</v>
      </c>
      <c r="CC141" s="751">
        <v>1203</v>
      </c>
      <c r="CD141" s="751">
        <v>0</v>
      </c>
      <c r="CE141" s="751">
        <v>0</v>
      </c>
      <c r="CF141" s="751">
        <v>1203</v>
      </c>
      <c r="CG141" s="751">
        <v>0</v>
      </c>
      <c r="CH141" s="751">
        <v>0</v>
      </c>
      <c r="CI141" s="751">
        <v>0</v>
      </c>
      <c r="CJ141" s="751">
        <v>0</v>
      </c>
      <c r="CK141" s="751">
        <v>0</v>
      </c>
      <c r="CL141" s="751">
        <v>0</v>
      </c>
      <c r="CM141" s="751">
        <v>0</v>
      </c>
      <c r="CN141" s="751">
        <v>0</v>
      </c>
      <c r="CO141" s="751">
        <v>0</v>
      </c>
      <c r="CP141" s="751">
        <v>0</v>
      </c>
      <c r="CQ141" s="751">
        <v>0</v>
      </c>
      <c r="CR141" s="751">
        <v>0</v>
      </c>
      <c r="CS141" s="751">
        <v>0</v>
      </c>
      <c r="CT141" s="751">
        <v>0</v>
      </c>
      <c r="CU141" s="751">
        <v>0</v>
      </c>
      <c r="CV141" s="751">
        <v>0</v>
      </c>
      <c r="CW141" s="751">
        <v>276626</v>
      </c>
      <c r="CX141" s="751">
        <v>0</v>
      </c>
      <c r="CY141" s="751">
        <v>0</v>
      </c>
      <c r="CZ141" s="751">
        <v>276626</v>
      </c>
      <c r="DA141" s="662" t="s">
        <v>821</v>
      </c>
      <c r="DB141" s="324" t="s">
        <v>486</v>
      </c>
      <c r="DC141" s="663" t="s">
        <v>512</v>
      </c>
      <c r="DD141" s="529" t="s">
        <v>1348</v>
      </c>
    </row>
    <row r="142" spans="1:108" ht="12.75" x14ac:dyDescent="0.2">
      <c r="A142" s="664">
        <v>135</v>
      </c>
      <c r="B142" s="665" t="s">
        <v>151</v>
      </c>
      <c r="C142" s="666" t="s">
        <v>1257</v>
      </c>
      <c r="D142" s="667" t="s">
        <v>1214</v>
      </c>
      <c r="E142" s="668" t="s">
        <v>150</v>
      </c>
      <c r="F142" s="750">
        <v>296080184</v>
      </c>
      <c r="G142" s="751">
        <v>1762036</v>
      </c>
      <c r="H142" s="751">
        <v>0</v>
      </c>
      <c r="I142" s="751">
        <v>726357</v>
      </c>
      <c r="J142" s="751">
        <v>0</v>
      </c>
      <c r="K142" s="751">
        <v>726357</v>
      </c>
      <c r="L142" s="751">
        <v>0</v>
      </c>
      <c r="M142" s="751">
        <v>0</v>
      </c>
      <c r="N142" s="751">
        <v>79278</v>
      </c>
      <c r="O142" s="751">
        <v>79278</v>
      </c>
      <c r="P142" s="751">
        <v>0</v>
      </c>
      <c r="Q142" s="751">
        <v>0</v>
      </c>
      <c r="R142" s="751">
        <v>297036585</v>
      </c>
      <c r="S142" s="749">
        <v>0.33</v>
      </c>
      <c r="T142" s="749">
        <v>0.3</v>
      </c>
      <c r="U142" s="749">
        <v>0.37</v>
      </c>
      <c r="V142" s="749">
        <v>0</v>
      </c>
      <c r="W142" s="749">
        <v>1</v>
      </c>
      <c r="X142" s="751">
        <v>98022073</v>
      </c>
      <c r="Y142" s="751">
        <v>89110976</v>
      </c>
      <c r="Z142" s="751">
        <v>109903536</v>
      </c>
      <c r="AA142" s="751">
        <v>0</v>
      </c>
      <c r="AB142" s="751">
        <v>297036585</v>
      </c>
      <c r="AC142" s="751">
        <v>0</v>
      </c>
      <c r="AD142" s="751">
        <v>0</v>
      </c>
      <c r="AE142" s="751">
        <v>98022073</v>
      </c>
      <c r="AF142" s="751">
        <v>89110976</v>
      </c>
      <c r="AG142" s="751">
        <v>109903536</v>
      </c>
      <c r="AH142" s="751">
        <v>0</v>
      </c>
      <c r="AI142" s="751">
        <v>297036585</v>
      </c>
      <c r="AJ142" s="751">
        <v>726357</v>
      </c>
      <c r="AK142" s="751">
        <v>726357</v>
      </c>
      <c r="AL142" s="751">
        <v>0</v>
      </c>
      <c r="AM142" s="751">
        <v>0</v>
      </c>
      <c r="AN142" s="751">
        <v>79278</v>
      </c>
      <c r="AO142" s="751">
        <v>0</v>
      </c>
      <c r="AP142" s="751">
        <v>79278</v>
      </c>
      <c r="AQ142" s="751">
        <v>0</v>
      </c>
      <c r="AR142" s="751">
        <v>0</v>
      </c>
      <c r="AS142" s="751">
        <v>0</v>
      </c>
      <c r="AT142" s="751">
        <v>0</v>
      </c>
      <c r="AU142" s="751">
        <v>0</v>
      </c>
      <c r="AV142" s="751">
        <v>0</v>
      </c>
      <c r="AW142" s="751">
        <v>0</v>
      </c>
      <c r="AX142" s="751">
        <v>0</v>
      </c>
      <c r="AY142" s="751">
        <v>0</v>
      </c>
      <c r="AZ142" s="751">
        <v>0</v>
      </c>
      <c r="BA142" s="751">
        <v>0</v>
      </c>
      <c r="BB142" s="751">
        <v>0</v>
      </c>
      <c r="BC142" s="751">
        <v>-25712544</v>
      </c>
      <c r="BD142" s="751">
        <v>-22747260</v>
      </c>
      <c r="BE142" s="751">
        <v>-28854809</v>
      </c>
      <c r="BF142" s="751">
        <v>0</v>
      </c>
      <c r="BG142" s="751">
        <v>-77314613</v>
      </c>
      <c r="BH142" s="751">
        <v>72309529</v>
      </c>
      <c r="BI142" s="751">
        <v>67169351</v>
      </c>
      <c r="BJ142" s="751">
        <v>81048727</v>
      </c>
      <c r="BK142" s="751">
        <v>0</v>
      </c>
      <c r="BL142" s="751">
        <v>220527607</v>
      </c>
      <c r="BM142" s="751">
        <v>4647188</v>
      </c>
      <c r="BN142" s="751">
        <v>5726437</v>
      </c>
      <c r="BO142" s="751">
        <v>0</v>
      </c>
      <c r="BP142" s="751">
        <v>10373625</v>
      </c>
      <c r="BQ142" s="751">
        <v>1981783</v>
      </c>
      <c r="BR142" s="751">
        <v>2444198</v>
      </c>
      <c r="BS142" s="751">
        <v>0</v>
      </c>
      <c r="BT142" s="751">
        <v>4425981</v>
      </c>
      <c r="BU142" s="751">
        <v>144369</v>
      </c>
      <c r="BV142" s="751">
        <v>178055</v>
      </c>
      <c r="BW142" s="751">
        <v>0</v>
      </c>
      <c r="BX142" s="751">
        <v>322424</v>
      </c>
      <c r="BY142" s="751">
        <v>0</v>
      </c>
      <c r="BZ142" s="751">
        <v>0</v>
      </c>
      <c r="CA142" s="751">
        <v>0</v>
      </c>
      <c r="CB142" s="751">
        <v>0</v>
      </c>
      <c r="CC142" s="751">
        <v>0</v>
      </c>
      <c r="CD142" s="751">
        <v>0</v>
      </c>
      <c r="CE142" s="751">
        <v>0</v>
      </c>
      <c r="CF142" s="751">
        <v>0</v>
      </c>
      <c r="CG142" s="751">
        <v>55330</v>
      </c>
      <c r="CH142" s="751">
        <v>68239</v>
      </c>
      <c r="CI142" s="751">
        <v>0</v>
      </c>
      <c r="CJ142" s="751">
        <v>123569</v>
      </c>
      <c r="CK142" s="751">
        <v>0</v>
      </c>
      <c r="CL142" s="751">
        <v>0</v>
      </c>
      <c r="CM142" s="751">
        <v>0</v>
      </c>
      <c r="CN142" s="751">
        <v>0</v>
      </c>
      <c r="CO142" s="751">
        <v>0</v>
      </c>
      <c r="CP142" s="751">
        <v>0</v>
      </c>
      <c r="CQ142" s="751">
        <v>0</v>
      </c>
      <c r="CR142" s="751">
        <v>0</v>
      </c>
      <c r="CS142" s="751">
        <v>0</v>
      </c>
      <c r="CT142" s="751">
        <v>0</v>
      </c>
      <c r="CU142" s="751">
        <v>0</v>
      </c>
      <c r="CV142" s="751">
        <v>0</v>
      </c>
      <c r="CW142" s="751">
        <v>6828670</v>
      </c>
      <c r="CX142" s="751">
        <v>8416929</v>
      </c>
      <c r="CY142" s="751">
        <v>0</v>
      </c>
      <c r="CZ142" s="751">
        <v>15245599</v>
      </c>
      <c r="DA142" s="662" t="s">
        <v>150</v>
      </c>
      <c r="DB142" s="324" t="s">
        <v>576</v>
      </c>
      <c r="DC142" s="669" t="s">
        <v>485</v>
      </c>
      <c r="DD142" s="529" t="s">
        <v>1349</v>
      </c>
    </row>
    <row r="143" spans="1:108" ht="12.75" x14ac:dyDescent="0.2">
      <c r="A143" s="664">
        <v>136</v>
      </c>
      <c r="B143" s="665" t="s">
        <v>153</v>
      </c>
      <c r="C143" s="666" t="s">
        <v>1257</v>
      </c>
      <c r="D143" s="667" t="s">
        <v>1214</v>
      </c>
      <c r="E143" s="668" t="s">
        <v>152</v>
      </c>
      <c r="F143" s="750">
        <v>351178508</v>
      </c>
      <c r="G143" s="751">
        <v>258966</v>
      </c>
      <c r="H143" s="751">
        <v>0</v>
      </c>
      <c r="I143" s="751">
        <v>632739</v>
      </c>
      <c r="J143" s="751">
        <v>0</v>
      </c>
      <c r="K143" s="751">
        <v>632739</v>
      </c>
      <c r="L143" s="751">
        <v>0</v>
      </c>
      <c r="M143" s="751">
        <v>0</v>
      </c>
      <c r="N143" s="751">
        <v>0</v>
      </c>
      <c r="O143" s="751">
        <v>0</v>
      </c>
      <c r="P143" s="751">
        <v>0</v>
      </c>
      <c r="Q143" s="751">
        <v>0</v>
      </c>
      <c r="R143" s="751">
        <v>350804735</v>
      </c>
      <c r="S143" s="749">
        <v>0.33</v>
      </c>
      <c r="T143" s="749">
        <v>0.3</v>
      </c>
      <c r="U143" s="749">
        <v>0.37</v>
      </c>
      <c r="V143" s="749">
        <v>0</v>
      </c>
      <c r="W143" s="749">
        <v>1</v>
      </c>
      <c r="X143" s="751">
        <v>115765562</v>
      </c>
      <c r="Y143" s="751">
        <v>105241421</v>
      </c>
      <c r="Z143" s="751">
        <v>129797752</v>
      </c>
      <c r="AA143" s="751">
        <v>0</v>
      </c>
      <c r="AB143" s="751">
        <v>350804735</v>
      </c>
      <c r="AC143" s="751">
        <v>0</v>
      </c>
      <c r="AD143" s="751">
        <v>0</v>
      </c>
      <c r="AE143" s="751">
        <v>115765562</v>
      </c>
      <c r="AF143" s="751">
        <v>105241421</v>
      </c>
      <c r="AG143" s="751">
        <v>129797752</v>
      </c>
      <c r="AH143" s="751">
        <v>0</v>
      </c>
      <c r="AI143" s="751">
        <v>350804735</v>
      </c>
      <c r="AJ143" s="751">
        <v>632739</v>
      </c>
      <c r="AK143" s="751">
        <v>632739</v>
      </c>
      <c r="AL143" s="751">
        <v>0</v>
      </c>
      <c r="AM143" s="751">
        <v>0</v>
      </c>
      <c r="AN143" s="751">
        <v>0</v>
      </c>
      <c r="AO143" s="751">
        <v>0</v>
      </c>
      <c r="AP143" s="751">
        <v>0</v>
      </c>
      <c r="AQ143" s="751">
        <v>0</v>
      </c>
      <c r="AR143" s="751">
        <v>0</v>
      </c>
      <c r="AS143" s="751">
        <v>0</v>
      </c>
      <c r="AT143" s="751">
        <v>0</v>
      </c>
      <c r="AU143" s="751">
        <v>0</v>
      </c>
      <c r="AV143" s="751">
        <v>0</v>
      </c>
      <c r="AW143" s="751">
        <v>0</v>
      </c>
      <c r="AX143" s="751">
        <v>0</v>
      </c>
      <c r="AY143" s="751">
        <v>0</v>
      </c>
      <c r="AZ143" s="751">
        <v>0</v>
      </c>
      <c r="BA143" s="751">
        <v>0</v>
      </c>
      <c r="BB143" s="751">
        <v>0</v>
      </c>
      <c r="BC143" s="751">
        <v>-78286399</v>
      </c>
      <c r="BD143" s="751">
        <v>-69681807</v>
      </c>
      <c r="BE143" s="751">
        <v>-87836307</v>
      </c>
      <c r="BF143" s="751">
        <v>0</v>
      </c>
      <c r="BG143" s="751">
        <v>-235804514</v>
      </c>
      <c r="BH143" s="751">
        <v>37479163</v>
      </c>
      <c r="BI143" s="751">
        <v>36192353</v>
      </c>
      <c r="BJ143" s="751">
        <v>41961445</v>
      </c>
      <c r="BK143" s="751">
        <v>0</v>
      </c>
      <c r="BL143" s="751">
        <v>115632960</v>
      </c>
      <c r="BM143" s="751">
        <v>5483521</v>
      </c>
      <c r="BN143" s="751">
        <v>6763009</v>
      </c>
      <c r="BO143" s="751">
        <v>0</v>
      </c>
      <c r="BP143" s="751">
        <v>12246530</v>
      </c>
      <c r="BQ143" s="751">
        <v>1156988</v>
      </c>
      <c r="BR143" s="751">
        <v>1426951</v>
      </c>
      <c r="BS143" s="751">
        <v>0</v>
      </c>
      <c r="BT143" s="751">
        <v>2583939</v>
      </c>
      <c r="BU143" s="751">
        <v>0</v>
      </c>
      <c r="BV143" s="751">
        <v>0</v>
      </c>
      <c r="BW143" s="751">
        <v>0</v>
      </c>
      <c r="BX143" s="751">
        <v>0</v>
      </c>
      <c r="BY143" s="751">
        <v>0</v>
      </c>
      <c r="BZ143" s="751">
        <v>0</v>
      </c>
      <c r="CA143" s="751">
        <v>0</v>
      </c>
      <c r="CB143" s="751">
        <v>0</v>
      </c>
      <c r="CC143" s="751">
        <v>0</v>
      </c>
      <c r="CD143" s="751">
        <v>0</v>
      </c>
      <c r="CE143" s="751">
        <v>0</v>
      </c>
      <c r="CF143" s="751">
        <v>0</v>
      </c>
      <c r="CG143" s="751">
        <v>11861</v>
      </c>
      <c r="CH143" s="751">
        <v>14629</v>
      </c>
      <c r="CI143" s="751">
        <v>0</v>
      </c>
      <c r="CJ143" s="751">
        <v>26490</v>
      </c>
      <c r="CK143" s="751">
        <v>0</v>
      </c>
      <c r="CL143" s="751">
        <v>0</v>
      </c>
      <c r="CM143" s="751">
        <v>0</v>
      </c>
      <c r="CN143" s="751">
        <v>0</v>
      </c>
      <c r="CO143" s="751">
        <v>0</v>
      </c>
      <c r="CP143" s="751">
        <v>0</v>
      </c>
      <c r="CQ143" s="751">
        <v>0</v>
      </c>
      <c r="CR143" s="751">
        <v>0</v>
      </c>
      <c r="CS143" s="751">
        <v>0</v>
      </c>
      <c r="CT143" s="751">
        <v>0</v>
      </c>
      <c r="CU143" s="751">
        <v>0</v>
      </c>
      <c r="CV143" s="751">
        <v>0</v>
      </c>
      <c r="CW143" s="751">
        <v>6652370</v>
      </c>
      <c r="CX143" s="751">
        <v>8204589</v>
      </c>
      <c r="CY143" s="751">
        <v>0</v>
      </c>
      <c r="CZ143" s="751">
        <v>14856959</v>
      </c>
      <c r="DA143" s="662" t="s">
        <v>152</v>
      </c>
      <c r="DB143" s="324" t="s">
        <v>576</v>
      </c>
      <c r="DC143" s="669" t="s">
        <v>485</v>
      </c>
      <c r="DD143" s="529" t="s">
        <v>1350</v>
      </c>
    </row>
    <row r="144" spans="1:108" ht="12.75" x14ac:dyDescent="0.2">
      <c r="A144" s="664">
        <v>137</v>
      </c>
      <c r="B144" s="665" t="s">
        <v>155</v>
      </c>
      <c r="C144" s="666" t="s">
        <v>1201</v>
      </c>
      <c r="D144" s="667" t="s">
        <v>1211</v>
      </c>
      <c r="E144" s="668" t="s">
        <v>823</v>
      </c>
      <c r="F144" s="750">
        <v>43880374</v>
      </c>
      <c r="G144" s="751">
        <v>158499</v>
      </c>
      <c r="H144" s="751">
        <v>0</v>
      </c>
      <c r="I144" s="751">
        <v>227162</v>
      </c>
      <c r="J144" s="751">
        <v>0</v>
      </c>
      <c r="K144" s="751">
        <v>227162</v>
      </c>
      <c r="L144" s="751">
        <v>0</v>
      </c>
      <c r="M144" s="751">
        <v>16902</v>
      </c>
      <c r="N144" s="751">
        <v>2500000</v>
      </c>
      <c r="O144" s="751">
        <v>2500000</v>
      </c>
      <c r="P144" s="751">
        <v>0</v>
      </c>
      <c r="Q144" s="751">
        <v>0</v>
      </c>
      <c r="R144" s="751">
        <v>41294809</v>
      </c>
      <c r="S144" s="749">
        <v>0.5</v>
      </c>
      <c r="T144" s="749">
        <v>0.4</v>
      </c>
      <c r="U144" s="749">
        <v>0.1</v>
      </c>
      <c r="V144" s="749">
        <v>0</v>
      </c>
      <c r="W144" s="749">
        <v>1</v>
      </c>
      <c r="X144" s="751">
        <v>20647404</v>
      </c>
      <c r="Y144" s="751">
        <v>16517924</v>
      </c>
      <c r="Z144" s="751">
        <v>4129481</v>
      </c>
      <c r="AA144" s="751">
        <v>0</v>
      </c>
      <c r="AB144" s="751">
        <v>41294809</v>
      </c>
      <c r="AC144" s="751">
        <v>51594</v>
      </c>
      <c r="AD144" s="751">
        <v>51594</v>
      </c>
      <c r="AE144" s="751">
        <v>20595810</v>
      </c>
      <c r="AF144" s="751">
        <v>16517924</v>
      </c>
      <c r="AG144" s="751">
        <v>4129481</v>
      </c>
      <c r="AH144" s="751">
        <v>0</v>
      </c>
      <c r="AI144" s="751">
        <v>41243215</v>
      </c>
      <c r="AJ144" s="751">
        <v>227162</v>
      </c>
      <c r="AK144" s="751">
        <v>227162</v>
      </c>
      <c r="AL144" s="751">
        <v>16902</v>
      </c>
      <c r="AM144" s="751">
        <v>16902</v>
      </c>
      <c r="AN144" s="751">
        <v>2500000</v>
      </c>
      <c r="AO144" s="751">
        <v>0</v>
      </c>
      <c r="AP144" s="751">
        <v>2500000</v>
      </c>
      <c r="AQ144" s="751">
        <v>0</v>
      </c>
      <c r="AR144" s="751">
        <v>0</v>
      </c>
      <c r="AS144" s="751">
        <v>0</v>
      </c>
      <c r="AT144" s="751">
        <v>0</v>
      </c>
      <c r="AU144" s="751">
        <v>51594</v>
      </c>
      <c r="AV144" s="751">
        <v>0</v>
      </c>
      <c r="AW144" s="751">
        <v>0</v>
      </c>
      <c r="AX144" s="751">
        <v>51594</v>
      </c>
      <c r="AY144" s="751">
        <v>0</v>
      </c>
      <c r="AZ144" s="751">
        <v>0</v>
      </c>
      <c r="BA144" s="751">
        <v>0</v>
      </c>
      <c r="BB144" s="751">
        <v>0</v>
      </c>
      <c r="BC144" s="751">
        <v>-9621904</v>
      </c>
      <c r="BD144" s="751">
        <v>-7719621</v>
      </c>
      <c r="BE144" s="751">
        <v>-1951390</v>
      </c>
      <c r="BF144" s="751">
        <v>0</v>
      </c>
      <c r="BG144" s="751">
        <v>-19292914</v>
      </c>
      <c r="BH144" s="751">
        <v>10973907</v>
      </c>
      <c r="BI144" s="751">
        <v>11593961</v>
      </c>
      <c r="BJ144" s="751">
        <v>2178091</v>
      </c>
      <c r="BK144" s="751">
        <v>0</v>
      </c>
      <c r="BL144" s="751">
        <v>24745959</v>
      </c>
      <c r="BM144" s="751">
        <v>994483</v>
      </c>
      <c r="BN144" s="751">
        <v>215163</v>
      </c>
      <c r="BO144" s="751">
        <v>0</v>
      </c>
      <c r="BP144" s="751">
        <v>1209646</v>
      </c>
      <c r="BQ144" s="751">
        <v>1964780</v>
      </c>
      <c r="BR144" s="751">
        <v>488696</v>
      </c>
      <c r="BS144" s="751">
        <v>0</v>
      </c>
      <c r="BT144" s="751">
        <v>2453476</v>
      </c>
      <c r="BU144" s="751">
        <v>94404</v>
      </c>
      <c r="BV144" s="751">
        <v>23601</v>
      </c>
      <c r="BW144" s="751">
        <v>0</v>
      </c>
      <c r="BX144" s="751">
        <v>118005</v>
      </c>
      <c r="BY144" s="751">
        <v>2248</v>
      </c>
      <c r="BZ144" s="751">
        <v>562</v>
      </c>
      <c r="CA144" s="751">
        <v>0</v>
      </c>
      <c r="CB144" s="751">
        <v>2810</v>
      </c>
      <c r="CC144" s="751">
        <v>28039</v>
      </c>
      <c r="CD144" s="751">
        <v>7010</v>
      </c>
      <c r="CE144" s="751">
        <v>0</v>
      </c>
      <c r="CF144" s="751">
        <v>35049</v>
      </c>
      <c r="CG144" s="751">
        <v>28537</v>
      </c>
      <c r="CH144" s="751">
        <v>7134</v>
      </c>
      <c r="CI144" s="751">
        <v>0</v>
      </c>
      <c r="CJ144" s="751">
        <v>35671</v>
      </c>
      <c r="CK144" s="751">
        <v>0</v>
      </c>
      <c r="CL144" s="751">
        <v>0</v>
      </c>
      <c r="CM144" s="751">
        <v>0</v>
      </c>
      <c r="CN144" s="751">
        <v>0</v>
      </c>
      <c r="CO144" s="751">
        <v>0</v>
      </c>
      <c r="CP144" s="751">
        <v>0</v>
      </c>
      <c r="CQ144" s="751">
        <v>0</v>
      </c>
      <c r="CR144" s="751">
        <v>0</v>
      </c>
      <c r="CS144" s="751">
        <v>631</v>
      </c>
      <c r="CT144" s="751">
        <v>158</v>
      </c>
      <c r="CU144" s="751">
        <v>0</v>
      </c>
      <c r="CV144" s="751">
        <v>789</v>
      </c>
      <c r="CW144" s="751">
        <v>3113122</v>
      </c>
      <c r="CX144" s="751">
        <v>742324</v>
      </c>
      <c r="CY144" s="751">
        <v>0</v>
      </c>
      <c r="CZ144" s="751">
        <v>3855446</v>
      </c>
      <c r="DA144" s="662" t="s">
        <v>823</v>
      </c>
      <c r="DB144" s="324" t="s">
        <v>553</v>
      </c>
      <c r="DC144" s="663" t="s">
        <v>512</v>
      </c>
      <c r="DD144" s="529" t="s">
        <v>1351</v>
      </c>
    </row>
    <row r="145" spans="1:108" ht="12.75" x14ac:dyDescent="0.2">
      <c r="A145" s="664">
        <v>138</v>
      </c>
      <c r="B145" s="665" t="s">
        <v>157</v>
      </c>
      <c r="C145" s="666" t="s">
        <v>486</v>
      </c>
      <c r="D145" s="667" t="s">
        <v>1218</v>
      </c>
      <c r="E145" s="668" t="s">
        <v>819</v>
      </c>
      <c r="F145" s="750">
        <v>76635423</v>
      </c>
      <c r="G145" s="751">
        <v>0</v>
      </c>
      <c r="H145" s="751">
        <v>787838</v>
      </c>
      <c r="I145" s="751">
        <v>353314</v>
      </c>
      <c r="J145" s="751">
        <v>0</v>
      </c>
      <c r="K145" s="751">
        <v>353314</v>
      </c>
      <c r="L145" s="751">
        <v>0</v>
      </c>
      <c r="M145" s="751">
        <v>2910938</v>
      </c>
      <c r="N145" s="751">
        <v>500000</v>
      </c>
      <c r="O145" s="751">
        <v>500000</v>
      </c>
      <c r="P145" s="751">
        <v>0</v>
      </c>
      <c r="Q145" s="751">
        <v>0</v>
      </c>
      <c r="R145" s="751">
        <v>72083333</v>
      </c>
      <c r="S145" s="749">
        <v>0.5</v>
      </c>
      <c r="T145" s="749">
        <v>0.49</v>
      </c>
      <c r="U145" s="749">
        <v>0</v>
      </c>
      <c r="V145" s="749">
        <v>0.01</v>
      </c>
      <c r="W145" s="749">
        <v>1</v>
      </c>
      <c r="X145" s="751">
        <v>36041667</v>
      </c>
      <c r="Y145" s="751">
        <v>35320833</v>
      </c>
      <c r="Z145" s="751">
        <v>0</v>
      </c>
      <c r="AA145" s="751">
        <v>720833</v>
      </c>
      <c r="AB145" s="751">
        <v>72083333</v>
      </c>
      <c r="AC145" s="751">
        <v>165848</v>
      </c>
      <c r="AD145" s="751">
        <v>165848</v>
      </c>
      <c r="AE145" s="751">
        <v>35875819</v>
      </c>
      <c r="AF145" s="751">
        <v>35320833</v>
      </c>
      <c r="AG145" s="751">
        <v>0</v>
      </c>
      <c r="AH145" s="751">
        <v>720833</v>
      </c>
      <c r="AI145" s="751">
        <v>71917485</v>
      </c>
      <c r="AJ145" s="751">
        <v>353314</v>
      </c>
      <c r="AK145" s="751">
        <v>353314</v>
      </c>
      <c r="AL145" s="751">
        <v>2910938</v>
      </c>
      <c r="AM145" s="751">
        <v>2910938</v>
      </c>
      <c r="AN145" s="751">
        <v>500000</v>
      </c>
      <c r="AO145" s="751">
        <v>0</v>
      </c>
      <c r="AP145" s="751">
        <v>500000</v>
      </c>
      <c r="AQ145" s="751">
        <v>0</v>
      </c>
      <c r="AR145" s="751">
        <v>0</v>
      </c>
      <c r="AS145" s="751">
        <v>0</v>
      </c>
      <c r="AT145" s="751">
        <v>0</v>
      </c>
      <c r="AU145" s="751">
        <v>165848</v>
      </c>
      <c r="AV145" s="751">
        <v>0</v>
      </c>
      <c r="AW145" s="751">
        <v>0</v>
      </c>
      <c r="AX145" s="751">
        <v>165848</v>
      </c>
      <c r="AY145" s="751">
        <v>0</v>
      </c>
      <c r="AZ145" s="751">
        <v>0</v>
      </c>
      <c r="BA145" s="751">
        <v>0</v>
      </c>
      <c r="BB145" s="751">
        <v>0</v>
      </c>
      <c r="BC145" s="751">
        <v>-19538358</v>
      </c>
      <c r="BD145" s="751">
        <v>-19147591</v>
      </c>
      <c r="BE145" s="751">
        <v>0</v>
      </c>
      <c r="BF145" s="751">
        <v>-390767</v>
      </c>
      <c r="BG145" s="751">
        <v>-39076716</v>
      </c>
      <c r="BH145" s="751">
        <v>16337461</v>
      </c>
      <c r="BI145" s="751">
        <v>20103342</v>
      </c>
      <c r="BJ145" s="751">
        <v>0</v>
      </c>
      <c r="BK145" s="751">
        <v>330066</v>
      </c>
      <c r="BL145" s="751">
        <v>36770869</v>
      </c>
      <c r="BM145" s="751">
        <v>2026730</v>
      </c>
      <c r="BN145" s="751">
        <v>0</v>
      </c>
      <c r="BO145" s="751">
        <v>37558</v>
      </c>
      <c r="BP145" s="751">
        <v>2064288</v>
      </c>
      <c r="BQ145" s="751">
        <v>3398935</v>
      </c>
      <c r="BR145" s="751">
        <v>0</v>
      </c>
      <c r="BS145" s="751">
        <v>69216</v>
      </c>
      <c r="BT145" s="751">
        <v>3468151</v>
      </c>
      <c r="BU145" s="751">
        <v>205368</v>
      </c>
      <c r="BV145" s="751">
        <v>0</v>
      </c>
      <c r="BW145" s="751">
        <v>4130</v>
      </c>
      <c r="BX145" s="751">
        <v>209498</v>
      </c>
      <c r="BY145" s="751">
        <v>0</v>
      </c>
      <c r="BZ145" s="751">
        <v>0</v>
      </c>
      <c r="CA145" s="751">
        <v>0</v>
      </c>
      <c r="CB145" s="751">
        <v>0</v>
      </c>
      <c r="CC145" s="751">
        <v>0</v>
      </c>
      <c r="CD145" s="751">
        <v>0</v>
      </c>
      <c r="CE145" s="751">
        <v>0</v>
      </c>
      <c r="CF145" s="751">
        <v>0</v>
      </c>
      <c r="CG145" s="751">
        <v>4928</v>
      </c>
      <c r="CH145" s="751">
        <v>0</v>
      </c>
      <c r="CI145" s="751">
        <v>101</v>
      </c>
      <c r="CJ145" s="751">
        <v>5029</v>
      </c>
      <c r="CK145" s="751">
        <v>0</v>
      </c>
      <c r="CL145" s="751">
        <v>0</v>
      </c>
      <c r="CM145" s="751">
        <v>0</v>
      </c>
      <c r="CN145" s="751">
        <v>0</v>
      </c>
      <c r="CO145" s="751">
        <v>0</v>
      </c>
      <c r="CP145" s="751">
        <v>0</v>
      </c>
      <c r="CQ145" s="751">
        <v>0</v>
      </c>
      <c r="CR145" s="751">
        <v>0</v>
      </c>
      <c r="CS145" s="751">
        <v>1546</v>
      </c>
      <c r="CT145" s="751">
        <v>0</v>
      </c>
      <c r="CU145" s="751">
        <v>32</v>
      </c>
      <c r="CV145" s="751">
        <v>1578</v>
      </c>
      <c r="CW145" s="751">
        <v>5637507</v>
      </c>
      <c r="CX145" s="751">
        <v>0</v>
      </c>
      <c r="CY145" s="751">
        <v>111037</v>
      </c>
      <c r="CZ145" s="751">
        <v>5748544</v>
      </c>
      <c r="DA145" s="662" t="s">
        <v>819</v>
      </c>
      <c r="DB145" s="324" t="s">
        <v>486</v>
      </c>
      <c r="DC145" s="663" t="s">
        <v>538</v>
      </c>
      <c r="DD145" s="529" t="s">
        <v>1352</v>
      </c>
    </row>
    <row r="146" spans="1:108" ht="12.75" x14ac:dyDescent="0.2">
      <c r="A146" s="664">
        <v>139</v>
      </c>
      <c r="B146" s="665" t="s">
        <v>159</v>
      </c>
      <c r="C146" s="666" t="s">
        <v>1213</v>
      </c>
      <c r="D146" s="667" t="s">
        <v>1214</v>
      </c>
      <c r="E146" s="668" t="s">
        <v>158</v>
      </c>
      <c r="F146" s="750">
        <v>82890859</v>
      </c>
      <c r="G146" s="751">
        <v>31000</v>
      </c>
      <c r="H146" s="751">
        <v>0</v>
      </c>
      <c r="I146" s="751">
        <v>230230</v>
      </c>
      <c r="J146" s="751">
        <v>0</v>
      </c>
      <c r="K146" s="751">
        <v>230230</v>
      </c>
      <c r="L146" s="751">
        <v>0</v>
      </c>
      <c r="M146" s="751">
        <v>0</v>
      </c>
      <c r="N146" s="751">
        <v>0</v>
      </c>
      <c r="O146" s="751">
        <v>0</v>
      </c>
      <c r="P146" s="751">
        <v>0</v>
      </c>
      <c r="Q146" s="751">
        <v>0</v>
      </c>
      <c r="R146" s="751">
        <v>82691629</v>
      </c>
      <c r="S146" s="749">
        <v>0.33</v>
      </c>
      <c r="T146" s="749">
        <v>0.3</v>
      </c>
      <c r="U146" s="749">
        <v>0.37</v>
      </c>
      <c r="V146" s="749">
        <v>0</v>
      </c>
      <c r="W146" s="749">
        <v>1</v>
      </c>
      <c r="X146" s="751">
        <v>27288237</v>
      </c>
      <c r="Y146" s="751">
        <v>24807489</v>
      </c>
      <c r="Z146" s="751">
        <v>30595903</v>
      </c>
      <c r="AA146" s="751">
        <v>0</v>
      </c>
      <c r="AB146" s="751">
        <v>82691629</v>
      </c>
      <c r="AC146" s="751">
        <v>0</v>
      </c>
      <c r="AD146" s="751">
        <v>0</v>
      </c>
      <c r="AE146" s="751">
        <v>27288237</v>
      </c>
      <c r="AF146" s="751">
        <v>24807489</v>
      </c>
      <c r="AG146" s="751">
        <v>30595903</v>
      </c>
      <c r="AH146" s="751">
        <v>0</v>
      </c>
      <c r="AI146" s="751">
        <v>82691629</v>
      </c>
      <c r="AJ146" s="751">
        <v>230230</v>
      </c>
      <c r="AK146" s="751">
        <v>230230</v>
      </c>
      <c r="AL146" s="751">
        <v>0</v>
      </c>
      <c r="AM146" s="751">
        <v>0</v>
      </c>
      <c r="AN146" s="751">
        <v>0</v>
      </c>
      <c r="AO146" s="751">
        <v>0</v>
      </c>
      <c r="AP146" s="751">
        <v>0</v>
      </c>
      <c r="AQ146" s="751">
        <v>0</v>
      </c>
      <c r="AR146" s="751">
        <v>0</v>
      </c>
      <c r="AS146" s="751">
        <v>0</v>
      </c>
      <c r="AT146" s="751">
        <v>0</v>
      </c>
      <c r="AU146" s="751">
        <v>0</v>
      </c>
      <c r="AV146" s="751">
        <v>0</v>
      </c>
      <c r="AW146" s="751">
        <v>0</v>
      </c>
      <c r="AX146" s="751">
        <v>0</v>
      </c>
      <c r="AY146" s="751">
        <v>0</v>
      </c>
      <c r="AZ146" s="751">
        <v>0</v>
      </c>
      <c r="BA146" s="751">
        <v>0</v>
      </c>
      <c r="BB146" s="751">
        <v>0</v>
      </c>
      <c r="BC146" s="751">
        <v>-17521743</v>
      </c>
      <c r="BD146" s="751">
        <v>-15725074</v>
      </c>
      <c r="BE146" s="751">
        <v>-19653898</v>
      </c>
      <c r="BF146" s="751">
        <v>0</v>
      </c>
      <c r="BG146" s="751">
        <v>-52900715</v>
      </c>
      <c r="BH146" s="751">
        <v>9766494</v>
      </c>
      <c r="BI146" s="751">
        <v>9312645</v>
      </c>
      <c r="BJ146" s="751">
        <v>10942005</v>
      </c>
      <c r="BK146" s="751">
        <v>0</v>
      </c>
      <c r="BL146" s="751">
        <v>30021144</v>
      </c>
      <c r="BM146" s="751">
        <v>1292575</v>
      </c>
      <c r="BN146" s="751">
        <v>1594175</v>
      </c>
      <c r="BO146" s="751">
        <v>0</v>
      </c>
      <c r="BP146" s="751">
        <v>2886750</v>
      </c>
      <c r="BQ146" s="751">
        <v>1022497</v>
      </c>
      <c r="BR146" s="751">
        <v>1261079</v>
      </c>
      <c r="BS146" s="751">
        <v>0</v>
      </c>
      <c r="BT146" s="751">
        <v>2283576</v>
      </c>
      <c r="BU146" s="751">
        <v>70610</v>
      </c>
      <c r="BV146" s="751">
        <v>87085</v>
      </c>
      <c r="BW146" s="751">
        <v>0</v>
      </c>
      <c r="BX146" s="751">
        <v>157695</v>
      </c>
      <c r="BY146" s="751">
        <v>1060</v>
      </c>
      <c r="BZ146" s="751">
        <v>1306</v>
      </c>
      <c r="CA146" s="751">
        <v>0</v>
      </c>
      <c r="CB146" s="751">
        <v>2366</v>
      </c>
      <c r="CC146" s="751">
        <v>0</v>
      </c>
      <c r="CD146" s="751">
        <v>0</v>
      </c>
      <c r="CE146" s="751">
        <v>0</v>
      </c>
      <c r="CF146" s="751">
        <v>0</v>
      </c>
      <c r="CG146" s="751">
        <v>3788</v>
      </c>
      <c r="CH146" s="751">
        <v>4671</v>
      </c>
      <c r="CI146" s="751">
        <v>0</v>
      </c>
      <c r="CJ146" s="751">
        <v>8459</v>
      </c>
      <c r="CK146" s="751">
        <v>0</v>
      </c>
      <c r="CL146" s="751">
        <v>0</v>
      </c>
      <c r="CM146" s="751">
        <v>0</v>
      </c>
      <c r="CN146" s="751">
        <v>0</v>
      </c>
      <c r="CO146" s="751">
        <v>0</v>
      </c>
      <c r="CP146" s="751">
        <v>0</v>
      </c>
      <c r="CQ146" s="751">
        <v>0</v>
      </c>
      <c r="CR146" s="751">
        <v>0</v>
      </c>
      <c r="CS146" s="751">
        <v>0</v>
      </c>
      <c r="CT146" s="751">
        <v>0</v>
      </c>
      <c r="CU146" s="751">
        <v>0</v>
      </c>
      <c r="CV146" s="751">
        <v>0</v>
      </c>
      <c r="CW146" s="751">
        <v>2390530</v>
      </c>
      <c r="CX146" s="751">
        <v>2948316</v>
      </c>
      <c r="CY146" s="751">
        <v>0</v>
      </c>
      <c r="CZ146" s="751">
        <v>5338846</v>
      </c>
      <c r="DA146" s="662" t="s">
        <v>158</v>
      </c>
      <c r="DB146" s="324" t="s">
        <v>576</v>
      </c>
      <c r="DC146" s="669" t="s">
        <v>485</v>
      </c>
      <c r="DD146" s="529" t="s">
        <v>1353</v>
      </c>
    </row>
    <row r="147" spans="1:108" ht="12.75" x14ac:dyDescent="0.2">
      <c r="A147" s="664">
        <v>140</v>
      </c>
      <c r="B147" s="665" t="s">
        <v>161</v>
      </c>
      <c r="C147" s="666" t="s">
        <v>1217</v>
      </c>
      <c r="D147" s="667" t="s">
        <v>1218</v>
      </c>
      <c r="E147" s="668" t="s">
        <v>160</v>
      </c>
      <c r="F147" s="750">
        <v>99866750</v>
      </c>
      <c r="G147" s="751">
        <v>0</v>
      </c>
      <c r="H147" s="751">
        <v>320870</v>
      </c>
      <c r="I147" s="751">
        <v>587499</v>
      </c>
      <c r="J147" s="751">
        <v>0</v>
      </c>
      <c r="K147" s="751">
        <v>587499</v>
      </c>
      <c r="L147" s="751">
        <v>0</v>
      </c>
      <c r="M147" s="751">
        <v>302929</v>
      </c>
      <c r="N147" s="751">
        <v>0</v>
      </c>
      <c r="O147" s="751">
        <v>0</v>
      </c>
      <c r="P147" s="751">
        <v>0</v>
      </c>
      <c r="Q147" s="751">
        <v>0</v>
      </c>
      <c r="R147" s="751">
        <v>98655452</v>
      </c>
      <c r="S147" s="749">
        <v>0.5</v>
      </c>
      <c r="T147" s="749">
        <v>0.49</v>
      </c>
      <c r="U147" s="749">
        <v>0</v>
      </c>
      <c r="V147" s="749">
        <v>0.01</v>
      </c>
      <c r="W147" s="749">
        <v>1</v>
      </c>
      <c r="X147" s="751">
        <v>49327726</v>
      </c>
      <c r="Y147" s="751">
        <v>48341171</v>
      </c>
      <c r="Z147" s="751">
        <v>0</v>
      </c>
      <c r="AA147" s="751">
        <v>986555</v>
      </c>
      <c r="AB147" s="751">
        <v>98655452</v>
      </c>
      <c r="AC147" s="751">
        <v>158896</v>
      </c>
      <c r="AD147" s="751">
        <v>158896</v>
      </c>
      <c r="AE147" s="751">
        <v>49168830</v>
      </c>
      <c r="AF147" s="751">
        <v>48341171</v>
      </c>
      <c r="AG147" s="751">
        <v>0</v>
      </c>
      <c r="AH147" s="751">
        <v>986555</v>
      </c>
      <c r="AI147" s="751">
        <v>98496556</v>
      </c>
      <c r="AJ147" s="751">
        <v>587499</v>
      </c>
      <c r="AK147" s="751">
        <v>587499</v>
      </c>
      <c r="AL147" s="751">
        <v>302929</v>
      </c>
      <c r="AM147" s="751">
        <v>302929</v>
      </c>
      <c r="AN147" s="751">
        <v>0</v>
      </c>
      <c r="AO147" s="751">
        <v>0</v>
      </c>
      <c r="AP147" s="751">
        <v>0</v>
      </c>
      <c r="AQ147" s="751">
        <v>0</v>
      </c>
      <c r="AR147" s="751">
        <v>0</v>
      </c>
      <c r="AS147" s="751">
        <v>0</v>
      </c>
      <c r="AT147" s="751">
        <v>0</v>
      </c>
      <c r="AU147" s="751">
        <v>158896</v>
      </c>
      <c r="AV147" s="751">
        <v>0</v>
      </c>
      <c r="AW147" s="751">
        <v>0</v>
      </c>
      <c r="AX147" s="751">
        <v>158896</v>
      </c>
      <c r="AY147" s="751">
        <v>0</v>
      </c>
      <c r="AZ147" s="751">
        <v>0</v>
      </c>
      <c r="BA147" s="751">
        <v>0</v>
      </c>
      <c r="BB147" s="751">
        <v>0</v>
      </c>
      <c r="BC147" s="751">
        <v>-25325688</v>
      </c>
      <c r="BD147" s="751">
        <v>-24613165</v>
      </c>
      <c r="BE147" s="751">
        <v>0</v>
      </c>
      <c r="BF147" s="751">
        <v>-504433</v>
      </c>
      <c r="BG147" s="751">
        <v>-50443285</v>
      </c>
      <c r="BH147" s="751">
        <v>23843142</v>
      </c>
      <c r="BI147" s="751">
        <v>24777330</v>
      </c>
      <c r="BJ147" s="751">
        <v>0</v>
      </c>
      <c r="BK147" s="751">
        <v>482122</v>
      </c>
      <c r="BL147" s="751">
        <v>49102595</v>
      </c>
      <c r="BM147" s="751">
        <v>2542841</v>
      </c>
      <c r="BN147" s="751">
        <v>0</v>
      </c>
      <c r="BO147" s="751">
        <v>51404</v>
      </c>
      <c r="BP147" s="751">
        <v>2594245</v>
      </c>
      <c r="BQ147" s="751">
        <v>7160111</v>
      </c>
      <c r="BR147" s="751">
        <v>0</v>
      </c>
      <c r="BS147" s="751">
        <v>146125</v>
      </c>
      <c r="BT147" s="751">
        <v>7306236</v>
      </c>
      <c r="BU147" s="751">
        <v>247574</v>
      </c>
      <c r="BV147" s="751">
        <v>0</v>
      </c>
      <c r="BW147" s="751">
        <v>5053</v>
      </c>
      <c r="BX147" s="751">
        <v>252627</v>
      </c>
      <c r="BY147" s="751">
        <v>25137</v>
      </c>
      <c r="BZ147" s="751">
        <v>0</v>
      </c>
      <c r="CA147" s="751">
        <v>513</v>
      </c>
      <c r="CB147" s="751">
        <v>25650</v>
      </c>
      <c r="CC147" s="751">
        <v>0</v>
      </c>
      <c r="CD147" s="751">
        <v>0</v>
      </c>
      <c r="CE147" s="751">
        <v>0</v>
      </c>
      <c r="CF147" s="751">
        <v>0</v>
      </c>
      <c r="CG147" s="751">
        <v>33824</v>
      </c>
      <c r="CH147" s="751">
        <v>0</v>
      </c>
      <c r="CI147" s="751">
        <v>690</v>
      </c>
      <c r="CJ147" s="751">
        <v>34514</v>
      </c>
      <c r="CK147" s="751">
        <v>0</v>
      </c>
      <c r="CL147" s="751">
        <v>0</v>
      </c>
      <c r="CM147" s="751">
        <v>0</v>
      </c>
      <c r="CN147" s="751">
        <v>0</v>
      </c>
      <c r="CO147" s="751">
        <v>0</v>
      </c>
      <c r="CP147" s="751">
        <v>0</v>
      </c>
      <c r="CQ147" s="751">
        <v>0</v>
      </c>
      <c r="CR147" s="751">
        <v>0</v>
      </c>
      <c r="CS147" s="751">
        <v>773</v>
      </c>
      <c r="CT147" s="751">
        <v>0</v>
      </c>
      <c r="CU147" s="751">
        <v>16</v>
      </c>
      <c r="CV147" s="751">
        <v>789</v>
      </c>
      <c r="CW147" s="751">
        <v>10010260</v>
      </c>
      <c r="CX147" s="751">
        <v>0</v>
      </c>
      <c r="CY147" s="751">
        <v>203801</v>
      </c>
      <c r="CZ147" s="751">
        <v>10214061</v>
      </c>
      <c r="DA147" s="662" t="s">
        <v>160</v>
      </c>
      <c r="DB147" s="324" t="s">
        <v>570</v>
      </c>
      <c r="DC147" s="663" t="s">
        <v>575</v>
      </c>
      <c r="DD147" s="529" t="s">
        <v>1354</v>
      </c>
    </row>
    <row r="148" spans="1:108" ht="12.75" x14ac:dyDescent="0.2">
      <c r="A148" s="664">
        <v>141</v>
      </c>
      <c r="B148" s="665" t="s">
        <v>163</v>
      </c>
      <c r="C148" s="666" t="s">
        <v>1217</v>
      </c>
      <c r="D148" s="667" t="s">
        <v>1204</v>
      </c>
      <c r="E148" s="668" t="s">
        <v>162</v>
      </c>
      <c r="F148" s="750">
        <v>48318632</v>
      </c>
      <c r="G148" s="751">
        <v>0</v>
      </c>
      <c r="H148" s="751">
        <v>38326</v>
      </c>
      <c r="I148" s="751">
        <v>133149</v>
      </c>
      <c r="J148" s="751">
        <v>0</v>
      </c>
      <c r="K148" s="751">
        <v>133149</v>
      </c>
      <c r="L148" s="751">
        <v>0</v>
      </c>
      <c r="M148" s="751">
        <v>0</v>
      </c>
      <c r="N148" s="751">
        <v>0</v>
      </c>
      <c r="O148" s="751">
        <v>0</v>
      </c>
      <c r="P148" s="751">
        <v>0</v>
      </c>
      <c r="Q148" s="751">
        <v>0</v>
      </c>
      <c r="R148" s="751">
        <v>48147157</v>
      </c>
      <c r="S148" s="749">
        <v>0</v>
      </c>
      <c r="T148" s="749">
        <v>0.99</v>
      </c>
      <c r="U148" s="749">
        <v>0</v>
      </c>
      <c r="V148" s="749">
        <v>0.01</v>
      </c>
      <c r="W148" s="749">
        <v>1</v>
      </c>
      <c r="X148" s="751">
        <v>0</v>
      </c>
      <c r="Y148" s="751">
        <v>47665685</v>
      </c>
      <c r="Z148" s="751">
        <v>0</v>
      </c>
      <c r="AA148" s="751">
        <v>481472</v>
      </c>
      <c r="AB148" s="751">
        <v>48147157</v>
      </c>
      <c r="AC148" s="751">
        <v>0</v>
      </c>
      <c r="AD148" s="751">
        <v>0</v>
      </c>
      <c r="AE148" s="751">
        <v>0</v>
      </c>
      <c r="AF148" s="751">
        <v>47665685</v>
      </c>
      <c r="AG148" s="751">
        <v>0</v>
      </c>
      <c r="AH148" s="751">
        <v>481472</v>
      </c>
      <c r="AI148" s="751">
        <v>48147157</v>
      </c>
      <c r="AJ148" s="751">
        <v>133149</v>
      </c>
      <c r="AK148" s="751">
        <v>133149</v>
      </c>
      <c r="AL148" s="751">
        <v>0</v>
      </c>
      <c r="AM148" s="751">
        <v>0</v>
      </c>
      <c r="AN148" s="751">
        <v>0</v>
      </c>
      <c r="AO148" s="751">
        <v>0</v>
      </c>
      <c r="AP148" s="751">
        <v>0</v>
      </c>
      <c r="AQ148" s="751">
        <v>0</v>
      </c>
      <c r="AR148" s="751">
        <v>0</v>
      </c>
      <c r="AS148" s="751">
        <v>0</v>
      </c>
      <c r="AT148" s="751">
        <v>0</v>
      </c>
      <c r="AU148" s="751">
        <v>0</v>
      </c>
      <c r="AV148" s="751">
        <v>0</v>
      </c>
      <c r="AW148" s="751">
        <v>0</v>
      </c>
      <c r="AX148" s="751">
        <v>0</v>
      </c>
      <c r="AY148" s="751">
        <v>0</v>
      </c>
      <c r="AZ148" s="751">
        <v>0</v>
      </c>
      <c r="BA148" s="751">
        <v>0</v>
      </c>
      <c r="BB148" s="751">
        <v>0</v>
      </c>
      <c r="BC148" s="751">
        <v>0</v>
      </c>
      <c r="BD148" s="751">
        <v>-12508829</v>
      </c>
      <c r="BE148" s="751">
        <v>0</v>
      </c>
      <c r="BF148" s="751">
        <v>-126352</v>
      </c>
      <c r="BG148" s="751">
        <v>-12635180</v>
      </c>
      <c r="BH148" s="751">
        <v>0</v>
      </c>
      <c r="BI148" s="751">
        <v>35290005</v>
      </c>
      <c r="BJ148" s="751">
        <v>0</v>
      </c>
      <c r="BK148" s="751">
        <v>355120</v>
      </c>
      <c r="BL148" s="751">
        <v>35645126</v>
      </c>
      <c r="BM148" s="751">
        <v>2483583</v>
      </c>
      <c r="BN148" s="751">
        <v>0</v>
      </c>
      <c r="BO148" s="751">
        <v>25087</v>
      </c>
      <c r="BP148" s="751">
        <v>2508670</v>
      </c>
      <c r="BQ148" s="751">
        <v>2563550</v>
      </c>
      <c r="BR148" s="751">
        <v>0</v>
      </c>
      <c r="BS148" s="751">
        <v>25894</v>
      </c>
      <c r="BT148" s="751">
        <v>2589444</v>
      </c>
      <c r="BU148" s="751">
        <v>165791</v>
      </c>
      <c r="BV148" s="751">
        <v>0</v>
      </c>
      <c r="BW148" s="751">
        <v>1675</v>
      </c>
      <c r="BX148" s="751">
        <v>167466</v>
      </c>
      <c r="BY148" s="751">
        <v>12713</v>
      </c>
      <c r="BZ148" s="751">
        <v>0</v>
      </c>
      <c r="CA148" s="751">
        <v>128</v>
      </c>
      <c r="CB148" s="751">
        <v>12841</v>
      </c>
      <c r="CC148" s="751">
        <v>0</v>
      </c>
      <c r="CD148" s="751">
        <v>0</v>
      </c>
      <c r="CE148" s="751">
        <v>0</v>
      </c>
      <c r="CF148" s="751">
        <v>0</v>
      </c>
      <c r="CG148" s="751">
        <v>5702</v>
      </c>
      <c r="CH148" s="751">
        <v>0</v>
      </c>
      <c r="CI148" s="751">
        <v>58</v>
      </c>
      <c r="CJ148" s="751">
        <v>5760</v>
      </c>
      <c r="CK148" s="751">
        <v>0</v>
      </c>
      <c r="CL148" s="751">
        <v>0</v>
      </c>
      <c r="CM148" s="751">
        <v>0</v>
      </c>
      <c r="CN148" s="751">
        <v>0</v>
      </c>
      <c r="CO148" s="751">
        <v>0</v>
      </c>
      <c r="CP148" s="751">
        <v>0</v>
      </c>
      <c r="CQ148" s="751">
        <v>0</v>
      </c>
      <c r="CR148" s="751">
        <v>0</v>
      </c>
      <c r="CS148" s="751">
        <v>0</v>
      </c>
      <c r="CT148" s="751">
        <v>0</v>
      </c>
      <c r="CU148" s="751">
        <v>0</v>
      </c>
      <c r="CV148" s="751">
        <v>0</v>
      </c>
      <c r="CW148" s="751">
        <v>5231339</v>
      </c>
      <c r="CX148" s="751">
        <v>0</v>
      </c>
      <c r="CY148" s="751">
        <v>52842</v>
      </c>
      <c r="CZ148" s="751">
        <v>5284181</v>
      </c>
      <c r="DA148" s="662" t="s">
        <v>162</v>
      </c>
      <c r="DB148" s="324" t="s">
        <v>570</v>
      </c>
      <c r="DC148" s="663" t="s">
        <v>571</v>
      </c>
      <c r="DD148" s="529" t="s">
        <v>1355</v>
      </c>
    </row>
    <row r="149" spans="1:108" ht="12.75" x14ac:dyDescent="0.2">
      <c r="A149" s="664">
        <v>142</v>
      </c>
      <c r="B149" s="665" t="s">
        <v>165</v>
      </c>
      <c r="C149" s="666" t="s">
        <v>1257</v>
      </c>
      <c r="D149" s="667" t="s">
        <v>1214</v>
      </c>
      <c r="E149" s="668" t="s">
        <v>164</v>
      </c>
      <c r="F149" s="750">
        <v>185093018</v>
      </c>
      <c r="G149" s="751">
        <v>1993265</v>
      </c>
      <c r="H149" s="751">
        <v>0</v>
      </c>
      <c r="I149" s="751">
        <v>502928</v>
      </c>
      <c r="J149" s="751">
        <v>0</v>
      </c>
      <c r="K149" s="751">
        <v>502928</v>
      </c>
      <c r="L149" s="751">
        <v>0</v>
      </c>
      <c r="M149" s="751">
        <v>91843</v>
      </c>
      <c r="N149" s="751">
        <v>0</v>
      </c>
      <c r="O149" s="751">
        <v>0</v>
      </c>
      <c r="P149" s="751">
        <v>0</v>
      </c>
      <c r="Q149" s="751">
        <v>0</v>
      </c>
      <c r="R149" s="751">
        <v>186491512</v>
      </c>
      <c r="S149" s="749">
        <v>0.33</v>
      </c>
      <c r="T149" s="749">
        <v>0.3</v>
      </c>
      <c r="U149" s="749">
        <v>0.37</v>
      </c>
      <c r="V149" s="749">
        <v>0</v>
      </c>
      <c r="W149" s="749">
        <v>1</v>
      </c>
      <c r="X149" s="751">
        <v>61542199</v>
      </c>
      <c r="Y149" s="751">
        <v>55947454</v>
      </c>
      <c r="Z149" s="751">
        <v>69001859</v>
      </c>
      <c r="AA149" s="751">
        <v>0</v>
      </c>
      <c r="AB149" s="751">
        <v>186491512</v>
      </c>
      <c r="AC149" s="751">
        <v>0</v>
      </c>
      <c r="AD149" s="751">
        <v>0</v>
      </c>
      <c r="AE149" s="751">
        <v>61542199</v>
      </c>
      <c r="AF149" s="751">
        <v>55947454</v>
      </c>
      <c r="AG149" s="751">
        <v>69001859</v>
      </c>
      <c r="AH149" s="751">
        <v>0</v>
      </c>
      <c r="AI149" s="751">
        <v>186491512</v>
      </c>
      <c r="AJ149" s="751">
        <v>502928</v>
      </c>
      <c r="AK149" s="751">
        <v>502928</v>
      </c>
      <c r="AL149" s="751">
        <v>91843</v>
      </c>
      <c r="AM149" s="751">
        <v>91843</v>
      </c>
      <c r="AN149" s="751">
        <v>0</v>
      </c>
      <c r="AO149" s="751">
        <v>0</v>
      </c>
      <c r="AP149" s="751">
        <v>0</v>
      </c>
      <c r="AQ149" s="751">
        <v>0</v>
      </c>
      <c r="AR149" s="751">
        <v>0</v>
      </c>
      <c r="AS149" s="751">
        <v>0</v>
      </c>
      <c r="AT149" s="751">
        <v>0</v>
      </c>
      <c r="AU149" s="751">
        <v>0</v>
      </c>
      <c r="AV149" s="751">
        <v>0</v>
      </c>
      <c r="AW149" s="751">
        <v>0</v>
      </c>
      <c r="AX149" s="751">
        <v>0</v>
      </c>
      <c r="AY149" s="751">
        <v>0</v>
      </c>
      <c r="AZ149" s="751">
        <v>0</v>
      </c>
      <c r="BA149" s="751">
        <v>0</v>
      </c>
      <c r="BB149" s="751">
        <v>0</v>
      </c>
      <c r="BC149" s="751">
        <v>-27755057</v>
      </c>
      <c r="BD149" s="751">
        <v>-25842779</v>
      </c>
      <c r="BE149" s="751">
        <v>-31094401</v>
      </c>
      <c r="BF149" s="751">
        <v>0</v>
      </c>
      <c r="BG149" s="751">
        <v>-84692237</v>
      </c>
      <c r="BH149" s="751">
        <v>33787142</v>
      </c>
      <c r="BI149" s="751">
        <v>30699446</v>
      </c>
      <c r="BJ149" s="751">
        <v>37907458</v>
      </c>
      <c r="BK149" s="751">
        <v>0</v>
      </c>
      <c r="BL149" s="751">
        <v>102394046</v>
      </c>
      <c r="BM149" s="751">
        <v>2919883</v>
      </c>
      <c r="BN149" s="751">
        <v>3595287</v>
      </c>
      <c r="BO149" s="751">
        <v>0</v>
      </c>
      <c r="BP149" s="751">
        <v>6515170</v>
      </c>
      <c r="BQ149" s="751">
        <v>2230385</v>
      </c>
      <c r="BR149" s="751">
        <v>2750808</v>
      </c>
      <c r="BS149" s="751">
        <v>0</v>
      </c>
      <c r="BT149" s="751">
        <v>4981193</v>
      </c>
      <c r="BU149" s="751">
        <v>133124</v>
      </c>
      <c r="BV149" s="751">
        <v>164186</v>
      </c>
      <c r="BW149" s="751">
        <v>0</v>
      </c>
      <c r="BX149" s="751">
        <v>297310</v>
      </c>
      <c r="BY149" s="751">
        <v>0</v>
      </c>
      <c r="BZ149" s="751">
        <v>0</v>
      </c>
      <c r="CA149" s="751">
        <v>0</v>
      </c>
      <c r="CB149" s="751">
        <v>0</v>
      </c>
      <c r="CC149" s="751">
        <v>0</v>
      </c>
      <c r="CD149" s="751">
        <v>0</v>
      </c>
      <c r="CE149" s="751">
        <v>0</v>
      </c>
      <c r="CF149" s="751">
        <v>0</v>
      </c>
      <c r="CG149" s="751">
        <v>69956</v>
      </c>
      <c r="CH149" s="751">
        <v>86280</v>
      </c>
      <c r="CI149" s="751">
        <v>0</v>
      </c>
      <c r="CJ149" s="751">
        <v>156236</v>
      </c>
      <c r="CK149" s="751">
        <v>0</v>
      </c>
      <c r="CL149" s="751">
        <v>0</v>
      </c>
      <c r="CM149" s="751">
        <v>0</v>
      </c>
      <c r="CN149" s="751">
        <v>0</v>
      </c>
      <c r="CO149" s="751">
        <v>0</v>
      </c>
      <c r="CP149" s="751">
        <v>0</v>
      </c>
      <c r="CQ149" s="751">
        <v>0</v>
      </c>
      <c r="CR149" s="751">
        <v>0</v>
      </c>
      <c r="CS149" s="751">
        <v>0</v>
      </c>
      <c r="CT149" s="751">
        <v>0</v>
      </c>
      <c r="CU149" s="751">
        <v>0</v>
      </c>
      <c r="CV149" s="751">
        <v>0</v>
      </c>
      <c r="CW149" s="751">
        <v>5353348</v>
      </c>
      <c r="CX149" s="751">
        <v>6596561</v>
      </c>
      <c r="CY149" s="751">
        <v>0</v>
      </c>
      <c r="CZ149" s="751">
        <v>11949909</v>
      </c>
      <c r="DA149" s="662" t="s">
        <v>164</v>
      </c>
      <c r="DB149" s="324" t="s">
        <v>576</v>
      </c>
      <c r="DC149" s="669" t="s">
        <v>485</v>
      </c>
      <c r="DD149" s="529" t="s">
        <v>1356</v>
      </c>
    </row>
    <row r="150" spans="1:108" ht="12.75" x14ac:dyDescent="0.2">
      <c r="A150" s="664">
        <v>143</v>
      </c>
      <c r="B150" s="665" t="s">
        <v>167</v>
      </c>
      <c r="C150" s="666" t="s">
        <v>1201</v>
      </c>
      <c r="D150" s="667" t="s">
        <v>1204</v>
      </c>
      <c r="E150" s="668" t="s">
        <v>166</v>
      </c>
      <c r="F150" s="750">
        <v>63578033</v>
      </c>
      <c r="G150" s="751">
        <v>0</v>
      </c>
      <c r="H150" s="751">
        <v>30393</v>
      </c>
      <c r="I150" s="751">
        <v>208335</v>
      </c>
      <c r="J150" s="751">
        <v>0</v>
      </c>
      <c r="K150" s="751">
        <v>208335</v>
      </c>
      <c r="L150" s="751">
        <v>0</v>
      </c>
      <c r="M150" s="751">
        <v>0</v>
      </c>
      <c r="N150" s="751">
        <v>3030748</v>
      </c>
      <c r="O150" s="751">
        <v>3011788</v>
      </c>
      <c r="P150" s="751">
        <v>18960</v>
      </c>
      <c r="Q150" s="751">
        <v>0</v>
      </c>
      <c r="R150" s="751">
        <v>60308557</v>
      </c>
      <c r="S150" s="749">
        <v>0.5</v>
      </c>
      <c r="T150" s="749">
        <v>0.4</v>
      </c>
      <c r="U150" s="749">
        <v>0.09</v>
      </c>
      <c r="V150" s="749">
        <v>0.01</v>
      </c>
      <c r="W150" s="749">
        <v>1</v>
      </c>
      <c r="X150" s="751">
        <v>30154278</v>
      </c>
      <c r="Y150" s="751">
        <v>24123423</v>
      </c>
      <c r="Z150" s="751">
        <v>5427770</v>
      </c>
      <c r="AA150" s="751">
        <v>603086</v>
      </c>
      <c r="AB150" s="751">
        <v>60308557</v>
      </c>
      <c r="AC150" s="751">
        <v>0</v>
      </c>
      <c r="AD150" s="751">
        <v>0</v>
      </c>
      <c r="AE150" s="751">
        <v>30154278</v>
      </c>
      <c r="AF150" s="751">
        <v>24123423</v>
      </c>
      <c r="AG150" s="751">
        <v>5427770</v>
      </c>
      <c r="AH150" s="751">
        <v>603086</v>
      </c>
      <c r="AI150" s="751">
        <v>60308557</v>
      </c>
      <c r="AJ150" s="751">
        <v>208335</v>
      </c>
      <c r="AK150" s="751">
        <v>208335</v>
      </c>
      <c r="AL150" s="751">
        <v>0</v>
      </c>
      <c r="AM150" s="751">
        <v>0</v>
      </c>
      <c r="AN150" s="751">
        <v>3011788</v>
      </c>
      <c r="AO150" s="751">
        <v>18960</v>
      </c>
      <c r="AP150" s="751">
        <v>3030748</v>
      </c>
      <c r="AQ150" s="751">
        <v>0</v>
      </c>
      <c r="AR150" s="751">
        <v>0</v>
      </c>
      <c r="AS150" s="751">
        <v>0</v>
      </c>
      <c r="AT150" s="751">
        <v>0</v>
      </c>
      <c r="AU150" s="751">
        <v>0</v>
      </c>
      <c r="AV150" s="751">
        <v>0</v>
      </c>
      <c r="AW150" s="751">
        <v>0</v>
      </c>
      <c r="AX150" s="751">
        <v>0</v>
      </c>
      <c r="AY150" s="751">
        <v>0</v>
      </c>
      <c r="AZ150" s="751">
        <v>0</v>
      </c>
      <c r="BA150" s="751">
        <v>0</v>
      </c>
      <c r="BB150" s="751">
        <v>0</v>
      </c>
      <c r="BC150" s="751">
        <v>-12031585</v>
      </c>
      <c r="BD150" s="751">
        <v>-9625268</v>
      </c>
      <c r="BE150" s="751">
        <v>-2165685</v>
      </c>
      <c r="BF150" s="751">
        <v>-240632</v>
      </c>
      <c r="BG150" s="751">
        <v>-24063170</v>
      </c>
      <c r="BH150" s="751">
        <v>18122693</v>
      </c>
      <c r="BI150" s="751">
        <v>17718278</v>
      </c>
      <c r="BJ150" s="751">
        <v>3281045</v>
      </c>
      <c r="BK150" s="751">
        <v>362454</v>
      </c>
      <c r="BL150" s="751">
        <v>39484470</v>
      </c>
      <c r="BM150" s="751">
        <v>1413859</v>
      </c>
      <c r="BN150" s="751">
        <v>283798</v>
      </c>
      <c r="BO150" s="751">
        <v>31423</v>
      </c>
      <c r="BP150" s="751">
        <v>1729080</v>
      </c>
      <c r="BQ150" s="751">
        <v>1486212</v>
      </c>
      <c r="BR150" s="751">
        <v>334398</v>
      </c>
      <c r="BS150" s="751">
        <v>37155</v>
      </c>
      <c r="BT150" s="751">
        <v>1857765</v>
      </c>
      <c r="BU150" s="751">
        <v>81486</v>
      </c>
      <c r="BV150" s="751">
        <v>18334</v>
      </c>
      <c r="BW150" s="751">
        <v>2037</v>
      </c>
      <c r="BX150" s="751">
        <v>101857</v>
      </c>
      <c r="BY150" s="751">
        <v>16807</v>
      </c>
      <c r="BZ150" s="751">
        <v>3781</v>
      </c>
      <c r="CA150" s="751">
        <v>420</v>
      </c>
      <c r="CB150" s="751">
        <v>21008</v>
      </c>
      <c r="CC150" s="751">
        <v>11068</v>
      </c>
      <c r="CD150" s="751">
        <v>2490</v>
      </c>
      <c r="CE150" s="751">
        <v>277</v>
      </c>
      <c r="CF150" s="751">
        <v>13835</v>
      </c>
      <c r="CG150" s="751">
        <v>12035</v>
      </c>
      <c r="CH150" s="751">
        <v>2708</v>
      </c>
      <c r="CI150" s="751">
        <v>301</v>
      </c>
      <c r="CJ150" s="751">
        <v>15044</v>
      </c>
      <c r="CK150" s="751">
        <v>0</v>
      </c>
      <c r="CL150" s="751">
        <v>0</v>
      </c>
      <c r="CM150" s="751">
        <v>0</v>
      </c>
      <c r="CN150" s="751">
        <v>0</v>
      </c>
      <c r="CO150" s="751">
        <v>0</v>
      </c>
      <c r="CP150" s="751">
        <v>0</v>
      </c>
      <c r="CQ150" s="751">
        <v>0</v>
      </c>
      <c r="CR150" s="751">
        <v>0</v>
      </c>
      <c r="CS150" s="751">
        <v>0</v>
      </c>
      <c r="CT150" s="751">
        <v>0</v>
      </c>
      <c r="CU150" s="751">
        <v>0</v>
      </c>
      <c r="CV150" s="751">
        <v>0</v>
      </c>
      <c r="CW150" s="751">
        <v>3021467</v>
      </c>
      <c r="CX150" s="751">
        <v>645509</v>
      </c>
      <c r="CY150" s="751">
        <v>71613</v>
      </c>
      <c r="CZ150" s="751">
        <v>3738589</v>
      </c>
      <c r="DA150" s="662" t="s">
        <v>166</v>
      </c>
      <c r="DB150" s="324" t="s">
        <v>547</v>
      </c>
      <c r="DC150" s="663" t="s">
        <v>545</v>
      </c>
      <c r="DD150" s="529" t="s">
        <v>1357</v>
      </c>
    </row>
    <row r="151" spans="1:108" ht="12.75" x14ac:dyDescent="0.2">
      <c r="A151" s="664">
        <v>144</v>
      </c>
      <c r="B151" s="665" t="s">
        <v>169</v>
      </c>
      <c r="C151" s="666" t="s">
        <v>1217</v>
      </c>
      <c r="D151" s="667" t="s">
        <v>1218</v>
      </c>
      <c r="E151" s="668" t="s">
        <v>168</v>
      </c>
      <c r="F151" s="750">
        <v>349274937</v>
      </c>
      <c r="G151" s="751">
        <v>0</v>
      </c>
      <c r="H151" s="751">
        <v>1760423</v>
      </c>
      <c r="I151" s="751">
        <v>1246021</v>
      </c>
      <c r="J151" s="751">
        <v>0</v>
      </c>
      <c r="K151" s="751">
        <v>1246021</v>
      </c>
      <c r="L151" s="751">
        <v>0</v>
      </c>
      <c r="M151" s="751">
        <v>2820758</v>
      </c>
      <c r="N151" s="751">
        <v>227096</v>
      </c>
      <c r="O151" s="751">
        <v>227096</v>
      </c>
      <c r="P151" s="751">
        <v>0</v>
      </c>
      <c r="Q151" s="751">
        <v>0</v>
      </c>
      <c r="R151" s="751">
        <v>343220639</v>
      </c>
      <c r="S151" s="749">
        <v>0.5</v>
      </c>
      <c r="T151" s="749">
        <v>0.49</v>
      </c>
      <c r="U151" s="749">
        <v>0</v>
      </c>
      <c r="V151" s="749">
        <v>0.01</v>
      </c>
      <c r="W151" s="749">
        <v>1</v>
      </c>
      <c r="X151" s="751">
        <v>171610320</v>
      </c>
      <c r="Y151" s="751">
        <v>168178113</v>
      </c>
      <c r="Z151" s="751">
        <v>0</v>
      </c>
      <c r="AA151" s="751">
        <v>3432206</v>
      </c>
      <c r="AB151" s="751">
        <v>343220639</v>
      </c>
      <c r="AC151" s="751">
        <v>58368</v>
      </c>
      <c r="AD151" s="751">
        <v>58368</v>
      </c>
      <c r="AE151" s="751">
        <v>171551952</v>
      </c>
      <c r="AF151" s="751">
        <v>168178113</v>
      </c>
      <c r="AG151" s="751">
        <v>0</v>
      </c>
      <c r="AH151" s="751">
        <v>3432206</v>
      </c>
      <c r="AI151" s="751">
        <v>343162271</v>
      </c>
      <c r="AJ151" s="751">
        <v>1246021</v>
      </c>
      <c r="AK151" s="751">
        <v>1246021</v>
      </c>
      <c r="AL151" s="751">
        <v>2820758</v>
      </c>
      <c r="AM151" s="751">
        <v>2820758</v>
      </c>
      <c r="AN151" s="751">
        <v>227096</v>
      </c>
      <c r="AO151" s="751">
        <v>0</v>
      </c>
      <c r="AP151" s="751">
        <v>227096</v>
      </c>
      <c r="AQ151" s="751">
        <v>0</v>
      </c>
      <c r="AR151" s="751">
        <v>0</v>
      </c>
      <c r="AS151" s="751">
        <v>0</v>
      </c>
      <c r="AT151" s="751">
        <v>0</v>
      </c>
      <c r="AU151" s="751">
        <v>58368</v>
      </c>
      <c r="AV151" s="751">
        <v>0</v>
      </c>
      <c r="AW151" s="751">
        <v>0</v>
      </c>
      <c r="AX151" s="751">
        <v>58368</v>
      </c>
      <c r="AY151" s="751">
        <v>0</v>
      </c>
      <c r="AZ151" s="751">
        <v>0</v>
      </c>
      <c r="BA151" s="751">
        <v>0</v>
      </c>
      <c r="BB151" s="751">
        <v>0</v>
      </c>
      <c r="BC151" s="751">
        <v>-91256103</v>
      </c>
      <c r="BD151" s="751">
        <v>-91856758</v>
      </c>
      <c r="BE151" s="751">
        <v>0</v>
      </c>
      <c r="BF151" s="751">
        <v>-1849625</v>
      </c>
      <c r="BG151" s="751">
        <v>-184962487</v>
      </c>
      <c r="BH151" s="751">
        <v>80295849</v>
      </c>
      <c r="BI151" s="751">
        <v>80673598</v>
      </c>
      <c r="BJ151" s="751">
        <v>0</v>
      </c>
      <c r="BK151" s="751">
        <v>1582581</v>
      </c>
      <c r="BL151" s="751">
        <v>162552027</v>
      </c>
      <c r="BM151" s="751">
        <v>8924635</v>
      </c>
      <c r="BN151" s="751">
        <v>0</v>
      </c>
      <c r="BO151" s="751">
        <v>178832</v>
      </c>
      <c r="BP151" s="751">
        <v>9103467</v>
      </c>
      <c r="BQ151" s="751">
        <v>11609044</v>
      </c>
      <c r="BR151" s="751">
        <v>0</v>
      </c>
      <c r="BS151" s="751">
        <v>236919</v>
      </c>
      <c r="BT151" s="751">
        <v>11845963</v>
      </c>
      <c r="BU151" s="751">
        <v>739502</v>
      </c>
      <c r="BV151" s="751">
        <v>0</v>
      </c>
      <c r="BW151" s="751">
        <v>15081</v>
      </c>
      <c r="BX151" s="751">
        <v>754583</v>
      </c>
      <c r="BY151" s="751">
        <v>10311</v>
      </c>
      <c r="BZ151" s="751">
        <v>0</v>
      </c>
      <c r="CA151" s="751">
        <v>210</v>
      </c>
      <c r="CB151" s="751">
        <v>10521</v>
      </c>
      <c r="CC151" s="751">
        <v>3738</v>
      </c>
      <c r="CD151" s="751">
        <v>0</v>
      </c>
      <c r="CE151" s="751">
        <v>76</v>
      </c>
      <c r="CF151" s="751">
        <v>3814</v>
      </c>
      <c r="CG151" s="751">
        <v>42660</v>
      </c>
      <c r="CH151" s="751">
        <v>0</v>
      </c>
      <c r="CI151" s="751">
        <v>871</v>
      </c>
      <c r="CJ151" s="751">
        <v>43531</v>
      </c>
      <c r="CK151" s="751">
        <v>0</v>
      </c>
      <c r="CL151" s="751">
        <v>0</v>
      </c>
      <c r="CM151" s="751">
        <v>0</v>
      </c>
      <c r="CN151" s="751">
        <v>0</v>
      </c>
      <c r="CO151" s="751">
        <v>0</v>
      </c>
      <c r="CP151" s="751">
        <v>0</v>
      </c>
      <c r="CQ151" s="751">
        <v>0</v>
      </c>
      <c r="CR151" s="751">
        <v>0</v>
      </c>
      <c r="CS151" s="751">
        <v>773</v>
      </c>
      <c r="CT151" s="751">
        <v>0</v>
      </c>
      <c r="CU151" s="751">
        <v>16</v>
      </c>
      <c r="CV151" s="751">
        <v>789</v>
      </c>
      <c r="CW151" s="751">
        <v>21330663</v>
      </c>
      <c r="CX151" s="751">
        <v>0</v>
      </c>
      <c r="CY151" s="751">
        <v>432005</v>
      </c>
      <c r="CZ151" s="751">
        <v>21762668</v>
      </c>
      <c r="DA151" s="662" t="s">
        <v>168</v>
      </c>
      <c r="DB151" s="324" t="s">
        <v>570</v>
      </c>
      <c r="DC151" s="663" t="s">
        <v>575</v>
      </c>
      <c r="DD151" s="529" t="s">
        <v>1358</v>
      </c>
    </row>
    <row r="152" spans="1:108" ht="12.75" x14ac:dyDescent="0.2">
      <c r="A152" s="664">
        <v>145</v>
      </c>
      <c r="B152" s="665" t="s">
        <v>171</v>
      </c>
      <c r="C152" s="666" t="s">
        <v>486</v>
      </c>
      <c r="D152" s="667" t="s">
        <v>1206</v>
      </c>
      <c r="E152" s="668" t="s">
        <v>548</v>
      </c>
      <c r="F152" s="750">
        <v>111188844</v>
      </c>
      <c r="G152" s="751">
        <v>1024977</v>
      </c>
      <c r="H152" s="751">
        <v>0</v>
      </c>
      <c r="I152" s="751">
        <v>478169</v>
      </c>
      <c r="J152" s="751">
        <v>0</v>
      </c>
      <c r="K152" s="751">
        <v>478169</v>
      </c>
      <c r="L152" s="751">
        <v>0</v>
      </c>
      <c r="M152" s="751">
        <v>157899</v>
      </c>
      <c r="N152" s="751">
        <v>0</v>
      </c>
      <c r="O152" s="751">
        <v>0</v>
      </c>
      <c r="P152" s="751">
        <v>0</v>
      </c>
      <c r="Q152" s="751">
        <v>0</v>
      </c>
      <c r="R152" s="751">
        <v>111577753</v>
      </c>
      <c r="S152" s="749">
        <v>0.5</v>
      </c>
      <c r="T152" s="749">
        <v>0.49</v>
      </c>
      <c r="U152" s="749">
        <v>0</v>
      </c>
      <c r="V152" s="749">
        <v>0.01</v>
      </c>
      <c r="W152" s="749">
        <v>1</v>
      </c>
      <c r="X152" s="751">
        <v>55788876</v>
      </c>
      <c r="Y152" s="751">
        <v>54673099</v>
      </c>
      <c r="Z152" s="751">
        <v>0</v>
      </c>
      <c r="AA152" s="751">
        <v>1115778</v>
      </c>
      <c r="AB152" s="751">
        <v>111577753</v>
      </c>
      <c r="AC152" s="751">
        <v>0</v>
      </c>
      <c r="AD152" s="751">
        <v>0</v>
      </c>
      <c r="AE152" s="751">
        <v>55788876</v>
      </c>
      <c r="AF152" s="751">
        <v>54673099</v>
      </c>
      <c r="AG152" s="751">
        <v>0</v>
      </c>
      <c r="AH152" s="751">
        <v>1115778</v>
      </c>
      <c r="AI152" s="751">
        <v>111577753</v>
      </c>
      <c r="AJ152" s="751">
        <v>478169</v>
      </c>
      <c r="AK152" s="751">
        <v>478169</v>
      </c>
      <c r="AL152" s="751">
        <v>157899</v>
      </c>
      <c r="AM152" s="751">
        <v>157899</v>
      </c>
      <c r="AN152" s="751">
        <v>0</v>
      </c>
      <c r="AO152" s="751">
        <v>0</v>
      </c>
      <c r="AP152" s="751">
        <v>0</v>
      </c>
      <c r="AQ152" s="751">
        <v>0</v>
      </c>
      <c r="AR152" s="751">
        <v>0</v>
      </c>
      <c r="AS152" s="751">
        <v>0</v>
      </c>
      <c r="AT152" s="751">
        <v>0</v>
      </c>
      <c r="AU152" s="751">
        <v>0</v>
      </c>
      <c r="AV152" s="751">
        <v>0</v>
      </c>
      <c r="AW152" s="751">
        <v>0</v>
      </c>
      <c r="AX152" s="751">
        <v>0</v>
      </c>
      <c r="AY152" s="751">
        <v>0</v>
      </c>
      <c r="AZ152" s="751">
        <v>0</v>
      </c>
      <c r="BA152" s="751">
        <v>0</v>
      </c>
      <c r="BB152" s="751">
        <v>0</v>
      </c>
      <c r="BC152" s="751">
        <v>-24675512</v>
      </c>
      <c r="BD152" s="751">
        <v>-24303712</v>
      </c>
      <c r="BE152" s="751">
        <v>0</v>
      </c>
      <c r="BF152" s="751">
        <v>-494740</v>
      </c>
      <c r="BG152" s="751">
        <v>-49473964</v>
      </c>
      <c r="BH152" s="751">
        <v>31113364</v>
      </c>
      <c r="BI152" s="751">
        <v>31005455</v>
      </c>
      <c r="BJ152" s="751">
        <v>0</v>
      </c>
      <c r="BK152" s="751">
        <v>621038</v>
      </c>
      <c r="BL152" s="751">
        <v>62739857</v>
      </c>
      <c r="BM152" s="751">
        <v>2856926</v>
      </c>
      <c r="BN152" s="751">
        <v>0</v>
      </c>
      <c r="BO152" s="751">
        <v>58137</v>
      </c>
      <c r="BP152" s="751">
        <v>2915063</v>
      </c>
      <c r="BQ152" s="751">
        <v>6088542</v>
      </c>
      <c r="BR152" s="751">
        <v>0</v>
      </c>
      <c r="BS152" s="751">
        <v>115281</v>
      </c>
      <c r="BT152" s="751">
        <v>6203823</v>
      </c>
      <c r="BU152" s="751">
        <v>257318</v>
      </c>
      <c r="BV152" s="751">
        <v>0</v>
      </c>
      <c r="BW152" s="751">
        <v>4900</v>
      </c>
      <c r="BX152" s="751">
        <v>262218</v>
      </c>
      <c r="BY152" s="751">
        <v>12888</v>
      </c>
      <c r="BZ152" s="751">
        <v>0</v>
      </c>
      <c r="CA152" s="751">
        <v>263</v>
      </c>
      <c r="CB152" s="751">
        <v>13151</v>
      </c>
      <c r="CC152" s="751">
        <v>0</v>
      </c>
      <c r="CD152" s="751">
        <v>0</v>
      </c>
      <c r="CE152" s="751">
        <v>0</v>
      </c>
      <c r="CF152" s="751">
        <v>0</v>
      </c>
      <c r="CG152" s="751">
        <v>51771</v>
      </c>
      <c r="CH152" s="751">
        <v>0</v>
      </c>
      <c r="CI152" s="751">
        <v>1037</v>
      </c>
      <c r="CJ152" s="751">
        <v>52808</v>
      </c>
      <c r="CK152" s="751">
        <v>0</v>
      </c>
      <c r="CL152" s="751">
        <v>0</v>
      </c>
      <c r="CM152" s="751">
        <v>0</v>
      </c>
      <c r="CN152" s="751">
        <v>0</v>
      </c>
      <c r="CO152" s="751">
        <v>0</v>
      </c>
      <c r="CP152" s="751">
        <v>0</v>
      </c>
      <c r="CQ152" s="751">
        <v>0</v>
      </c>
      <c r="CR152" s="751">
        <v>0</v>
      </c>
      <c r="CS152" s="751">
        <v>773</v>
      </c>
      <c r="CT152" s="751">
        <v>0</v>
      </c>
      <c r="CU152" s="751">
        <v>16</v>
      </c>
      <c r="CV152" s="751">
        <v>789</v>
      </c>
      <c r="CW152" s="751">
        <v>9268218</v>
      </c>
      <c r="CX152" s="751">
        <v>0</v>
      </c>
      <c r="CY152" s="751">
        <v>179634</v>
      </c>
      <c r="CZ152" s="751">
        <v>9447852</v>
      </c>
      <c r="DA152" s="662" t="s">
        <v>548</v>
      </c>
      <c r="DB152" s="324" t="s">
        <v>486</v>
      </c>
      <c r="DC152" s="663" t="s">
        <v>549</v>
      </c>
      <c r="DD152" s="529" t="s">
        <v>1359</v>
      </c>
    </row>
    <row r="153" spans="1:108" ht="12.75" x14ac:dyDescent="0.2">
      <c r="A153" s="664">
        <v>146</v>
      </c>
      <c r="B153" s="665" t="s">
        <v>173</v>
      </c>
      <c r="C153" s="666" t="s">
        <v>1201</v>
      </c>
      <c r="D153" s="667" t="s">
        <v>1202</v>
      </c>
      <c r="E153" s="668" t="s">
        <v>172</v>
      </c>
      <c r="F153" s="750">
        <v>26583511</v>
      </c>
      <c r="G153" s="751">
        <v>206186</v>
      </c>
      <c r="H153" s="751">
        <v>0</v>
      </c>
      <c r="I153" s="751">
        <v>136625</v>
      </c>
      <c r="J153" s="751">
        <v>0</v>
      </c>
      <c r="K153" s="751">
        <v>136625</v>
      </c>
      <c r="L153" s="751">
        <v>0</v>
      </c>
      <c r="M153" s="751">
        <v>242897</v>
      </c>
      <c r="N153" s="751">
        <v>38663</v>
      </c>
      <c r="O153" s="751">
        <v>38663</v>
      </c>
      <c r="P153" s="751">
        <v>0</v>
      </c>
      <c r="Q153" s="751">
        <v>0</v>
      </c>
      <c r="R153" s="751">
        <v>26371512</v>
      </c>
      <c r="S153" s="749">
        <v>0.5</v>
      </c>
      <c r="T153" s="749">
        <v>0.4</v>
      </c>
      <c r="U153" s="749">
        <v>0.09</v>
      </c>
      <c r="V153" s="749">
        <v>0.01</v>
      </c>
      <c r="W153" s="749">
        <v>1</v>
      </c>
      <c r="X153" s="751">
        <v>13185756</v>
      </c>
      <c r="Y153" s="751">
        <v>10548605</v>
      </c>
      <c r="Z153" s="751">
        <v>2373436</v>
      </c>
      <c r="AA153" s="751">
        <v>263715</v>
      </c>
      <c r="AB153" s="751">
        <v>26371512</v>
      </c>
      <c r="AC153" s="751">
        <v>553824</v>
      </c>
      <c r="AD153" s="751">
        <v>553824</v>
      </c>
      <c r="AE153" s="751">
        <v>12631932</v>
      </c>
      <c r="AF153" s="751">
        <v>10548605</v>
      </c>
      <c r="AG153" s="751">
        <v>2373436</v>
      </c>
      <c r="AH153" s="751">
        <v>263715</v>
      </c>
      <c r="AI153" s="751">
        <v>25817688</v>
      </c>
      <c r="AJ153" s="751">
        <v>136625</v>
      </c>
      <c r="AK153" s="751">
        <v>136625</v>
      </c>
      <c r="AL153" s="751">
        <v>242897</v>
      </c>
      <c r="AM153" s="751">
        <v>242897</v>
      </c>
      <c r="AN153" s="751">
        <v>38663</v>
      </c>
      <c r="AO153" s="751">
        <v>0</v>
      </c>
      <c r="AP153" s="751">
        <v>38663</v>
      </c>
      <c r="AQ153" s="751">
        <v>0</v>
      </c>
      <c r="AR153" s="751">
        <v>0</v>
      </c>
      <c r="AS153" s="751">
        <v>0</v>
      </c>
      <c r="AT153" s="751">
        <v>0</v>
      </c>
      <c r="AU153" s="751">
        <v>553824</v>
      </c>
      <c r="AV153" s="751">
        <v>0</v>
      </c>
      <c r="AW153" s="751">
        <v>0</v>
      </c>
      <c r="AX153" s="751">
        <v>553824</v>
      </c>
      <c r="AY153" s="751">
        <v>0</v>
      </c>
      <c r="AZ153" s="751">
        <v>0</v>
      </c>
      <c r="BA153" s="751">
        <v>0</v>
      </c>
      <c r="BB153" s="751">
        <v>0</v>
      </c>
      <c r="BC153" s="751">
        <v>-4686940</v>
      </c>
      <c r="BD153" s="751">
        <v>-3437340</v>
      </c>
      <c r="BE153" s="751">
        <v>-563960</v>
      </c>
      <c r="BF153" s="751">
        <v>-35199</v>
      </c>
      <c r="BG153" s="751">
        <v>-8723439</v>
      </c>
      <c r="BH153" s="751">
        <v>7944992</v>
      </c>
      <c r="BI153" s="751">
        <v>8083274</v>
      </c>
      <c r="BJ153" s="751">
        <v>1809476</v>
      </c>
      <c r="BK153" s="751">
        <v>228516</v>
      </c>
      <c r="BL153" s="751">
        <v>18066258</v>
      </c>
      <c r="BM153" s="751">
        <v>593154</v>
      </c>
      <c r="BN153" s="751">
        <v>123666</v>
      </c>
      <c r="BO153" s="751">
        <v>13741</v>
      </c>
      <c r="BP153" s="751">
        <v>730561</v>
      </c>
      <c r="BQ153" s="751">
        <v>1481094</v>
      </c>
      <c r="BR153" s="751">
        <v>269274</v>
      </c>
      <c r="BS153" s="751">
        <v>29919</v>
      </c>
      <c r="BT153" s="751">
        <v>1780287</v>
      </c>
      <c r="BU153" s="751">
        <v>80861</v>
      </c>
      <c r="BV153" s="751">
        <v>14186</v>
      </c>
      <c r="BW153" s="751">
        <v>1576</v>
      </c>
      <c r="BX153" s="751">
        <v>96623</v>
      </c>
      <c r="BY153" s="751">
        <v>0</v>
      </c>
      <c r="BZ153" s="751">
        <v>0</v>
      </c>
      <c r="CA153" s="751">
        <v>0</v>
      </c>
      <c r="CB153" s="751">
        <v>0</v>
      </c>
      <c r="CC153" s="751">
        <v>4231</v>
      </c>
      <c r="CD153" s="751">
        <v>952</v>
      </c>
      <c r="CE153" s="751">
        <v>106</v>
      </c>
      <c r="CF153" s="751">
        <v>5289</v>
      </c>
      <c r="CG153" s="751">
        <v>8032</v>
      </c>
      <c r="CH153" s="751">
        <v>1807</v>
      </c>
      <c r="CI153" s="751">
        <v>201</v>
      </c>
      <c r="CJ153" s="751">
        <v>10040</v>
      </c>
      <c r="CK153" s="751">
        <v>0</v>
      </c>
      <c r="CL153" s="751">
        <v>0</v>
      </c>
      <c r="CM153" s="751">
        <v>0</v>
      </c>
      <c r="CN153" s="751">
        <v>0</v>
      </c>
      <c r="CO153" s="751">
        <v>0</v>
      </c>
      <c r="CP153" s="751">
        <v>0</v>
      </c>
      <c r="CQ153" s="751">
        <v>0</v>
      </c>
      <c r="CR153" s="751">
        <v>0</v>
      </c>
      <c r="CS153" s="751">
        <v>0</v>
      </c>
      <c r="CT153" s="751">
        <v>0</v>
      </c>
      <c r="CU153" s="751">
        <v>0</v>
      </c>
      <c r="CV153" s="751">
        <v>0</v>
      </c>
      <c r="CW153" s="751">
        <v>2167372</v>
      </c>
      <c r="CX153" s="751">
        <v>409885</v>
      </c>
      <c r="CY153" s="751">
        <v>45543</v>
      </c>
      <c r="CZ153" s="751">
        <v>2622800</v>
      </c>
      <c r="DA153" s="662" t="s">
        <v>172</v>
      </c>
      <c r="DB153" s="324" t="s">
        <v>525</v>
      </c>
      <c r="DC153" s="663" t="s">
        <v>524</v>
      </c>
      <c r="DD153" s="529" t="s">
        <v>1360</v>
      </c>
    </row>
    <row r="154" spans="1:108" ht="12.75" x14ac:dyDescent="0.2">
      <c r="A154" s="664">
        <v>147</v>
      </c>
      <c r="B154" s="665" t="s">
        <v>175</v>
      </c>
      <c r="C154" s="666" t="s">
        <v>1257</v>
      </c>
      <c r="D154" s="667" t="s">
        <v>1214</v>
      </c>
      <c r="E154" s="668" t="s">
        <v>174</v>
      </c>
      <c r="F154" s="750">
        <v>66237879</v>
      </c>
      <c r="G154" s="751">
        <v>333231</v>
      </c>
      <c r="H154" s="751">
        <v>0</v>
      </c>
      <c r="I154" s="751">
        <v>301908</v>
      </c>
      <c r="J154" s="751">
        <v>0</v>
      </c>
      <c r="K154" s="751">
        <v>301908</v>
      </c>
      <c r="L154" s="751">
        <v>0</v>
      </c>
      <c r="M154" s="751">
        <v>0</v>
      </c>
      <c r="N154" s="751">
        <v>0</v>
      </c>
      <c r="O154" s="751">
        <v>0</v>
      </c>
      <c r="P154" s="751">
        <v>0</v>
      </c>
      <c r="Q154" s="751">
        <v>0</v>
      </c>
      <c r="R154" s="751">
        <v>66269202</v>
      </c>
      <c r="S154" s="749">
        <v>0.33</v>
      </c>
      <c r="T154" s="749">
        <v>0.3</v>
      </c>
      <c r="U154" s="749">
        <v>0.37</v>
      </c>
      <c r="V154" s="749">
        <v>0</v>
      </c>
      <c r="W154" s="749">
        <v>1</v>
      </c>
      <c r="X154" s="751">
        <v>21868836</v>
      </c>
      <c r="Y154" s="751">
        <v>19880761</v>
      </c>
      <c r="Z154" s="751">
        <v>24519605</v>
      </c>
      <c r="AA154" s="751">
        <v>0</v>
      </c>
      <c r="AB154" s="751">
        <v>66269202</v>
      </c>
      <c r="AC154" s="751">
        <v>0</v>
      </c>
      <c r="AD154" s="751">
        <v>0</v>
      </c>
      <c r="AE154" s="751">
        <v>21868836</v>
      </c>
      <c r="AF154" s="751">
        <v>19880761</v>
      </c>
      <c r="AG154" s="751">
        <v>24519605</v>
      </c>
      <c r="AH154" s="751">
        <v>0</v>
      </c>
      <c r="AI154" s="751">
        <v>66269202</v>
      </c>
      <c r="AJ154" s="751">
        <v>301908</v>
      </c>
      <c r="AK154" s="751">
        <v>301908</v>
      </c>
      <c r="AL154" s="751">
        <v>0</v>
      </c>
      <c r="AM154" s="751">
        <v>0</v>
      </c>
      <c r="AN154" s="751">
        <v>0</v>
      </c>
      <c r="AO154" s="751">
        <v>0</v>
      </c>
      <c r="AP154" s="751">
        <v>0</v>
      </c>
      <c r="AQ154" s="751">
        <v>0</v>
      </c>
      <c r="AR154" s="751">
        <v>0</v>
      </c>
      <c r="AS154" s="751">
        <v>0</v>
      </c>
      <c r="AT154" s="751">
        <v>0</v>
      </c>
      <c r="AU154" s="751">
        <v>0</v>
      </c>
      <c r="AV154" s="751">
        <v>0</v>
      </c>
      <c r="AW154" s="751">
        <v>0</v>
      </c>
      <c r="AX154" s="751">
        <v>0</v>
      </c>
      <c r="AY154" s="751">
        <v>0</v>
      </c>
      <c r="AZ154" s="751">
        <v>0</v>
      </c>
      <c r="BA154" s="751">
        <v>0</v>
      </c>
      <c r="BB154" s="751">
        <v>0</v>
      </c>
      <c r="BC154" s="751">
        <v>-11955476</v>
      </c>
      <c r="BD154" s="751">
        <v>-11164509</v>
      </c>
      <c r="BE154" s="751">
        <v>-13392562</v>
      </c>
      <c r="BF154" s="751">
        <v>0</v>
      </c>
      <c r="BG154" s="751">
        <v>-36512548</v>
      </c>
      <c r="BH154" s="751">
        <v>9913360</v>
      </c>
      <c r="BI154" s="751">
        <v>9018160</v>
      </c>
      <c r="BJ154" s="751">
        <v>11127043</v>
      </c>
      <c r="BK154" s="751">
        <v>0</v>
      </c>
      <c r="BL154" s="751">
        <v>30058562</v>
      </c>
      <c r="BM154" s="751">
        <v>1035871</v>
      </c>
      <c r="BN154" s="751">
        <v>1277575</v>
      </c>
      <c r="BO154" s="751">
        <v>0</v>
      </c>
      <c r="BP154" s="751">
        <v>2313446</v>
      </c>
      <c r="BQ154" s="751">
        <v>2018542</v>
      </c>
      <c r="BR154" s="751">
        <v>2489535</v>
      </c>
      <c r="BS154" s="751">
        <v>0</v>
      </c>
      <c r="BT154" s="751">
        <v>4508077</v>
      </c>
      <c r="BU154" s="751">
        <v>70803</v>
      </c>
      <c r="BV154" s="751">
        <v>87324</v>
      </c>
      <c r="BW154" s="751">
        <v>0</v>
      </c>
      <c r="BX154" s="751">
        <v>158127</v>
      </c>
      <c r="BY154" s="751">
        <v>0</v>
      </c>
      <c r="BZ154" s="751">
        <v>0</v>
      </c>
      <c r="CA154" s="751">
        <v>0</v>
      </c>
      <c r="CB154" s="751">
        <v>0</v>
      </c>
      <c r="CC154" s="751">
        <v>0</v>
      </c>
      <c r="CD154" s="751">
        <v>0</v>
      </c>
      <c r="CE154" s="751">
        <v>0</v>
      </c>
      <c r="CF154" s="751">
        <v>0</v>
      </c>
      <c r="CG154" s="751">
        <v>30687</v>
      </c>
      <c r="CH154" s="751">
        <v>37848</v>
      </c>
      <c r="CI154" s="751">
        <v>0</v>
      </c>
      <c r="CJ154" s="751">
        <v>68535</v>
      </c>
      <c r="CK154" s="751">
        <v>0</v>
      </c>
      <c r="CL154" s="751">
        <v>0</v>
      </c>
      <c r="CM154" s="751">
        <v>0</v>
      </c>
      <c r="CN154" s="751">
        <v>0</v>
      </c>
      <c r="CO154" s="751">
        <v>0</v>
      </c>
      <c r="CP154" s="751">
        <v>0</v>
      </c>
      <c r="CQ154" s="751">
        <v>0</v>
      </c>
      <c r="CR154" s="751">
        <v>0</v>
      </c>
      <c r="CS154" s="751">
        <v>0</v>
      </c>
      <c r="CT154" s="751">
        <v>0</v>
      </c>
      <c r="CU154" s="751">
        <v>0</v>
      </c>
      <c r="CV154" s="751">
        <v>0</v>
      </c>
      <c r="CW154" s="751">
        <v>3155903</v>
      </c>
      <c r="CX154" s="751">
        <v>3892282</v>
      </c>
      <c r="CY154" s="751">
        <v>0</v>
      </c>
      <c r="CZ154" s="751">
        <v>7048185</v>
      </c>
      <c r="DA154" s="662" t="s">
        <v>174</v>
      </c>
      <c r="DB154" s="324" t="s">
        <v>576</v>
      </c>
      <c r="DC154" s="669" t="s">
        <v>485</v>
      </c>
      <c r="DD154" s="529" t="s">
        <v>1361</v>
      </c>
    </row>
    <row r="155" spans="1:108" ht="12.75" x14ac:dyDescent="0.2">
      <c r="A155" s="664">
        <v>148</v>
      </c>
      <c r="B155" s="665" t="s">
        <v>177</v>
      </c>
      <c r="C155" s="666" t="s">
        <v>1201</v>
      </c>
      <c r="D155" s="667" t="s">
        <v>1228</v>
      </c>
      <c r="E155" s="668" t="s">
        <v>176</v>
      </c>
      <c r="F155" s="750">
        <v>34349961</v>
      </c>
      <c r="G155" s="751">
        <v>47109</v>
      </c>
      <c r="H155" s="751">
        <v>0</v>
      </c>
      <c r="I155" s="751">
        <v>120482</v>
      </c>
      <c r="J155" s="751">
        <v>0</v>
      </c>
      <c r="K155" s="751">
        <v>120482</v>
      </c>
      <c r="L155" s="751">
        <v>0</v>
      </c>
      <c r="M155" s="751">
        <v>0</v>
      </c>
      <c r="N155" s="751">
        <v>0</v>
      </c>
      <c r="O155" s="751">
        <v>0</v>
      </c>
      <c r="P155" s="751">
        <v>0</v>
      </c>
      <c r="Q155" s="751">
        <v>0</v>
      </c>
      <c r="R155" s="751">
        <v>34276588</v>
      </c>
      <c r="S155" s="749">
        <v>0.5</v>
      </c>
      <c r="T155" s="749">
        <v>0.4</v>
      </c>
      <c r="U155" s="749">
        <v>0.09</v>
      </c>
      <c r="V155" s="749">
        <v>0.01</v>
      </c>
      <c r="W155" s="749">
        <v>1</v>
      </c>
      <c r="X155" s="751">
        <v>17138294</v>
      </c>
      <c r="Y155" s="751">
        <v>13710635</v>
      </c>
      <c r="Z155" s="751">
        <v>3084893</v>
      </c>
      <c r="AA155" s="751">
        <v>342766</v>
      </c>
      <c r="AB155" s="751">
        <v>34276588</v>
      </c>
      <c r="AC155" s="751">
        <v>0</v>
      </c>
      <c r="AD155" s="751">
        <v>0</v>
      </c>
      <c r="AE155" s="751">
        <v>17138294</v>
      </c>
      <c r="AF155" s="751">
        <v>13710635</v>
      </c>
      <c r="AG155" s="751">
        <v>3084893</v>
      </c>
      <c r="AH155" s="751">
        <v>342766</v>
      </c>
      <c r="AI155" s="751">
        <v>34276588</v>
      </c>
      <c r="AJ155" s="751">
        <v>120482</v>
      </c>
      <c r="AK155" s="751">
        <v>120482</v>
      </c>
      <c r="AL155" s="751">
        <v>0</v>
      </c>
      <c r="AM155" s="751">
        <v>0</v>
      </c>
      <c r="AN155" s="751">
        <v>0</v>
      </c>
      <c r="AO155" s="751">
        <v>0</v>
      </c>
      <c r="AP155" s="751">
        <v>0</v>
      </c>
      <c r="AQ155" s="751">
        <v>0</v>
      </c>
      <c r="AR155" s="751">
        <v>0</v>
      </c>
      <c r="AS155" s="751">
        <v>0</v>
      </c>
      <c r="AT155" s="751">
        <v>0</v>
      </c>
      <c r="AU155" s="751">
        <v>0</v>
      </c>
      <c r="AV155" s="751">
        <v>0</v>
      </c>
      <c r="AW155" s="751">
        <v>0</v>
      </c>
      <c r="AX155" s="751">
        <v>0</v>
      </c>
      <c r="AY155" s="751">
        <v>0</v>
      </c>
      <c r="AZ155" s="751">
        <v>0</v>
      </c>
      <c r="BA155" s="751">
        <v>0</v>
      </c>
      <c r="BB155" s="751">
        <v>0</v>
      </c>
      <c r="BC155" s="751">
        <v>-6752306</v>
      </c>
      <c r="BD155" s="751">
        <v>-4926569</v>
      </c>
      <c r="BE155" s="751">
        <v>-514382</v>
      </c>
      <c r="BF155" s="751">
        <v>-123164</v>
      </c>
      <c r="BG155" s="751">
        <v>-12316421</v>
      </c>
      <c r="BH155" s="751">
        <v>10385988</v>
      </c>
      <c r="BI155" s="751">
        <v>8904548</v>
      </c>
      <c r="BJ155" s="751">
        <v>2570511</v>
      </c>
      <c r="BK155" s="751">
        <v>219602</v>
      </c>
      <c r="BL155" s="751">
        <v>22080649</v>
      </c>
      <c r="BM155" s="751">
        <v>714382</v>
      </c>
      <c r="BN155" s="751">
        <v>160736</v>
      </c>
      <c r="BO155" s="751">
        <v>17860</v>
      </c>
      <c r="BP155" s="751">
        <v>892978</v>
      </c>
      <c r="BQ155" s="751">
        <v>1112400</v>
      </c>
      <c r="BR155" s="751">
        <v>250290</v>
      </c>
      <c r="BS155" s="751">
        <v>27810</v>
      </c>
      <c r="BT155" s="751">
        <v>1390500</v>
      </c>
      <c r="BU155" s="751">
        <v>67626</v>
      </c>
      <c r="BV155" s="751">
        <v>15216</v>
      </c>
      <c r="BW155" s="751">
        <v>1691</v>
      </c>
      <c r="BX155" s="751">
        <v>84533</v>
      </c>
      <c r="BY155" s="751">
        <v>913</v>
      </c>
      <c r="BZ155" s="751">
        <v>206</v>
      </c>
      <c r="CA155" s="751">
        <v>23</v>
      </c>
      <c r="CB155" s="751">
        <v>1142</v>
      </c>
      <c r="CC155" s="751">
        <v>786</v>
      </c>
      <c r="CD155" s="751">
        <v>177</v>
      </c>
      <c r="CE155" s="751">
        <v>20</v>
      </c>
      <c r="CF155" s="751">
        <v>983</v>
      </c>
      <c r="CG155" s="751">
        <v>15549</v>
      </c>
      <c r="CH155" s="751">
        <v>3498</v>
      </c>
      <c r="CI155" s="751">
        <v>389</v>
      </c>
      <c r="CJ155" s="751">
        <v>19436</v>
      </c>
      <c r="CK155" s="751">
        <v>0</v>
      </c>
      <c r="CL155" s="751">
        <v>0</v>
      </c>
      <c r="CM155" s="751">
        <v>0</v>
      </c>
      <c r="CN155" s="751">
        <v>0</v>
      </c>
      <c r="CO155" s="751">
        <v>0</v>
      </c>
      <c r="CP155" s="751">
        <v>0</v>
      </c>
      <c r="CQ155" s="751">
        <v>0</v>
      </c>
      <c r="CR155" s="751">
        <v>0</v>
      </c>
      <c r="CS155" s="751">
        <v>0</v>
      </c>
      <c r="CT155" s="751">
        <v>0</v>
      </c>
      <c r="CU155" s="751">
        <v>0</v>
      </c>
      <c r="CV155" s="751">
        <v>0</v>
      </c>
      <c r="CW155" s="751">
        <v>1911656</v>
      </c>
      <c r="CX155" s="751">
        <v>430123</v>
      </c>
      <c r="CY155" s="751">
        <v>47793</v>
      </c>
      <c r="CZ155" s="751">
        <v>2389572</v>
      </c>
      <c r="DA155" s="662" t="s">
        <v>176</v>
      </c>
      <c r="DB155" s="324" t="s">
        <v>564</v>
      </c>
      <c r="DC155" s="663" t="s">
        <v>1917</v>
      </c>
      <c r="DD155" s="529" t="s">
        <v>1362</v>
      </c>
    </row>
    <row r="156" spans="1:108" ht="12.75" x14ac:dyDescent="0.2">
      <c r="A156" s="664">
        <v>149</v>
      </c>
      <c r="B156" s="665" t="s">
        <v>179</v>
      </c>
      <c r="C156" s="666" t="s">
        <v>1201</v>
      </c>
      <c r="D156" s="667" t="s">
        <v>1206</v>
      </c>
      <c r="E156" s="668" t="s">
        <v>178</v>
      </c>
      <c r="F156" s="750">
        <v>43074886</v>
      </c>
      <c r="G156" s="751">
        <v>0</v>
      </c>
      <c r="H156" s="751">
        <v>21043</v>
      </c>
      <c r="I156" s="751">
        <v>143595</v>
      </c>
      <c r="J156" s="751">
        <v>0</v>
      </c>
      <c r="K156" s="751">
        <v>143595</v>
      </c>
      <c r="L156" s="751">
        <v>0</v>
      </c>
      <c r="M156" s="751">
        <v>0</v>
      </c>
      <c r="N156" s="751">
        <v>0</v>
      </c>
      <c r="O156" s="751">
        <v>0</v>
      </c>
      <c r="P156" s="751">
        <v>0</v>
      </c>
      <c r="Q156" s="751">
        <v>0</v>
      </c>
      <c r="R156" s="751">
        <v>42910248</v>
      </c>
      <c r="S156" s="749">
        <v>0.5</v>
      </c>
      <c r="T156" s="749">
        <v>0.4</v>
      </c>
      <c r="U156" s="749">
        <v>0.1</v>
      </c>
      <c r="V156" s="749">
        <v>0</v>
      </c>
      <c r="W156" s="749">
        <v>1</v>
      </c>
      <c r="X156" s="751">
        <v>21455124</v>
      </c>
      <c r="Y156" s="751">
        <v>17164099</v>
      </c>
      <c r="Z156" s="751">
        <v>4291025</v>
      </c>
      <c r="AA156" s="751">
        <v>0</v>
      </c>
      <c r="AB156" s="751">
        <v>42910248</v>
      </c>
      <c r="AC156" s="751">
        <v>0</v>
      </c>
      <c r="AD156" s="751">
        <v>0</v>
      </c>
      <c r="AE156" s="751">
        <v>21455124</v>
      </c>
      <c r="AF156" s="751">
        <v>17164099</v>
      </c>
      <c r="AG156" s="751">
        <v>4291025</v>
      </c>
      <c r="AH156" s="751">
        <v>0</v>
      </c>
      <c r="AI156" s="751">
        <v>42910248</v>
      </c>
      <c r="AJ156" s="751">
        <v>143595</v>
      </c>
      <c r="AK156" s="751">
        <v>143595</v>
      </c>
      <c r="AL156" s="751">
        <v>0</v>
      </c>
      <c r="AM156" s="751">
        <v>0</v>
      </c>
      <c r="AN156" s="751">
        <v>0</v>
      </c>
      <c r="AO156" s="751">
        <v>0</v>
      </c>
      <c r="AP156" s="751">
        <v>0</v>
      </c>
      <c r="AQ156" s="751">
        <v>0</v>
      </c>
      <c r="AR156" s="751">
        <v>0</v>
      </c>
      <c r="AS156" s="751">
        <v>0</v>
      </c>
      <c r="AT156" s="751">
        <v>0</v>
      </c>
      <c r="AU156" s="751">
        <v>0</v>
      </c>
      <c r="AV156" s="751">
        <v>0</v>
      </c>
      <c r="AW156" s="751">
        <v>0</v>
      </c>
      <c r="AX156" s="751">
        <v>0</v>
      </c>
      <c r="AY156" s="751">
        <v>0</v>
      </c>
      <c r="AZ156" s="751">
        <v>0</v>
      </c>
      <c r="BA156" s="751">
        <v>0</v>
      </c>
      <c r="BB156" s="751">
        <v>0</v>
      </c>
      <c r="BC156" s="751">
        <v>-13832624</v>
      </c>
      <c r="BD156" s="751">
        <v>-11066099</v>
      </c>
      <c r="BE156" s="751">
        <v>-2766525</v>
      </c>
      <c r="BF156" s="751">
        <v>0</v>
      </c>
      <c r="BG156" s="751">
        <v>-27665248</v>
      </c>
      <c r="BH156" s="751">
        <v>7622500</v>
      </c>
      <c r="BI156" s="751">
        <v>6241595</v>
      </c>
      <c r="BJ156" s="751">
        <v>1524500</v>
      </c>
      <c r="BK156" s="751">
        <v>0</v>
      </c>
      <c r="BL156" s="751">
        <v>15388595</v>
      </c>
      <c r="BM156" s="751">
        <v>894322</v>
      </c>
      <c r="BN156" s="751">
        <v>223580</v>
      </c>
      <c r="BO156" s="751">
        <v>0</v>
      </c>
      <c r="BP156" s="751">
        <v>1117902</v>
      </c>
      <c r="BQ156" s="751">
        <v>1052007</v>
      </c>
      <c r="BR156" s="751">
        <v>263002</v>
      </c>
      <c r="BS156" s="751">
        <v>0</v>
      </c>
      <c r="BT156" s="751">
        <v>1315009</v>
      </c>
      <c r="BU156" s="751">
        <v>72498</v>
      </c>
      <c r="BV156" s="751">
        <v>18125</v>
      </c>
      <c r="BW156" s="751">
        <v>0</v>
      </c>
      <c r="BX156" s="751">
        <v>90623</v>
      </c>
      <c r="BY156" s="751">
        <v>11892</v>
      </c>
      <c r="BZ156" s="751">
        <v>2973</v>
      </c>
      <c r="CA156" s="751">
        <v>0</v>
      </c>
      <c r="CB156" s="751">
        <v>14865</v>
      </c>
      <c r="CC156" s="751">
        <v>0</v>
      </c>
      <c r="CD156" s="751">
        <v>0</v>
      </c>
      <c r="CE156" s="751">
        <v>0</v>
      </c>
      <c r="CF156" s="751">
        <v>0</v>
      </c>
      <c r="CG156" s="751">
        <v>2274</v>
      </c>
      <c r="CH156" s="751">
        <v>569</v>
      </c>
      <c r="CI156" s="751">
        <v>0</v>
      </c>
      <c r="CJ156" s="751">
        <v>2843</v>
      </c>
      <c r="CK156" s="751">
        <v>0</v>
      </c>
      <c r="CL156" s="751">
        <v>0</v>
      </c>
      <c r="CM156" s="751">
        <v>0</v>
      </c>
      <c r="CN156" s="751">
        <v>0</v>
      </c>
      <c r="CO156" s="751">
        <v>0</v>
      </c>
      <c r="CP156" s="751">
        <v>0</v>
      </c>
      <c r="CQ156" s="751">
        <v>0</v>
      </c>
      <c r="CR156" s="751">
        <v>0</v>
      </c>
      <c r="CS156" s="751">
        <v>631</v>
      </c>
      <c r="CT156" s="751">
        <v>158</v>
      </c>
      <c r="CU156" s="751">
        <v>0</v>
      </c>
      <c r="CV156" s="751">
        <v>789</v>
      </c>
      <c r="CW156" s="751">
        <v>2033624</v>
      </c>
      <c r="CX156" s="751">
        <v>508407</v>
      </c>
      <c r="CY156" s="751">
        <v>0</v>
      </c>
      <c r="CZ156" s="751">
        <v>2542031</v>
      </c>
      <c r="DA156" s="662" t="s">
        <v>178</v>
      </c>
      <c r="DB156" s="324" t="s">
        <v>552</v>
      </c>
      <c r="DC156" s="663" t="s">
        <v>512</v>
      </c>
      <c r="DD156" s="529" t="s">
        <v>1363</v>
      </c>
    </row>
    <row r="157" spans="1:108" ht="12.75" x14ac:dyDescent="0.2">
      <c r="A157" s="664">
        <v>150</v>
      </c>
      <c r="B157" s="665" t="s">
        <v>181</v>
      </c>
      <c r="C157" s="666" t="s">
        <v>1217</v>
      </c>
      <c r="D157" s="667" t="s">
        <v>1204</v>
      </c>
      <c r="E157" s="668" t="s">
        <v>180</v>
      </c>
      <c r="F157" s="750">
        <v>201355486</v>
      </c>
      <c r="G157" s="751">
        <v>0</v>
      </c>
      <c r="H157" s="751">
        <v>449316</v>
      </c>
      <c r="I157" s="751">
        <v>793578</v>
      </c>
      <c r="J157" s="751">
        <v>0</v>
      </c>
      <c r="K157" s="751">
        <v>793578</v>
      </c>
      <c r="L157" s="751">
        <v>0</v>
      </c>
      <c r="M157" s="751">
        <v>0</v>
      </c>
      <c r="N157" s="751">
        <v>0</v>
      </c>
      <c r="O157" s="751">
        <v>0</v>
      </c>
      <c r="P157" s="751">
        <v>0</v>
      </c>
      <c r="Q157" s="751">
        <v>0</v>
      </c>
      <c r="R157" s="751">
        <v>200112592</v>
      </c>
      <c r="S157" s="749">
        <v>0</v>
      </c>
      <c r="T157" s="749">
        <v>0.99</v>
      </c>
      <c r="U157" s="749">
        <v>0</v>
      </c>
      <c r="V157" s="749">
        <v>0.01</v>
      </c>
      <c r="W157" s="749">
        <v>1</v>
      </c>
      <c r="X157" s="751">
        <v>0</v>
      </c>
      <c r="Y157" s="751">
        <v>198111466</v>
      </c>
      <c r="Z157" s="751">
        <v>0</v>
      </c>
      <c r="AA157" s="751">
        <v>2001126</v>
      </c>
      <c r="AB157" s="751">
        <v>200112592</v>
      </c>
      <c r="AC157" s="751">
        <v>0</v>
      </c>
      <c r="AD157" s="751">
        <v>0</v>
      </c>
      <c r="AE157" s="751">
        <v>0</v>
      </c>
      <c r="AF157" s="751">
        <v>198111466</v>
      </c>
      <c r="AG157" s="751">
        <v>0</v>
      </c>
      <c r="AH157" s="751">
        <v>2001126</v>
      </c>
      <c r="AI157" s="751">
        <v>200112592</v>
      </c>
      <c r="AJ157" s="751">
        <v>793578</v>
      </c>
      <c r="AK157" s="751">
        <v>793578</v>
      </c>
      <c r="AL157" s="751">
        <v>0</v>
      </c>
      <c r="AM157" s="751">
        <v>0</v>
      </c>
      <c r="AN157" s="751">
        <v>0</v>
      </c>
      <c r="AO157" s="751">
        <v>0</v>
      </c>
      <c r="AP157" s="751">
        <v>0</v>
      </c>
      <c r="AQ157" s="751">
        <v>0</v>
      </c>
      <c r="AR157" s="751">
        <v>0</v>
      </c>
      <c r="AS157" s="751">
        <v>0</v>
      </c>
      <c r="AT157" s="751">
        <v>0</v>
      </c>
      <c r="AU157" s="751">
        <v>0</v>
      </c>
      <c r="AV157" s="751">
        <v>0</v>
      </c>
      <c r="AW157" s="751">
        <v>0</v>
      </c>
      <c r="AX157" s="751">
        <v>0</v>
      </c>
      <c r="AY157" s="751">
        <v>0</v>
      </c>
      <c r="AZ157" s="751">
        <v>0</v>
      </c>
      <c r="BA157" s="751">
        <v>0</v>
      </c>
      <c r="BB157" s="751">
        <v>0</v>
      </c>
      <c r="BC157" s="751">
        <v>0</v>
      </c>
      <c r="BD157" s="751">
        <v>-125704511</v>
      </c>
      <c r="BE157" s="751">
        <v>0</v>
      </c>
      <c r="BF157" s="751">
        <v>-1269743</v>
      </c>
      <c r="BG157" s="751">
        <v>-126974254</v>
      </c>
      <c r="BH157" s="751">
        <v>0</v>
      </c>
      <c r="BI157" s="751">
        <v>73200533</v>
      </c>
      <c r="BJ157" s="751">
        <v>0</v>
      </c>
      <c r="BK157" s="751">
        <v>731383</v>
      </c>
      <c r="BL157" s="751">
        <v>73931916</v>
      </c>
      <c r="BM157" s="751">
        <v>10322441</v>
      </c>
      <c r="BN157" s="751">
        <v>0</v>
      </c>
      <c r="BO157" s="751">
        <v>104267</v>
      </c>
      <c r="BP157" s="751">
        <v>10426708</v>
      </c>
      <c r="BQ157" s="751">
        <v>12219517</v>
      </c>
      <c r="BR157" s="751">
        <v>0</v>
      </c>
      <c r="BS157" s="751">
        <v>114714</v>
      </c>
      <c r="BT157" s="751">
        <v>12334231</v>
      </c>
      <c r="BU157" s="751">
        <v>740219</v>
      </c>
      <c r="BV157" s="751">
        <v>0</v>
      </c>
      <c r="BW157" s="751">
        <v>6404</v>
      </c>
      <c r="BX157" s="751">
        <v>746623</v>
      </c>
      <c r="BY157" s="751">
        <v>62627</v>
      </c>
      <c r="BZ157" s="751">
        <v>0</v>
      </c>
      <c r="CA157" s="751">
        <v>499</v>
      </c>
      <c r="CB157" s="751">
        <v>63126</v>
      </c>
      <c r="CC157" s="751">
        <v>0</v>
      </c>
      <c r="CD157" s="751">
        <v>0</v>
      </c>
      <c r="CE157" s="751">
        <v>0</v>
      </c>
      <c r="CF157" s="751">
        <v>0</v>
      </c>
      <c r="CG157" s="751">
        <v>94331</v>
      </c>
      <c r="CH157" s="751">
        <v>0</v>
      </c>
      <c r="CI157" s="751">
        <v>863</v>
      </c>
      <c r="CJ157" s="751">
        <v>95194</v>
      </c>
      <c r="CK157" s="751">
        <v>58976</v>
      </c>
      <c r="CL157" s="751">
        <v>0</v>
      </c>
      <c r="CM157" s="751">
        <v>0</v>
      </c>
      <c r="CN157" s="751">
        <v>58976</v>
      </c>
      <c r="CO157" s="751">
        <v>0</v>
      </c>
      <c r="CP157" s="751">
        <v>0</v>
      </c>
      <c r="CQ157" s="751">
        <v>0</v>
      </c>
      <c r="CR157" s="751">
        <v>0</v>
      </c>
      <c r="CS157" s="751">
        <v>0</v>
      </c>
      <c r="CT157" s="751">
        <v>0</v>
      </c>
      <c r="CU157" s="751">
        <v>0</v>
      </c>
      <c r="CV157" s="751">
        <v>0</v>
      </c>
      <c r="CW157" s="751">
        <v>23498111</v>
      </c>
      <c r="CX157" s="751">
        <v>0</v>
      </c>
      <c r="CY157" s="751">
        <v>226747</v>
      </c>
      <c r="CZ157" s="751">
        <v>23724858</v>
      </c>
      <c r="DA157" s="662" t="s">
        <v>180</v>
      </c>
      <c r="DB157" s="324" t="s">
        <v>570</v>
      </c>
      <c r="DC157" s="663" t="s">
        <v>571</v>
      </c>
      <c r="DD157" s="529" t="s">
        <v>1364</v>
      </c>
    </row>
    <row r="158" spans="1:108" ht="12.75" x14ac:dyDescent="0.2">
      <c r="A158" s="664">
        <v>151</v>
      </c>
      <c r="B158" s="665" t="s">
        <v>183</v>
      </c>
      <c r="C158" s="666" t="s">
        <v>486</v>
      </c>
      <c r="D158" s="667" t="s">
        <v>1211</v>
      </c>
      <c r="E158" s="668" t="s">
        <v>491</v>
      </c>
      <c r="F158" s="750">
        <v>65704482</v>
      </c>
      <c r="G158" s="751">
        <v>0</v>
      </c>
      <c r="H158" s="751">
        <v>181435</v>
      </c>
      <c r="I158" s="751">
        <v>235950</v>
      </c>
      <c r="J158" s="751">
        <v>0</v>
      </c>
      <c r="K158" s="751">
        <v>235950</v>
      </c>
      <c r="L158" s="751">
        <v>0</v>
      </c>
      <c r="M158" s="751">
        <v>0</v>
      </c>
      <c r="N158" s="751">
        <v>0</v>
      </c>
      <c r="O158" s="751">
        <v>0</v>
      </c>
      <c r="P158" s="751">
        <v>0</v>
      </c>
      <c r="Q158" s="751">
        <v>0</v>
      </c>
      <c r="R158" s="751">
        <v>65287097</v>
      </c>
      <c r="S158" s="749">
        <v>0.5</v>
      </c>
      <c r="T158" s="749">
        <v>0.49</v>
      </c>
      <c r="U158" s="749">
        <v>0</v>
      </c>
      <c r="V158" s="749">
        <v>0.01</v>
      </c>
      <c r="W158" s="749">
        <v>1</v>
      </c>
      <c r="X158" s="751">
        <v>32643548</v>
      </c>
      <c r="Y158" s="751">
        <v>31990678</v>
      </c>
      <c r="Z158" s="751">
        <v>0</v>
      </c>
      <c r="AA158" s="751">
        <v>652871</v>
      </c>
      <c r="AB158" s="751">
        <v>65287097</v>
      </c>
      <c r="AC158" s="751">
        <v>0</v>
      </c>
      <c r="AD158" s="751">
        <v>0</v>
      </c>
      <c r="AE158" s="751">
        <v>32643548</v>
      </c>
      <c r="AF158" s="751">
        <v>31990678</v>
      </c>
      <c r="AG158" s="751">
        <v>0</v>
      </c>
      <c r="AH158" s="751">
        <v>652871</v>
      </c>
      <c r="AI158" s="751">
        <v>65287097</v>
      </c>
      <c r="AJ158" s="751">
        <v>235950</v>
      </c>
      <c r="AK158" s="751">
        <v>235950</v>
      </c>
      <c r="AL158" s="751">
        <v>0</v>
      </c>
      <c r="AM158" s="751">
        <v>0</v>
      </c>
      <c r="AN158" s="751">
        <v>0</v>
      </c>
      <c r="AO158" s="751">
        <v>0</v>
      </c>
      <c r="AP158" s="751">
        <v>0</v>
      </c>
      <c r="AQ158" s="751">
        <v>0</v>
      </c>
      <c r="AR158" s="751">
        <v>0</v>
      </c>
      <c r="AS158" s="751">
        <v>0</v>
      </c>
      <c r="AT158" s="751">
        <v>0</v>
      </c>
      <c r="AU158" s="751">
        <v>0</v>
      </c>
      <c r="AV158" s="751">
        <v>0</v>
      </c>
      <c r="AW158" s="751">
        <v>0</v>
      </c>
      <c r="AX158" s="751">
        <v>0</v>
      </c>
      <c r="AY158" s="751">
        <v>0</v>
      </c>
      <c r="AZ158" s="751">
        <v>0</v>
      </c>
      <c r="BA158" s="751">
        <v>0</v>
      </c>
      <c r="BB158" s="751">
        <v>0</v>
      </c>
      <c r="BC158" s="751">
        <v>-14425809</v>
      </c>
      <c r="BD158" s="751">
        <v>-14137292</v>
      </c>
      <c r="BE158" s="751">
        <v>0</v>
      </c>
      <c r="BF158" s="751">
        <v>-288516</v>
      </c>
      <c r="BG158" s="751">
        <v>-28851617</v>
      </c>
      <c r="BH158" s="751">
        <v>18217739</v>
      </c>
      <c r="BI158" s="751">
        <v>18089336</v>
      </c>
      <c r="BJ158" s="751">
        <v>0</v>
      </c>
      <c r="BK158" s="751">
        <v>364355</v>
      </c>
      <c r="BL158" s="751">
        <v>36671430</v>
      </c>
      <c r="BM158" s="751">
        <v>1666849</v>
      </c>
      <c r="BN158" s="751">
        <v>0</v>
      </c>
      <c r="BO158" s="751">
        <v>34017</v>
      </c>
      <c r="BP158" s="751">
        <v>1700866</v>
      </c>
      <c r="BQ158" s="751">
        <v>2321299</v>
      </c>
      <c r="BR158" s="751">
        <v>0</v>
      </c>
      <c r="BS158" s="751">
        <v>47207</v>
      </c>
      <c r="BT158" s="751">
        <v>2368506</v>
      </c>
      <c r="BU158" s="751">
        <v>149968</v>
      </c>
      <c r="BV158" s="751">
        <v>0</v>
      </c>
      <c r="BW158" s="751">
        <v>2821</v>
      </c>
      <c r="BX158" s="751">
        <v>152789</v>
      </c>
      <c r="BY158" s="751">
        <v>0</v>
      </c>
      <c r="BZ158" s="751">
        <v>0</v>
      </c>
      <c r="CA158" s="751">
        <v>0</v>
      </c>
      <c r="CB158" s="751">
        <v>0</v>
      </c>
      <c r="CC158" s="751">
        <v>0</v>
      </c>
      <c r="CD158" s="751">
        <v>0</v>
      </c>
      <c r="CE158" s="751">
        <v>0</v>
      </c>
      <c r="CF158" s="751">
        <v>0</v>
      </c>
      <c r="CG158" s="751">
        <v>13093</v>
      </c>
      <c r="CH158" s="751">
        <v>0</v>
      </c>
      <c r="CI158" s="751">
        <v>267</v>
      </c>
      <c r="CJ158" s="751">
        <v>13360</v>
      </c>
      <c r="CK158" s="751">
        <v>0</v>
      </c>
      <c r="CL158" s="751">
        <v>0</v>
      </c>
      <c r="CM158" s="751">
        <v>0</v>
      </c>
      <c r="CN158" s="751">
        <v>0</v>
      </c>
      <c r="CO158" s="751">
        <v>0</v>
      </c>
      <c r="CP158" s="751">
        <v>0</v>
      </c>
      <c r="CQ158" s="751">
        <v>0</v>
      </c>
      <c r="CR158" s="751">
        <v>0</v>
      </c>
      <c r="CS158" s="751">
        <v>0</v>
      </c>
      <c r="CT158" s="751">
        <v>0</v>
      </c>
      <c r="CU158" s="751">
        <v>0</v>
      </c>
      <c r="CV158" s="751">
        <v>0</v>
      </c>
      <c r="CW158" s="751">
        <v>4151209</v>
      </c>
      <c r="CX158" s="751">
        <v>0</v>
      </c>
      <c r="CY158" s="751">
        <v>84312</v>
      </c>
      <c r="CZ158" s="751">
        <v>4235521</v>
      </c>
      <c r="DA158" s="662" t="s">
        <v>491</v>
      </c>
      <c r="DB158" s="324" t="s">
        <v>486</v>
      </c>
      <c r="DC158" s="663" t="s">
        <v>492</v>
      </c>
      <c r="DD158" s="529" t="s">
        <v>1365</v>
      </c>
    </row>
    <row r="159" spans="1:108" ht="12.75" x14ac:dyDescent="0.2">
      <c r="A159" s="664">
        <v>152</v>
      </c>
      <c r="B159" s="665" t="s">
        <v>185</v>
      </c>
      <c r="C159" s="666" t="s">
        <v>1201</v>
      </c>
      <c r="D159" s="667" t="s">
        <v>1202</v>
      </c>
      <c r="E159" s="668" t="s">
        <v>184</v>
      </c>
      <c r="F159" s="750">
        <v>58665055</v>
      </c>
      <c r="G159" s="751">
        <v>0</v>
      </c>
      <c r="H159" s="751">
        <v>566028</v>
      </c>
      <c r="I159" s="751">
        <v>207226</v>
      </c>
      <c r="J159" s="751">
        <v>0</v>
      </c>
      <c r="K159" s="751">
        <v>207226</v>
      </c>
      <c r="L159" s="751">
        <v>0</v>
      </c>
      <c r="M159" s="751">
        <v>63764</v>
      </c>
      <c r="N159" s="751">
        <v>84678</v>
      </c>
      <c r="O159" s="751">
        <v>42339</v>
      </c>
      <c r="P159" s="751">
        <v>42339</v>
      </c>
      <c r="Q159" s="751">
        <v>0</v>
      </c>
      <c r="R159" s="751">
        <v>57743359</v>
      </c>
      <c r="S159" s="749">
        <v>0.5</v>
      </c>
      <c r="T159" s="749">
        <v>0.4</v>
      </c>
      <c r="U159" s="749">
        <v>0.09</v>
      </c>
      <c r="V159" s="749">
        <v>0.01</v>
      </c>
      <c r="W159" s="749">
        <v>1</v>
      </c>
      <c r="X159" s="751">
        <v>28871679</v>
      </c>
      <c r="Y159" s="751">
        <v>23097344</v>
      </c>
      <c r="Z159" s="751">
        <v>5196902</v>
      </c>
      <c r="AA159" s="751">
        <v>577434</v>
      </c>
      <c r="AB159" s="751">
        <v>57743359</v>
      </c>
      <c r="AC159" s="751">
        <v>55000</v>
      </c>
      <c r="AD159" s="751">
        <v>55000</v>
      </c>
      <c r="AE159" s="751">
        <v>28816679</v>
      </c>
      <c r="AF159" s="751">
        <v>23097344</v>
      </c>
      <c r="AG159" s="751">
        <v>5196902</v>
      </c>
      <c r="AH159" s="751">
        <v>577434</v>
      </c>
      <c r="AI159" s="751">
        <v>57688359</v>
      </c>
      <c r="AJ159" s="751">
        <v>207226</v>
      </c>
      <c r="AK159" s="751">
        <v>207226</v>
      </c>
      <c r="AL159" s="751">
        <v>63764</v>
      </c>
      <c r="AM159" s="751">
        <v>63764</v>
      </c>
      <c r="AN159" s="751">
        <v>42339</v>
      </c>
      <c r="AO159" s="751">
        <v>42339</v>
      </c>
      <c r="AP159" s="751">
        <v>84678</v>
      </c>
      <c r="AQ159" s="751">
        <v>0</v>
      </c>
      <c r="AR159" s="751">
        <v>0</v>
      </c>
      <c r="AS159" s="751">
        <v>0</v>
      </c>
      <c r="AT159" s="751">
        <v>0</v>
      </c>
      <c r="AU159" s="751">
        <v>55000</v>
      </c>
      <c r="AV159" s="751">
        <v>0</v>
      </c>
      <c r="AW159" s="751">
        <v>0</v>
      </c>
      <c r="AX159" s="751">
        <v>55000</v>
      </c>
      <c r="AY159" s="751">
        <v>0</v>
      </c>
      <c r="AZ159" s="751">
        <v>0</v>
      </c>
      <c r="BA159" s="751">
        <v>0</v>
      </c>
      <c r="BB159" s="751">
        <v>0</v>
      </c>
      <c r="BC159" s="751">
        <v>-16553484</v>
      </c>
      <c r="BD159" s="751">
        <v>-13242787</v>
      </c>
      <c r="BE159" s="751">
        <v>-2979627</v>
      </c>
      <c r="BF159" s="751">
        <v>-331070</v>
      </c>
      <c r="BG159" s="751">
        <v>-33106968</v>
      </c>
      <c r="BH159" s="751">
        <v>12263195</v>
      </c>
      <c r="BI159" s="751">
        <v>10222886</v>
      </c>
      <c r="BJ159" s="751">
        <v>2259614</v>
      </c>
      <c r="BK159" s="751">
        <v>246364</v>
      </c>
      <c r="BL159" s="751">
        <v>24992059</v>
      </c>
      <c r="BM159" s="751">
        <v>1211863</v>
      </c>
      <c r="BN159" s="751">
        <v>272987</v>
      </c>
      <c r="BO159" s="751">
        <v>30087</v>
      </c>
      <c r="BP159" s="751">
        <v>1514937</v>
      </c>
      <c r="BQ159" s="751">
        <v>1491878</v>
      </c>
      <c r="BR159" s="751">
        <v>335672</v>
      </c>
      <c r="BS159" s="751">
        <v>37297</v>
      </c>
      <c r="BT159" s="751">
        <v>1864847</v>
      </c>
      <c r="BU159" s="751">
        <v>123569</v>
      </c>
      <c r="BV159" s="751">
        <v>27803</v>
      </c>
      <c r="BW159" s="751">
        <v>3089</v>
      </c>
      <c r="BX159" s="751">
        <v>154461</v>
      </c>
      <c r="BY159" s="751">
        <v>1932</v>
      </c>
      <c r="BZ159" s="751">
        <v>435</v>
      </c>
      <c r="CA159" s="751">
        <v>48</v>
      </c>
      <c r="CB159" s="751">
        <v>2415</v>
      </c>
      <c r="CC159" s="751">
        <v>942</v>
      </c>
      <c r="CD159" s="751">
        <v>212</v>
      </c>
      <c r="CE159" s="751">
        <v>24</v>
      </c>
      <c r="CF159" s="751">
        <v>1178</v>
      </c>
      <c r="CG159" s="751">
        <v>5660</v>
      </c>
      <c r="CH159" s="751">
        <v>1274</v>
      </c>
      <c r="CI159" s="751">
        <v>142</v>
      </c>
      <c r="CJ159" s="751">
        <v>7076</v>
      </c>
      <c r="CK159" s="751">
        <v>0</v>
      </c>
      <c r="CL159" s="751">
        <v>0</v>
      </c>
      <c r="CM159" s="751">
        <v>0</v>
      </c>
      <c r="CN159" s="751">
        <v>0</v>
      </c>
      <c r="CO159" s="751">
        <v>0</v>
      </c>
      <c r="CP159" s="751">
        <v>0</v>
      </c>
      <c r="CQ159" s="751">
        <v>0</v>
      </c>
      <c r="CR159" s="751">
        <v>0</v>
      </c>
      <c r="CS159" s="751">
        <v>631</v>
      </c>
      <c r="CT159" s="751">
        <v>142</v>
      </c>
      <c r="CU159" s="751">
        <v>16</v>
      </c>
      <c r="CV159" s="751">
        <v>789</v>
      </c>
      <c r="CW159" s="751">
        <v>2836475</v>
      </c>
      <c r="CX159" s="751">
        <v>638525</v>
      </c>
      <c r="CY159" s="751">
        <v>70703</v>
      </c>
      <c r="CZ159" s="751">
        <v>3545703</v>
      </c>
      <c r="DA159" s="662" t="s">
        <v>184</v>
      </c>
      <c r="DB159" s="324" t="s">
        <v>543</v>
      </c>
      <c r="DC159" s="663" t="s">
        <v>542</v>
      </c>
      <c r="DD159" s="529" t="s">
        <v>1366</v>
      </c>
    </row>
    <row r="160" spans="1:108" ht="12.75" x14ac:dyDescent="0.2">
      <c r="A160" s="664">
        <v>153</v>
      </c>
      <c r="B160" s="665" t="s">
        <v>187</v>
      </c>
      <c r="C160" s="666" t="s">
        <v>1201</v>
      </c>
      <c r="D160" s="667" t="s">
        <v>1211</v>
      </c>
      <c r="E160" s="668" t="s">
        <v>186</v>
      </c>
      <c r="F160" s="750">
        <v>13924511</v>
      </c>
      <c r="G160" s="751">
        <v>47126</v>
      </c>
      <c r="H160" s="751">
        <v>0</v>
      </c>
      <c r="I160" s="751">
        <v>88833</v>
      </c>
      <c r="J160" s="751">
        <v>0</v>
      </c>
      <c r="K160" s="751">
        <v>88833</v>
      </c>
      <c r="L160" s="751">
        <v>0</v>
      </c>
      <c r="M160" s="751">
        <v>0</v>
      </c>
      <c r="N160" s="751">
        <v>746164</v>
      </c>
      <c r="O160" s="751">
        <v>746164</v>
      </c>
      <c r="P160" s="751">
        <v>0</v>
      </c>
      <c r="Q160" s="751">
        <v>0</v>
      </c>
      <c r="R160" s="751">
        <v>13136640</v>
      </c>
      <c r="S160" s="749">
        <v>0.5</v>
      </c>
      <c r="T160" s="749">
        <v>0.4</v>
      </c>
      <c r="U160" s="749">
        <v>0.09</v>
      </c>
      <c r="V160" s="749">
        <v>0.01</v>
      </c>
      <c r="W160" s="749">
        <v>1</v>
      </c>
      <c r="X160" s="751">
        <v>6568320</v>
      </c>
      <c r="Y160" s="751">
        <v>5254656</v>
      </c>
      <c r="Z160" s="751">
        <v>1182298</v>
      </c>
      <c r="AA160" s="751">
        <v>131366</v>
      </c>
      <c r="AB160" s="751">
        <v>13136640</v>
      </c>
      <c r="AC160" s="751">
        <v>0</v>
      </c>
      <c r="AD160" s="751">
        <v>0</v>
      </c>
      <c r="AE160" s="751">
        <v>6568320</v>
      </c>
      <c r="AF160" s="751">
        <v>5254656</v>
      </c>
      <c r="AG160" s="751">
        <v>1182298</v>
      </c>
      <c r="AH160" s="751">
        <v>131366</v>
      </c>
      <c r="AI160" s="751">
        <v>13136640</v>
      </c>
      <c r="AJ160" s="751">
        <v>88833</v>
      </c>
      <c r="AK160" s="751">
        <v>88833</v>
      </c>
      <c r="AL160" s="751">
        <v>0</v>
      </c>
      <c r="AM160" s="751">
        <v>0</v>
      </c>
      <c r="AN160" s="751">
        <v>746164</v>
      </c>
      <c r="AO160" s="751">
        <v>0</v>
      </c>
      <c r="AP160" s="751">
        <v>746164</v>
      </c>
      <c r="AQ160" s="751">
        <v>0</v>
      </c>
      <c r="AR160" s="751">
        <v>0</v>
      </c>
      <c r="AS160" s="751">
        <v>0</v>
      </c>
      <c r="AT160" s="751">
        <v>0</v>
      </c>
      <c r="AU160" s="751">
        <v>0</v>
      </c>
      <c r="AV160" s="751">
        <v>0</v>
      </c>
      <c r="AW160" s="751">
        <v>0</v>
      </c>
      <c r="AX160" s="751">
        <v>0</v>
      </c>
      <c r="AY160" s="751">
        <v>0</v>
      </c>
      <c r="AZ160" s="751">
        <v>0</v>
      </c>
      <c r="BA160" s="751">
        <v>0</v>
      </c>
      <c r="BB160" s="751">
        <v>0</v>
      </c>
      <c r="BC160" s="751">
        <v>-3732932</v>
      </c>
      <c r="BD160" s="751">
        <v>-2986346</v>
      </c>
      <c r="BE160" s="751">
        <v>-671928</v>
      </c>
      <c r="BF160" s="751">
        <v>-74659</v>
      </c>
      <c r="BG160" s="751">
        <v>-7465864</v>
      </c>
      <c r="BH160" s="751">
        <v>2835388</v>
      </c>
      <c r="BI160" s="751">
        <v>3103307</v>
      </c>
      <c r="BJ160" s="751">
        <v>510370</v>
      </c>
      <c r="BK160" s="751">
        <v>56707</v>
      </c>
      <c r="BL160" s="751">
        <v>6505773</v>
      </c>
      <c r="BM160" s="751">
        <v>312668</v>
      </c>
      <c r="BN160" s="751">
        <v>61603</v>
      </c>
      <c r="BO160" s="751">
        <v>6845</v>
      </c>
      <c r="BP160" s="751">
        <v>381116</v>
      </c>
      <c r="BQ160" s="751">
        <v>948668</v>
      </c>
      <c r="BR160" s="751">
        <v>213450</v>
      </c>
      <c r="BS160" s="751">
        <v>23717</v>
      </c>
      <c r="BT160" s="751">
        <v>1185835</v>
      </c>
      <c r="BU160" s="751">
        <v>38819</v>
      </c>
      <c r="BV160" s="751">
        <v>8734</v>
      </c>
      <c r="BW160" s="751">
        <v>970</v>
      </c>
      <c r="BX160" s="751">
        <v>48523</v>
      </c>
      <c r="BY160" s="751">
        <v>21552</v>
      </c>
      <c r="BZ160" s="751">
        <v>4849</v>
      </c>
      <c r="CA160" s="751">
        <v>539</v>
      </c>
      <c r="CB160" s="751">
        <v>26940</v>
      </c>
      <c r="CC160" s="751">
        <v>5054</v>
      </c>
      <c r="CD160" s="751">
        <v>1137</v>
      </c>
      <c r="CE160" s="751">
        <v>126</v>
      </c>
      <c r="CF160" s="751">
        <v>6317</v>
      </c>
      <c r="CG160" s="751">
        <v>5868</v>
      </c>
      <c r="CH160" s="751">
        <v>1320</v>
      </c>
      <c r="CI160" s="751">
        <v>147</v>
      </c>
      <c r="CJ160" s="751">
        <v>7335</v>
      </c>
      <c r="CK160" s="751">
        <v>0</v>
      </c>
      <c r="CL160" s="751">
        <v>0</v>
      </c>
      <c r="CM160" s="751">
        <v>0</v>
      </c>
      <c r="CN160" s="751">
        <v>0</v>
      </c>
      <c r="CO160" s="751">
        <v>0</v>
      </c>
      <c r="CP160" s="751">
        <v>0</v>
      </c>
      <c r="CQ160" s="751">
        <v>0</v>
      </c>
      <c r="CR160" s="751">
        <v>0</v>
      </c>
      <c r="CS160" s="751">
        <v>0</v>
      </c>
      <c r="CT160" s="751">
        <v>0</v>
      </c>
      <c r="CU160" s="751">
        <v>0</v>
      </c>
      <c r="CV160" s="751">
        <v>0</v>
      </c>
      <c r="CW160" s="751">
        <v>1332629</v>
      </c>
      <c r="CX160" s="751">
        <v>291093</v>
      </c>
      <c r="CY160" s="751">
        <v>32344</v>
      </c>
      <c r="CZ160" s="751">
        <v>1656066</v>
      </c>
      <c r="DA160" s="662" t="s">
        <v>186</v>
      </c>
      <c r="DB160" s="324" t="s">
        <v>528</v>
      </c>
      <c r="DC160" s="663" t="s">
        <v>1913</v>
      </c>
      <c r="DD160" s="529" t="s">
        <v>1367</v>
      </c>
    </row>
    <row r="161" spans="1:108" ht="12.75" x14ac:dyDescent="0.2">
      <c r="A161" s="664">
        <v>154</v>
      </c>
      <c r="B161" s="665" t="s">
        <v>189</v>
      </c>
      <c r="C161" s="666" t="s">
        <v>1201</v>
      </c>
      <c r="D161" s="667" t="s">
        <v>1228</v>
      </c>
      <c r="E161" s="668" t="s">
        <v>188</v>
      </c>
      <c r="F161" s="750">
        <v>16832159</v>
      </c>
      <c r="G161" s="751">
        <v>120543</v>
      </c>
      <c r="H161" s="751">
        <v>0</v>
      </c>
      <c r="I161" s="751">
        <v>103954</v>
      </c>
      <c r="J161" s="751">
        <v>0</v>
      </c>
      <c r="K161" s="751">
        <v>103954</v>
      </c>
      <c r="L161" s="751">
        <v>0</v>
      </c>
      <c r="M161" s="751">
        <v>0</v>
      </c>
      <c r="N161" s="751">
        <v>0</v>
      </c>
      <c r="O161" s="751">
        <v>0</v>
      </c>
      <c r="P161" s="751">
        <v>0</v>
      </c>
      <c r="Q161" s="751">
        <v>0</v>
      </c>
      <c r="R161" s="751">
        <v>16848748</v>
      </c>
      <c r="S161" s="749">
        <v>0.5</v>
      </c>
      <c r="T161" s="749">
        <v>0.4</v>
      </c>
      <c r="U161" s="749">
        <v>0.09</v>
      </c>
      <c r="V161" s="749">
        <v>0.01</v>
      </c>
      <c r="W161" s="749">
        <v>1</v>
      </c>
      <c r="X161" s="751">
        <v>8424375</v>
      </c>
      <c r="Y161" s="751">
        <v>6739499</v>
      </c>
      <c r="Z161" s="751">
        <v>1516387</v>
      </c>
      <c r="AA161" s="751">
        <v>168487</v>
      </c>
      <c r="AB161" s="751">
        <v>16848748</v>
      </c>
      <c r="AC161" s="751">
        <v>0</v>
      </c>
      <c r="AD161" s="751">
        <v>0</v>
      </c>
      <c r="AE161" s="751">
        <v>8424375</v>
      </c>
      <c r="AF161" s="751">
        <v>6739499</v>
      </c>
      <c r="AG161" s="751">
        <v>1516387</v>
      </c>
      <c r="AH161" s="751">
        <v>168487</v>
      </c>
      <c r="AI161" s="751">
        <v>16848748</v>
      </c>
      <c r="AJ161" s="751">
        <v>103954</v>
      </c>
      <c r="AK161" s="751">
        <v>103954</v>
      </c>
      <c r="AL161" s="751">
        <v>0</v>
      </c>
      <c r="AM161" s="751">
        <v>0</v>
      </c>
      <c r="AN161" s="751">
        <v>0</v>
      </c>
      <c r="AO161" s="751">
        <v>0</v>
      </c>
      <c r="AP161" s="751">
        <v>0</v>
      </c>
      <c r="AQ161" s="751">
        <v>0</v>
      </c>
      <c r="AR161" s="751">
        <v>0</v>
      </c>
      <c r="AS161" s="751">
        <v>0</v>
      </c>
      <c r="AT161" s="751">
        <v>0</v>
      </c>
      <c r="AU161" s="751">
        <v>0</v>
      </c>
      <c r="AV161" s="751">
        <v>0</v>
      </c>
      <c r="AW161" s="751">
        <v>0</v>
      </c>
      <c r="AX161" s="751">
        <v>0</v>
      </c>
      <c r="AY161" s="751">
        <v>0</v>
      </c>
      <c r="AZ161" s="751">
        <v>0</v>
      </c>
      <c r="BA161" s="751">
        <v>0</v>
      </c>
      <c r="BB161" s="751">
        <v>0</v>
      </c>
      <c r="BC161" s="751">
        <v>-3866407</v>
      </c>
      <c r="BD161" s="751">
        <v>-3722712</v>
      </c>
      <c r="BE161" s="751">
        <v>1491860</v>
      </c>
      <c r="BF161" s="751">
        <v>-61588</v>
      </c>
      <c r="BG161" s="751">
        <v>-6158847</v>
      </c>
      <c r="BH161" s="751">
        <v>4557968</v>
      </c>
      <c r="BI161" s="751">
        <v>3120741</v>
      </c>
      <c r="BJ161" s="751">
        <v>3008247</v>
      </c>
      <c r="BK161" s="751">
        <v>106899</v>
      </c>
      <c r="BL161" s="751">
        <v>10793855</v>
      </c>
      <c r="BM161" s="751">
        <v>351156</v>
      </c>
      <c r="BN161" s="751">
        <v>79010</v>
      </c>
      <c r="BO161" s="751">
        <v>8779</v>
      </c>
      <c r="BP161" s="751">
        <v>438945</v>
      </c>
      <c r="BQ161" s="751">
        <v>1097895</v>
      </c>
      <c r="BR161" s="751">
        <v>247026</v>
      </c>
      <c r="BS161" s="751">
        <v>27447</v>
      </c>
      <c r="BT161" s="751">
        <v>1372368</v>
      </c>
      <c r="BU161" s="751">
        <v>36253</v>
      </c>
      <c r="BV161" s="751">
        <v>8157</v>
      </c>
      <c r="BW161" s="751">
        <v>906</v>
      </c>
      <c r="BX161" s="751">
        <v>45316</v>
      </c>
      <c r="BY161" s="751">
        <v>0</v>
      </c>
      <c r="BZ161" s="751">
        <v>0</v>
      </c>
      <c r="CA161" s="751">
        <v>0</v>
      </c>
      <c r="CB161" s="751">
        <v>0</v>
      </c>
      <c r="CC161" s="751">
        <v>13715</v>
      </c>
      <c r="CD161" s="751">
        <v>3086</v>
      </c>
      <c r="CE161" s="751">
        <v>343</v>
      </c>
      <c r="CF161" s="751">
        <v>17144</v>
      </c>
      <c r="CG161" s="751">
        <v>11292</v>
      </c>
      <c r="CH161" s="751">
        <v>2541</v>
      </c>
      <c r="CI161" s="751">
        <v>282</v>
      </c>
      <c r="CJ161" s="751">
        <v>14115</v>
      </c>
      <c r="CK161" s="751">
        <v>0</v>
      </c>
      <c r="CL161" s="751">
        <v>0</v>
      </c>
      <c r="CM161" s="751">
        <v>0</v>
      </c>
      <c r="CN161" s="751">
        <v>0</v>
      </c>
      <c r="CO161" s="751">
        <v>0</v>
      </c>
      <c r="CP161" s="751">
        <v>0</v>
      </c>
      <c r="CQ161" s="751">
        <v>0</v>
      </c>
      <c r="CR161" s="751">
        <v>0</v>
      </c>
      <c r="CS161" s="751">
        <v>0</v>
      </c>
      <c r="CT161" s="751">
        <v>0</v>
      </c>
      <c r="CU161" s="751">
        <v>0</v>
      </c>
      <c r="CV161" s="751">
        <v>0</v>
      </c>
      <c r="CW161" s="751">
        <v>1510311</v>
      </c>
      <c r="CX161" s="751">
        <v>339820</v>
      </c>
      <c r="CY161" s="751">
        <v>37757</v>
      </c>
      <c r="CZ161" s="751">
        <v>1887888</v>
      </c>
      <c r="DA161" s="662" t="s">
        <v>188</v>
      </c>
      <c r="DB161" s="324" t="s">
        <v>535</v>
      </c>
      <c r="DC161" s="663" t="s">
        <v>534</v>
      </c>
      <c r="DD161" s="529" t="s">
        <v>1368</v>
      </c>
    </row>
    <row r="162" spans="1:108" ht="12.75" x14ac:dyDescent="0.2">
      <c r="A162" s="664">
        <v>155</v>
      </c>
      <c r="B162" s="665" t="s">
        <v>191</v>
      </c>
      <c r="C162" s="666" t="s">
        <v>1217</v>
      </c>
      <c r="D162" s="667" t="s">
        <v>1204</v>
      </c>
      <c r="E162" s="668" t="s">
        <v>190</v>
      </c>
      <c r="F162" s="750">
        <v>325920088</v>
      </c>
      <c r="G162" s="751">
        <v>0</v>
      </c>
      <c r="H162" s="751">
        <v>318203</v>
      </c>
      <c r="I162" s="751">
        <v>1117299</v>
      </c>
      <c r="J162" s="751">
        <v>0</v>
      </c>
      <c r="K162" s="751">
        <v>1117299</v>
      </c>
      <c r="L162" s="751">
        <v>0</v>
      </c>
      <c r="M162" s="751">
        <v>413117</v>
      </c>
      <c r="N162" s="751">
        <v>0</v>
      </c>
      <c r="O162" s="751">
        <v>0</v>
      </c>
      <c r="P162" s="751">
        <v>0</v>
      </c>
      <c r="Q162" s="751">
        <v>0</v>
      </c>
      <c r="R162" s="751">
        <v>324071469</v>
      </c>
      <c r="S162" s="749">
        <v>0</v>
      </c>
      <c r="T162" s="749">
        <v>0.99</v>
      </c>
      <c r="U162" s="749">
        <v>0</v>
      </c>
      <c r="V162" s="749">
        <v>0.01</v>
      </c>
      <c r="W162" s="749">
        <v>1</v>
      </c>
      <c r="X162" s="751">
        <v>0</v>
      </c>
      <c r="Y162" s="751">
        <v>320830754</v>
      </c>
      <c r="Z162" s="751">
        <v>0</v>
      </c>
      <c r="AA162" s="751">
        <v>3240715</v>
      </c>
      <c r="AB162" s="751">
        <v>324071469</v>
      </c>
      <c r="AC162" s="751">
        <v>0</v>
      </c>
      <c r="AD162" s="751">
        <v>0</v>
      </c>
      <c r="AE162" s="751">
        <v>0</v>
      </c>
      <c r="AF162" s="751">
        <v>320830754</v>
      </c>
      <c r="AG162" s="751">
        <v>0</v>
      </c>
      <c r="AH162" s="751">
        <v>3240715</v>
      </c>
      <c r="AI162" s="751">
        <v>324071469</v>
      </c>
      <c r="AJ162" s="751">
        <v>1117299</v>
      </c>
      <c r="AK162" s="751">
        <v>1117299</v>
      </c>
      <c r="AL162" s="751">
        <v>413117</v>
      </c>
      <c r="AM162" s="751">
        <v>413117</v>
      </c>
      <c r="AN162" s="751">
        <v>0</v>
      </c>
      <c r="AO162" s="751">
        <v>0</v>
      </c>
      <c r="AP162" s="751">
        <v>0</v>
      </c>
      <c r="AQ162" s="751">
        <v>0</v>
      </c>
      <c r="AR162" s="751">
        <v>0</v>
      </c>
      <c r="AS162" s="751">
        <v>0</v>
      </c>
      <c r="AT162" s="751">
        <v>0</v>
      </c>
      <c r="AU162" s="751">
        <v>0</v>
      </c>
      <c r="AV162" s="751">
        <v>0</v>
      </c>
      <c r="AW162" s="751">
        <v>0</v>
      </c>
      <c r="AX162" s="751">
        <v>0</v>
      </c>
      <c r="AY162" s="751">
        <v>0</v>
      </c>
      <c r="AZ162" s="751">
        <v>0</v>
      </c>
      <c r="BA162" s="751">
        <v>0</v>
      </c>
      <c r="BB162" s="751">
        <v>0</v>
      </c>
      <c r="BC162" s="751">
        <v>0</v>
      </c>
      <c r="BD162" s="751">
        <v>-151937730</v>
      </c>
      <c r="BE162" s="751">
        <v>0</v>
      </c>
      <c r="BF162" s="751">
        <v>-1534725</v>
      </c>
      <c r="BG162" s="751">
        <v>-153472455</v>
      </c>
      <c r="BH162" s="751">
        <v>0</v>
      </c>
      <c r="BI162" s="751">
        <v>170423440</v>
      </c>
      <c r="BJ162" s="751">
        <v>0</v>
      </c>
      <c r="BK162" s="751">
        <v>1705990</v>
      </c>
      <c r="BL162" s="751">
        <v>172129430</v>
      </c>
      <c r="BM162" s="751">
        <v>16738158</v>
      </c>
      <c r="BN162" s="751">
        <v>0</v>
      </c>
      <c r="BO162" s="751">
        <v>168855</v>
      </c>
      <c r="BP162" s="751">
        <v>16907013</v>
      </c>
      <c r="BQ162" s="751">
        <v>14841008</v>
      </c>
      <c r="BR162" s="751">
        <v>0</v>
      </c>
      <c r="BS162" s="751">
        <v>148291</v>
      </c>
      <c r="BT162" s="751">
        <v>14989299</v>
      </c>
      <c r="BU162" s="751">
        <v>1246309</v>
      </c>
      <c r="BV162" s="751">
        <v>0</v>
      </c>
      <c r="BW162" s="751">
        <v>12195</v>
      </c>
      <c r="BX162" s="751">
        <v>1258504</v>
      </c>
      <c r="BY162" s="751">
        <v>545</v>
      </c>
      <c r="BZ162" s="751">
        <v>0</v>
      </c>
      <c r="CA162" s="751">
        <v>6</v>
      </c>
      <c r="CB162" s="751">
        <v>551</v>
      </c>
      <c r="CC162" s="751">
        <v>0</v>
      </c>
      <c r="CD162" s="751">
        <v>0</v>
      </c>
      <c r="CE162" s="751">
        <v>0</v>
      </c>
      <c r="CF162" s="751">
        <v>0</v>
      </c>
      <c r="CG162" s="751">
        <v>52166</v>
      </c>
      <c r="CH162" s="751">
        <v>0</v>
      </c>
      <c r="CI162" s="751">
        <v>527</v>
      </c>
      <c r="CJ162" s="751">
        <v>52693</v>
      </c>
      <c r="CK162" s="751">
        <v>811063</v>
      </c>
      <c r="CL162" s="751">
        <v>0</v>
      </c>
      <c r="CM162" s="751">
        <v>0</v>
      </c>
      <c r="CN162" s="751">
        <v>811063</v>
      </c>
      <c r="CO162" s="751">
        <v>0</v>
      </c>
      <c r="CP162" s="751">
        <v>0</v>
      </c>
      <c r="CQ162" s="751">
        <v>0</v>
      </c>
      <c r="CR162" s="751">
        <v>0</v>
      </c>
      <c r="CS162" s="751">
        <v>0</v>
      </c>
      <c r="CT162" s="751">
        <v>0</v>
      </c>
      <c r="CU162" s="751">
        <v>0</v>
      </c>
      <c r="CV162" s="751">
        <v>0</v>
      </c>
      <c r="CW162" s="751">
        <v>33689249</v>
      </c>
      <c r="CX162" s="751">
        <v>0</v>
      </c>
      <c r="CY162" s="751">
        <v>329874</v>
      </c>
      <c r="CZ162" s="751">
        <v>34019123</v>
      </c>
      <c r="DA162" s="662" t="s">
        <v>190</v>
      </c>
      <c r="DB162" s="324" t="s">
        <v>570</v>
      </c>
      <c r="DC162" s="663" t="s">
        <v>1915</v>
      </c>
      <c r="DD162" s="529" t="s">
        <v>1369</v>
      </c>
    </row>
    <row r="163" spans="1:108" ht="12.75" x14ac:dyDescent="0.2">
      <c r="A163" s="664">
        <v>156</v>
      </c>
      <c r="B163" s="665" t="s">
        <v>193</v>
      </c>
      <c r="C163" s="666" t="s">
        <v>1201</v>
      </c>
      <c r="D163" s="667" t="s">
        <v>1206</v>
      </c>
      <c r="E163" s="668" t="s">
        <v>192</v>
      </c>
      <c r="F163" s="750">
        <v>29607350</v>
      </c>
      <c r="G163" s="751">
        <v>62584</v>
      </c>
      <c r="H163" s="751">
        <v>0</v>
      </c>
      <c r="I163" s="751">
        <v>124740</v>
      </c>
      <c r="J163" s="751">
        <v>0</v>
      </c>
      <c r="K163" s="751">
        <v>124740</v>
      </c>
      <c r="L163" s="751">
        <v>0</v>
      </c>
      <c r="M163" s="751">
        <v>0</v>
      </c>
      <c r="N163" s="751">
        <v>73184</v>
      </c>
      <c r="O163" s="751">
        <v>73184</v>
      </c>
      <c r="P163" s="751">
        <v>0</v>
      </c>
      <c r="Q163" s="751">
        <v>0</v>
      </c>
      <c r="R163" s="751">
        <v>29472010</v>
      </c>
      <c r="S163" s="749">
        <v>0.5</v>
      </c>
      <c r="T163" s="749">
        <v>0.4</v>
      </c>
      <c r="U163" s="749">
        <v>0.09</v>
      </c>
      <c r="V163" s="749">
        <v>0.01</v>
      </c>
      <c r="W163" s="749">
        <v>1</v>
      </c>
      <c r="X163" s="751">
        <v>14736005</v>
      </c>
      <c r="Y163" s="751">
        <v>11788804</v>
      </c>
      <c r="Z163" s="751">
        <v>2652481</v>
      </c>
      <c r="AA163" s="751">
        <v>294720</v>
      </c>
      <c r="AB163" s="751">
        <v>29472010</v>
      </c>
      <c r="AC163" s="751">
        <v>0</v>
      </c>
      <c r="AD163" s="751">
        <v>0</v>
      </c>
      <c r="AE163" s="751">
        <v>14736005</v>
      </c>
      <c r="AF163" s="751">
        <v>11788804</v>
      </c>
      <c r="AG163" s="751">
        <v>2652481</v>
      </c>
      <c r="AH163" s="751">
        <v>294720</v>
      </c>
      <c r="AI163" s="751">
        <v>29472010</v>
      </c>
      <c r="AJ163" s="751">
        <v>124740</v>
      </c>
      <c r="AK163" s="751">
        <v>124740</v>
      </c>
      <c r="AL163" s="751">
        <v>0</v>
      </c>
      <c r="AM163" s="751">
        <v>0</v>
      </c>
      <c r="AN163" s="751">
        <v>73184</v>
      </c>
      <c r="AO163" s="751">
        <v>0</v>
      </c>
      <c r="AP163" s="751">
        <v>73184</v>
      </c>
      <c r="AQ163" s="751">
        <v>0</v>
      </c>
      <c r="AR163" s="751">
        <v>0</v>
      </c>
      <c r="AS163" s="751">
        <v>0</v>
      </c>
      <c r="AT163" s="751">
        <v>0</v>
      </c>
      <c r="AU163" s="751">
        <v>0</v>
      </c>
      <c r="AV163" s="751">
        <v>0</v>
      </c>
      <c r="AW163" s="751">
        <v>0</v>
      </c>
      <c r="AX163" s="751">
        <v>0</v>
      </c>
      <c r="AY163" s="751">
        <v>0</v>
      </c>
      <c r="AZ163" s="751">
        <v>0</v>
      </c>
      <c r="BA163" s="751">
        <v>0</v>
      </c>
      <c r="BB163" s="751">
        <v>0</v>
      </c>
      <c r="BC163" s="751">
        <v>-8590121</v>
      </c>
      <c r="BD163" s="751">
        <v>-6872097</v>
      </c>
      <c r="BE163" s="751">
        <v>-1546222</v>
      </c>
      <c r="BF163" s="751">
        <v>-171802</v>
      </c>
      <c r="BG163" s="751">
        <v>-17180242</v>
      </c>
      <c r="BH163" s="751">
        <v>6145884</v>
      </c>
      <c r="BI163" s="751">
        <v>5114631</v>
      </c>
      <c r="BJ163" s="751">
        <v>1106259</v>
      </c>
      <c r="BK163" s="751">
        <v>122918</v>
      </c>
      <c r="BL163" s="751">
        <v>12489692</v>
      </c>
      <c r="BM163" s="751">
        <v>618059</v>
      </c>
      <c r="BN163" s="751">
        <v>138205</v>
      </c>
      <c r="BO163" s="751">
        <v>15356</v>
      </c>
      <c r="BP163" s="751">
        <v>771620</v>
      </c>
      <c r="BQ163" s="751">
        <v>980779</v>
      </c>
      <c r="BR163" s="751">
        <v>220675</v>
      </c>
      <c r="BS163" s="751">
        <v>24519</v>
      </c>
      <c r="BT163" s="751">
        <v>1225973</v>
      </c>
      <c r="BU163" s="751">
        <v>43751</v>
      </c>
      <c r="BV163" s="751">
        <v>9844</v>
      </c>
      <c r="BW163" s="751">
        <v>1094</v>
      </c>
      <c r="BX163" s="751">
        <v>54689</v>
      </c>
      <c r="BY163" s="751">
        <v>0</v>
      </c>
      <c r="BZ163" s="751">
        <v>0</v>
      </c>
      <c r="CA163" s="751">
        <v>0</v>
      </c>
      <c r="CB163" s="751">
        <v>0</v>
      </c>
      <c r="CC163" s="751">
        <v>0</v>
      </c>
      <c r="CD163" s="751">
        <v>0</v>
      </c>
      <c r="CE163" s="751">
        <v>0</v>
      </c>
      <c r="CF163" s="751">
        <v>0</v>
      </c>
      <c r="CG163" s="751">
        <v>1620</v>
      </c>
      <c r="CH163" s="751">
        <v>365</v>
      </c>
      <c r="CI163" s="751">
        <v>41</v>
      </c>
      <c r="CJ163" s="751">
        <v>2026</v>
      </c>
      <c r="CK163" s="751">
        <v>0</v>
      </c>
      <c r="CL163" s="751">
        <v>0</v>
      </c>
      <c r="CM163" s="751">
        <v>0</v>
      </c>
      <c r="CN163" s="751">
        <v>0</v>
      </c>
      <c r="CO163" s="751">
        <v>0</v>
      </c>
      <c r="CP163" s="751">
        <v>0</v>
      </c>
      <c r="CQ163" s="751">
        <v>0</v>
      </c>
      <c r="CR163" s="751">
        <v>0</v>
      </c>
      <c r="CS163" s="751">
        <v>0</v>
      </c>
      <c r="CT163" s="751">
        <v>0</v>
      </c>
      <c r="CU163" s="751">
        <v>0</v>
      </c>
      <c r="CV163" s="751">
        <v>0</v>
      </c>
      <c r="CW163" s="751">
        <v>1644209</v>
      </c>
      <c r="CX163" s="751">
        <v>369089</v>
      </c>
      <c r="CY163" s="751">
        <v>41010</v>
      </c>
      <c r="CZ163" s="751">
        <v>2054308</v>
      </c>
      <c r="DA163" s="662" t="s">
        <v>192</v>
      </c>
      <c r="DB163" s="324" t="s">
        <v>559</v>
      </c>
      <c r="DC163" s="663" t="s">
        <v>558</v>
      </c>
      <c r="DD163" s="529" t="s">
        <v>1370</v>
      </c>
    </row>
    <row r="164" spans="1:108" ht="14.25" x14ac:dyDescent="0.2">
      <c r="A164" s="664">
        <v>157</v>
      </c>
      <c r="B164" s="665" t="s">
        <v>195</v>
      </c>
      <c r="C164" s="666" t="s">
        <v>486</v>
      </c>
      <c r="D164" s="667" t="s">
        <v>1202</v>
      </c>
      <c r="E164" s="668" t="s">
        <v>1872</v>
      </c>
      <c r="F164" s="750">
        <v>95557714</v>
      </c>
      <c r="G164" s="751">
        <v>0</v>
      </c>
      <c r="H164" s="751">
        <v>1952578</v>
      </c>
      <c r="I164" s="751">
        <v>268432</v>
      </c>
      <c r="J164" s="751">
        <v>0</v>
      </c>
      <c r="K164" s="751">
        <v>268432</v>
      </c>
      <c r="L164" s="751">
        <v>0</v>
      </c>
      <c r="M164" s="751">
        <v>0</v>
      </c>
      <c r="N164" s="751">
        <v>63271</v>
      </c>
      <c r="O164" s="751">
        <v>63271</v>
      </c>
      <c r="P164" s="751">
        <v>0</v>
      </c>
      <c r="Q164" s="751">
        <v>0</v>
      </c>
      <c r="R164" s="751">
        <v>93273433</v>
      </c>
      <c r="S164" s="749">
        <v>0.5</v>
      </c>
      <c r="T164" s="749">
        <v>0.49</v>
      </c>
      <c r="U164" s="749">
        <v>0</v>
      </c>
      <c r="V164" s="749">
        <v>0.01</v>
      </c>
      <c r="W164" s="749">
        <v>1</v>
      </c>
      <c r="X164" s="751">
        <v>46636717</v>
      </c>
      <c r="Y164" s="751">
        <v>45703982</v>
      </c>
      <c r="Z164" s="751">
        <v>0</v>
      </c>
      <c r="AA164" s="751">
        <v>932734</v>
      </c>
      <c r="AB164" s="751">
        <v>93273433</v>
      </c>
      <c r="AC164" s="751">
        <v>0</v>
      </c>
      <c r="AD164" s="751">
        <v>0</v>
      </c>
      <c r="AE164" s="751">
        <v>46636717</v>
      </c>
      <c r="AF164" s="751">
        <v>45703982</v>
      </c>
      <c r="AG164" s="751">
        <v>0</v>
      </c>
      <c r="AH164" s="751">
        <v>932734</v>
      </c>
      <c r="AI164" s="751">
        <v>93273433</v>
      </c>
      <c r="AJ164" s="751">
        <v>268432</v>
      </c>
      <c r="AK164" s="751">
        <v>268432</v>
      </c>
      <c r="AL164" s="751">
        <v>0</v>
      </c>
      <c r="AM164" s="751">
        <v>0</v>
      </c>
      <c r="AN164" s="751">
        <v>63271</v>
      </c>
      <c r="AO164" s="751">
        <v>0</v>
      </c>
      <c r="AP164" s="751">
        <v>63271</v>
      </c>
      <c r="AQ164" s="751">
        <v>0</v>
      </c>
      <c r="AR164" s="751">
        <v>0</v>
      </c>
      <c r="AS164" s="751">
        <v>0</v>
      </c>
      <c r="AT164" s="751">
        <v>0</v>
      </c>
      <c r="AU164" s="751">
        <v>0</v>
      </c>
      <c r="AV164" s="751">
        <v>0</v>
      </c>
      <c r="AW164" s="751">
        <v>0</v>
      </c>
      <c r="AX164" s="751">
        <v>0</v>
      </c>
      <c r="AY164" s="751">
        <v>0</v>
      </c>
      <c r="AZ164" s="751">
        <v>0</v>
      </c>
      <c r="BA164" s="751">
        <v>0</v>
      </c>
      <c r="BB164" s="751">
        <v>0</v>
      </c>
      <c r="BC164" s="751">
        <v>-18646929</v>
      </c>
      <c r="BD164" s="751">
        <v>-18273990</v>
      </c>
      <c r="BE164" s="751">
        <v>0</v>
      </c>
      <c r="BF164" s="751">
        <v>-372939</v>
      </c>
      <c r="BG164" s="751">
        <v>-37293858</v>
      </c>
      <c r="BH164" s="751">
        <v>27989788</v>
      </c>
      <c r="BI164" s="751">
        <v>27761695</v>
      </c>
      <c r="BJ164" s="751">
        <v>0</v>
      </c>
      <c r="BK164" s="751">
        <v>559795</v>
      </c>
      <c r="BL164" s="751">
        <v>56311278</v>
      </c>
      <c r="BM164" s="751">
        <v>2384667</v>
      </c>
      <c r="BN164" s="751">
        <v>0</v>
      </c>
      <c r="BO164" s="751">
        <v>48599</v>
      </c>
      <c r="BP164" s="751">
        <v>2433266</v>
      </c>
      <c r="BQ164" s="751">
        <v>2804026</v>
      </c>
      <c r="BR164" s="751">
        <v>0</v>
      </c>
      <c r="BS164" s="751">
        <v>57180</v>
      </c>
      <c r="BT164" s="751">
        <v>2861206</v>
      </c>
      <c r="BU164" s="751">
        <v>151758</v>
      </c>
      <c r="BV164" s="751">
        <v>0</v>
      </c>
      <c r="BW164" s="751">
        <v>3097</v>
      </c>
      <c r="BX164" s="751">
        <v>154855</v>
      </c>
      <c r="BY164" s="751">
        <v>0</v>
      </c>
      <c r="BZ164" s="751">
        <v>0</v>
      </c>
      <c r="CA164" s="751">
        <v>0</v>
      </c>
      <c r="CB164" s="751">
        <v>0</v>
      </c>
      <c r="CC164" s="751">
        <v>548</v>
      </c>
      <c r="CD164" s="751">
        <v>0</v>
      </c>
      <c r="CE164" s="751">
        <v>11</v>
      </c>
      <c r="CF164" s="751">
        <v>559</v>
      </c>
      <c r="CG164" s="751">
        <v>19362</v>
      </c>
      <c r="CH164" s="751">
        <v>0</v>
      </c>
      <c r="CI164" s="751">
        <v>395</v>
      </c>
      <c r="CJ164" s="751">
        <v>19757</v>
      </c>
      <c r="CK164" s="751">
        <v>0</v>
      </c>
      <c r="CL164" s="751">
        <v>0</v>
      </c>
      <c r="CM164" s="751">
        <v>0</v>
      </c>
      <c r="CN164" s="751">
        <v>0</v>
      </c>
      <c r="CO164" s="751">
        <v>0</v>
      </c>
      <c r="CP164" s="751">
        <v>0</v>
      </c>
      <c r="CQ164" s="751">
        <v>0</v>
      </c>
      <c r="CR164" s="751">
        <v>0</v>
      </c>
      <c r="CS164" s="751">
        <v>773</v>
      </c>
      <c r="CT164" s="751">
        <v>0</v>
      </c>
      <c r="CU164" s="751">
        <v>16</v>
      </c>
      <c r="CV164" s="751">
        <v>789</v>
      </c>
      <c r="CW164" s="751">
        <v>5361134</v>
      </c>
      <c r="CX164" s="751">
        <v>0</v>
      </c>
      <c r="CY164" s="751">
        <v>109298</v>
      </c>
      <c r="CZ164" s="751">
        <v>5470432</v>
      </c>
      <c r="DA164" s="662" t="s">
        <v>541</v>
      </c>
      <c r="DB164" s="324" t="s">
        <v>486</v>
      </c>
      <c r="DC164" s="663" t="s">
        <v>542</v>
      </c>
      <c r="DD164" s="529" t="s">
        <v>1371</v>
      </c>
    </row>
    <row r="165" spans="1:108" ht="12.75" x14ac:dyDescent="0.2">
      <c r="A165" s="664">
        <v>158</v>
      </c>
      <c r="B165" s="665" t="s">
        <v>197</v>
      </c>
      <c r="C165" s="666" t="s">
        <v>1201</v>
      </c>
      <c r="D165" s="667" t="s">
        <v>1206</v>
      </c>
      <c r="E165" s="668" t="s">
        <v>196</v>
      </c>
      <c r="F165" s="750">
        <v>14411511</v>
      </c>
      <c r="G165" s="751">
        <v>107500</v>
      </c>
      <c r="H165" s="751">
        <v>0</v>
      </c>
      <c r="I165" s="751">
        <v>61754</v>
      </c>
      <c r="J165" s="751">
        <v>0</v>
      </c>
      <c r="K165" s="751">
        <v>61754</v>
      </c>
      <c r="L165" s="751">
        <v>0</v>
      </c>
      <c r="M165" s="751">
        <v>0</v>
      </c>
      <c r="N165" s="751">
        <v>142800</v>
      </c>
      <c r="O165" s="751">
        <v>142800</v>
      </c>
      <c r="P165" s="751">
        <v>0</v>
      </c>
      <c r="Q165" s="751">
        <v>0</v>
      </c>
      <c r="R165" s="751">
        <v>14314457</v>
      </c>
      <c r="S165" s="749">
        <v>0.5</v>
      </c>
      <c r="T165" s="749">
        <v>0.4</v>
      </c>
      <c r="U165" s="749">
        <v>0.09</v>
      </c>
      <c r="V165" s="749">
        <v>0.01</v>
      </c>
      <c r="W165" s="749">
        <v>1</v>
      </c>
      <c r="X165" s="751">
        <v>7157228</v>
      </c>
      <c r="Y165" s="751">
        <v>5725783</v>
      </c>
      <c r="Z165" s="751">
        <v>1288301</v>
      </c>
      <c r="AA165" s="751">
        <v>143145</v>
      </c>
      <c r="AB165" s="751">
        <v>14314457</v>
      </c>
      <c r="AC165" s="751">
        <v>0</v>
      </c>
      <c r="AD165" s="751">
        <v>0</v>
      </c>
      <c r="AE165" s="751">
        <v>7157228</v>
      </c>
      <c r="AF165" s="751">
        <v>5725783</v>
      </c>
      <c r="AG165" s="751">
        <v>1288301</v>
      </c>
      <c r="AH165" s="751">
        <v>143145</v>
      </c>
      <c r="AI165" s="751">
        <v>14314457</v>
      </c>
      <c r="AJ165" s="751">
        <v>61754</v>
      </c>
      <c r="AK165" s="751">
        <v>61754</v>
      </c>
      <c r="AL165" s="751">
        <v>0</v>
      </c>
      <c r="AM165" s="751">
        <v>0</v>
      </c>
      <c r="AN165" s="751">
        <v>142800</v>
      </c>
      <c r="AO165" s="751">
        <v>0</v>
      </c>
      <c r="AP165" s="751">
        <v>142800</v>
      </c>
      <c r="AQ165" s="751">
        <v>0</v>
      </c>
      <c r="AR165" s="751">
        <v>0</v>
      </c>
      <c r="AS165" s="751">
        <v>0</v>
      </c>
      <c r="AT165" s="751">
        <v>0</v>
      </c>
      <c r="AU165" s="751">
        <v>0</v>
      </c>
      <c r="AV165" s="751">
        <v>0</v>
      </c>
      <c r="AW165" s="751">
        <v>0</v>
      </c>
      <c r="AX165" s="751">
        <v>0</v>
      </c>
      <c r="AY165" s="751">
        <v>0</v>
      </c>
      <c r="AZ165" s="751">
        <v>0</v>
      </c>
      <c r="BA165" s="751">
        <v>0</v>
      </c>
      <c r="BB165" s="751">
        <v>0</v>
      </c>
      <c r="BC165" s="751">
        <v>-3177850</v>
      </c>
      <c r="BD165" s="751">
        <v>-2603940</v>
      </c>
      <c r="BE165" s="751">
        <v>-684763</v>
      </c>
      <c r="BF165" s="751">
        <v>-65319</v>
      </c>
      <c r="BG165" s="751">
        <v>-6531872</v>
      </c>
      <c r="BH165" s="751">
        <v>3979378</v>
      </c>
      <c r="BI165" s="751">
        <v>3326397</v>
      </c>
      <c r="BJ165" s="751">
        <v>603538</v>
      </c>
      <c r="BK165" s="751">
        <v>77826</v>
      </c>
      <c r="BL165" s="751">
        <v>7987139</v>
      </c>
      <c r="BM165" s="751">
        <v>305778</v>
      </c>
      <c r="BN165" s="751">
        <v>67126</v>
      </c>
      <c r="BO165" s="751">
        <v>7458</v>
      </c>
      <c r="BP165" s="751">
        <v>380362</v>
      </c>
      <c r="BQ165" s="751">
        <v>692598</v>
      </c>
      <c r="BR165" s="751">
        <v>155834</v>
      </c>
      <c r="BS165" s="751">
        <v>17315</v>
      </c>
      <c r="BT165" s="751">
        <v>865747</v>
      </c>
      <c r="BU165" s="751">
        <v>32863</v>
      </c>
      <c r="BV165" s="751">
        <v>7394</v>
      </c>
      <c r="BW165" s="751">
        <v>822</v>
      </c>
      <c r="BX165" s="751">
        <v>41079</v>
      </c>
      <c r="BY165" s="751">
        <v>0</v>
      </c>
      <c r="BZ165" s="751">
        <v>0</v>
      </c>
      <c r="CA165" s="751">
        <v>0</v>
      </c>
      <c r="CB165" s="751">
        <v>0</v>
      </c>
      <c r="CC165" s="751">
        <v>8207</v>
      </c>
      <c r="CD165" s="751">
        <v>1846</v>
      </c>
      <c r="CE165" s="751">
        <v>205</v>
      </c>
      <c r="CF165" s="751">
        <v>10258</v>
      </c>
      <c r="CG165" s="751">
        <v>9259</v>
      </c>
      <c r="CH165" s="751">
        <v>2083</v>
      </c>
      <c r="CI165" s="751">
        <v>231</v>
      </c>
      <c r="CJ165" s="751">
        <v>11573</v>
      </c>
      <c r="CK165" s="751">
        <v>0</v>
      </c>
      <c r="CL165" s="751">
        <v>0</v>
      </c>
      <c r="CM165" s="751">
        <v>0</v>
      </c>
      <c r="CN165" s="751">
        <v>0</v>
      </c>
      <c r="CO165" s="751">
        <v>0</v>
      </c>
      <c r="CP165" s="751">
        <v>0</v>
      </c>
      <c r="CQ165" s="751">
        <v>0</v>
      </c>
      <c r="CR165" s="751">
        <v>0</v>
      </c>
      <c r="CS165" s="751">
        <v>0</v>
      </c>
      <c r="CT165" s="751">
        <v>0</v>
      </c>
      <c r="CU165" s="751">
        <v>0</v>
      </c>
      <c r="CV165" s="751">
        <v>0</v>
      </c>
      <c r="CW165" s="751">
        <v>1048705</v>
      </c>
      <c r="CX165" s="751">
        <v>234283</v>
      </c>
      <c r="CY165" s="751">
        <v>26031</v>
      </c>
      <c r="CZ165" s="751">
        <v>1309019</v>
      </c>
      <c r="DA165" s="662" t="s">
        <v>196</v>
      </c>
      <c r="DB165" s="324" t="s">
        <v>551</v>
      </c>
      <c r="DC165" s="663" t="s">
        <v>549</v>
      </c>
      <c r="DD165" s="529" t="s">
        <v>1372</v>
      </c>
    </row>
    <row r="166" spans="1:108" ht="12.75" x14ac:dyDescent="0.2">
      <c r="A166" s="664">
        <v>159</v>
      </c>
      <c r="B166" s="665" t="s">
        <v>199</v>
      </c>
      <c r="C166" s="666" t="s">
        <v>1201</v>
      </c>
      <c r="D166" s="667" t="s">
        <v>1224</v>
      </c>
      <c r="E166" s="668" t="s">
        <v>198</v>
      </c>
      <c r="F166" s="750">
        <v>36718293</v>
      </c>
      <c r="G166" s="751">
        <v>125243</v>
      </c>
      <c r="H166" s="751">
        <v>0</v>
      </c>
      <c r="I166" s="751">
        <v>169854</v>
      </c>
      <c r="J166" s="751">
        <v>0</v>
      </c>
      <c r="K166" s="751">
        <v>169854</v>
      </c>
      <c r="L166" s="751">
        <v>0</v>
      </c>
      <c r="M166" s="751">
        <v>0</v>
      </c>
      <c r="N166" s="751">
        <v>116845</v>
      </c>
      <c r="O166" s="751">
        <v>116845</v>
      </c>
      <c r="P166" s="751">
        <v>0</v>
      </c>
      <c r="Q166" s="751">
        <v>0</v>
      </c>
      <c r="R166" s="751">
        <v>36556837</v>
      </c>
      <c r="S166" s="749">
        <v>0.5</v>
      </c>
      <c r="T166" s="749">
        <v>0.4</v>
      </c>
      <c r="U166" s="749">
        <v>0.09</v>
      </c>
      <c r="V166" s="749">
        <v>0.01</v>
      </c>
      <c r="W166" s="749">
        <v>1</v>
      </c>
      <c r="X166" s="751">
        <v>18278419</v>
      </c>
      <c r="Y166" s="751">
        <v>14622735</v>
      </c>
      <c r="Z166" s="751">
        <v>3290115</v>
      </c>
      <c r="AA166" s="751">
        <v>365568</v>
      </c>
      <c r="AB166" s="751">
        <v>36556837</v>
      </c>
      <c r="AC166" s="751">
        <v>0</v>
      </c>
      <c r="AD166" s="751">
        <v>0</v>
      </c>
      <c r="AE166" s="751">
        <v>18278419</v>
      </c>
      <c r="AF166" s="751">
        <v>14622735</v>
      </c>
      <c r="AG166" s="751">
        <v>3290115</v>
      </c>
      <c r="AH166" s="751">
        <v>365568</v>
      </c>
      <c r="AI166" s="751">
        <v>36556837</v>
      </c>
      <c r="AJ166" s="751">
        <v>169854</v>
      </c>
      <c r="AK166" s="751">
        <v>169854</v>
      </c>
      <c r="AL166" s="751">
        <v>0</v>
      </c>
      <c r="AM166" s="751">
        <v>0</v>
      </c>
      <c r="AN166" s="751">
        <v>116845</v>
      </c>
      <c r="AO166" s="751">
        <v>0</v>
      </c>
      <c r="AP166" s="751">
        <v>116845</v>
      </c>
      <c r="AQ166" s="751">
        <v>0</v>
      </c>
      <c r="AR166" s="751">
        <v>0</v>
      </c>
      <c r="AS166" s="751">
        <v>0</v>
      </c>
      <c r="AT166" s="751">
        <v>0</v>
      </c>
      <c r="AU166" s="751">
        <v>0</v>
      </c>
      <c r="AV166" s="751">
        <v>0</v>
      </c>
      <c r="AW166" s="751">
        <v>0</v>
      </c>
      <c r="AX166" s="751">
        <v>0</v>
      </c>
      <c r="AY166" s="751">
        <v>0</v>
      </c>
      <c r="AZ166" s="751">
        <v>0</v>
      </c>
      <c r="BA166" s="751">
        <v>0</v>
      </c>
      <c r="BB166" s="751">
        <v>0</v>
      </c>
      <c r="BC166" s="751">
        <v>-9500908</v>
      </c>
      <c r="BD166" s="751">
        <v>-7615013</v>
      </c>
      <c r="BE166" s="751">
        <v>-1725343</v>
      </c>
      <c r="BF166" s="751">
        <v>-190316</v>
      </c>
      <c r="BG166" s="751">
        <v>-19031579</v>
      </c>
      <c r="BH166" s="751">
        <v>8777511</v>
      </c>
      <c r="BI166" s="751">
        <v>7294421</v>
      </c>
      <c r="BJ166" s="751">
        <v>1564772</v>
      </c>
      <c r="BK166" s="751">
        <v>175252</v>
      </c>
      <c r="BL166" s="751">
        <v>17811957</v>
      </c>
      <c r="BM166" s="751">
        <v>767994</v>
      </c>
      <c r="BN166" s="751">
        <v>171429</v>
      </c>
      <c r="BO166" s="751">
        <v>19048</v>
      </c>
      <c r="BP166" s="751">
        <v>958471</v>
      </c>
      <c r="BQ166" s="751">
        <v>1647516</v>
      </c>
      <c r="BR166" s="751">
        <v>370691</v>
      </c>
      <c r="BS166" s="751">
        <v>41188</v>
      </c>
      <c r="BT166" s="751">
        <v>2059395</v>
      </c>
      <c r="BU166" s="751">
        <v>87268</v>
      </c>
      <c r="BV166" s="751">
        <v>19635</v>
      </c>
      <c r="BW166" s="751">
        <v>2182</v>
      </c>
      <c r="BX166" s="751">
        <v>109085</v>
      </c>
      <c r="BY166" s="751">
        <v>0</v>
      </c>
      <c r="BZ166" s="751">
        <v>0</v>
      </c>
      <c r="CA166" s="751">
        <v>0</v>
      </c>
      <c r="CB166" s="751">
        <v>0</v>
      </c>
      <c r="CC166" s="751">
        <v>6211</v>
      </c>
      <c r="CD166" s="751">
        <v>1397</v>
      </c>
      <c r="CE166" s="751">
        <v>155</v>
      </c>
      <c r="CF166" s="751">
        <v>7763</v>
      </c>
      <c r="CG166" s="751">
        <v>24638</v>
      </c>
      <c r="CH166" s="751">
        <v>5544</v>
      </c>
      <c r="CI166" s="751">
        <v>616</v>
      </c>
      <c r="CJ166" s="751">
        <v>30798</v>
      </c>
      <c r="CK166" s="751">
        <v>0</v>
      </c>
      <c r="CL166" s="751">
        <v>0</v>
      </c>
      <c r="CM166" s="751">
        <v>0</v>
      </c>
      <c r="CN166" s="751">
        <v>0</v>
      </c>
      <c r="CO166" s="751">
        <v>0</v>
      </c>
      <c r="CP166" s="751">
        <v>0</v>
      </c>
      <c r="CQ166" s="751">
        <v>0</v>
      </c>
      <c r="CR166" s="751">
        <v>0</v>
      </c>
      <c r="CS166" s="751">
        <v>0</v>
      </c>
      <c r="CT166" s="751">
        <v>0</v>
      </c>
      <c r="CU166" s="751">
        <v>0</v>
      </c>
      <c r="CV166" s="751">
        <v>0</v>
      </c>
      <c r="CW166" s="751">
        <v>2533627</v>
      </c>
      <c r="CX166" s="751">
        <v>568696</v>
      </c>
      <c r="CY166" s="751">
        <v>63189</v>
      </c>
      <c r="CZ166" s="751">
        <v>3165512</v>
      </c>
      <c r="DA166" s="662" t="s">
        <v>198</v>
      </c>
      <c r="DB166" s="324" t="s">
        <v>562</v>
      </c>
      <c r="DC166" s="663" t="s">
        <v>519</v>
      </c>
      <c r="DD166" s="529" t="s">
        <v>1373</v>
      </c>
    </row>
    <row r="167" spans="1:108" ht="12.75" x14ac:dyDescent="0.2">
      <c r="A167" s="664">
        <v>160</v>
      </c>
      <c r="B167" s="665" t="s">
        <v>201</v>
      </c>
      <c r="C167" s="666" t="s">
        <v>1213</v>
      </c>
      <c r="D167" s="667" t="s">
        <v>1214</v>
      </c>
      <c r="E167" s="668" t="s">
        <v>200</v>
      </c>
      <c r="F167" s="750">
        <v>89883655</v>
      </c>
      <c r="G167" s="751">
        <v>0</v>
      </c>
      <c r="H167" s="751">
        <v>243421</v>
      </c>
      <c r="I167" s="751">
        <v>253678</v>
      </c>
      <c r="J167" s="751">
        <v>0</v>
      </c>
      <c r="K167" s="751">
        <v>253678</v>
      </c>
      <c r="L167" s="751">
        <v>0</v>
      </c>
      <c r="M167" s="751">
        <v>0</v>
      </c>
      <c r="N167" s="751">
        <v>0</v>
      </c>
      <c r="O167" s="751">
        <v>0</v>
      </c>
      <c r="P167" s="751">
        <v>0</v>
      </c>
      <c r="Q167" s="751">
        <v>0</v>
      </c>
      <c r="R167" s="751">
        <v>89386556</v>
      </c>
      <c r="S167" s="749">
        <v>0.33</v>
      </c>
      <c r="T167" s="749">
        <v>0.3</v>
      </c>
      <c r="U167" s="749">
        <v>0.37</v>
      </c>
      <c r="V167" s="749">
        <v>0</v>
      </c>
      <c r="W167" s="749">
        <v>1</v>
      </c>
      <c r="X167" s="751">
        <v>29497563</v>
      </c>
      <c r="Y167" s="751">
        <v>26815967</v>
      </c>
      <c r="Z167" s="751">
        <v>33073026</v>
      </c>
      <c r="AA167" s="751">
        <v>0</v>
      </c>
      <c r="AB167" s="751">
        <v>89386556</v>
      </c>
      <c r="AC167" s="751">
        <v>0</v>
      </c>
      <c r="AD167" s="751">
        <v>0</v>
      </c>
      <c r="AE167" s="751">
        <v>29497563</v>
      </c>
      <c r="AF167" s="751">
        <v>26815967</v>
      </c>
      <c r="AG167" s="751">
        <v>33073026</v>
      </c>
      <c r="AH167" s="751">
        <v>0</v>
      </c>
      <c r="AI167" s="751">
        <v>89386556</v>
      </c>
      <c r="AJ167" s="751">
        <v>253678</v>
      </c>
      <c r="AK167" s="751">
        <v>253678</v>
      </c>
      <c r="AL167" s="751">
        <v>0</v>
      </c>
      <c r="AM167" s="751">
        <v>0</v>
      </c>
      <c r="AN167" s="751">
        <v>0</v>
      </c>
      <c r="AO167" s="751">
        <v>0</v>
      </c>
      <c r="AP167" s="751">
        <v>0</v>
      </c>
      <c r="AQ167" s="751">
        <v>0</v>
      </c>
      <c r="AR167" s="751">
        <v>0</v>
      </c>
      <c r="AS167" s="751">
        <v>0</v>
      </c>
      <c r="AT167" s="751">
        <v>0</v>
      </c>
      <c r="AU167" s="751">
        <v>0</v>
      </c>
      <c r="AV167" s="751">
        <v>0</v>
      </c>
      <c r="AW167" s="751">
        <v>0</v>
      </c>
      <c r="AX167" s="751">
        <v>0</v>
      </c>
      <c r="AY167" s="751">
        <v>0</v>
      </c>
      <c r="AZ167" s="751">
        <v>0</v>
      </c>
      <c r="BA167" s="751">
        <v>0</v>
      </c>
      <c r="BB167" s="751">
        <v>0</v>
      </c>
      <c r="BC167" s="751">
        <v>-14791527</v>
      </c>
      <c r="BD167" s="751">
        <v>-13388830</v>
      </c>
      <c r="BE167" s="751">
        <v>-16586804</v>
      </c>
      <c r="BF167" s="751">
        <v>0</v>
      </c>
      <c r="BG167" s="751">
        <v>-44767161</v>
      </c>
      <c r="BH167" s="751">
        <v>14706036</v>
      </c>
      <c r="BI167" s="751">
        <v>13680815</v>
      </c>
      <c r="BJ167" s="751">
        <v>16486222</v>
      </c>
      <c r="BK167" s="751">
        <v>0</v>
      </c>
      <c r="BL167" s="751">
        <v>44873073</v>
      </c>
      <c r="BM167" s="751">
        <v>1397225</v>
      </c>
      <c r="BN167" s="751">
        <v>1723244</v>
      </c>
      <c r="BO167" s="751">
        <v>0</v>
      </c>
      <c r="BP167" s="751">
        <v>3120469</v>
      </c>
      <c r="BQ167" s="751">
        <v>1226515</v>
      </c>
      <c r="BR167" s="751">
        <v>1512701</v>
      </c>
      <c r="BS167" s="751">
        <v>0</v>
      </c>
      <c r="BT167" s="751">
        <v>2739216</v>
      </c>
      <c r="BU167" s="751">
        <v>79409</v>
      </c>
      <c r="BV167" s="751">
        <v>97938</v>
      </c>
      <c r="BW167" s="751">
        <v>0</v>
      </c>
      <c r="BX167" s="751">
        <v>177347</v>
      </c>
      <c r="BY167" s="751">
        <v>0</v>
      </c>
      <c r="BZ167" s="751">
        <v>0</v>
      </c>
      <c r="CA167" s="751">
        <v>0</v>
      </c>
      <c r="CB167" s="751">
        <v>0</v>
      </c>
      <c r="CC167" s="751">
        <v>0</v>
      </c>
      <c r="CD167" s="751">
        <v>0</v>
      </c>
      <c r="CE167" s="751">
        <v>0</v>
      </c>
      <c r="CF167" s="751">
        <v>0</v>
      </c>
      <c r="CG167" s="751">
        <v>5020</v>
      </c>
      <c r="CH167" s="751">
        <v>6192</v>
      </c>
      <c r="CI167" s="751">
        <v>0</v>
      </c>
      <c r="CJ167" s="751">
        <v>11212</v>
      </c>
      <c r="CK167" s="751">
        <v>0</v>
      </c>
      <c r="CL167" s="751">
        <v>0</v>
      </c>
      <c r="CM167" s="751">
        <v>0</v>
      </c>
      <c r="CN167" s="751">
        <v>0</v>
      </c>
      <c r="CO167" s="751">
        <v>0</v>
      </c>
      <c r="CP167" s="751">
        <v>0</v>
      </c>
      <c r="CQ167" s="751">
        <v>0</v>
      </c>
      <c r="CR167" s="751">
        <v>0</v>
      </c>
      <c r="CS167" s="751">
        <v>0</v>
      </c>
      <c r="CT167" s="751">
        <v>0</v>
      </c>
      <c r="CU167" s="751">
        <v>0</v>
      </c>
      <c r="CV167" s="751">
        <v>0</v>
      </c>
      <c r="CW167" s="751">
        <v>2708169</v>
      </c>
      <c r="CX167" s="751">
        <v>3340075</v>
      </c>
      <c r="CY167" s="751">
        <v>0</v>
      </c>
      <c r="CZ167" s="751">
        <v>6048244</v>
      </c>
      <c r="DA167" s="662" t="s">
        <v>200</v>
      </c>
      <c r="DB167" s="324" t="s">
        <v>576</v>
      </c>
      <c r="DC167" s="669" t="s">
        <v>485</v>
      </c>
      <c r="DD167" s="529" t="s">
        <v>1374</v>
      </c>
    </row>
    <row r="168" spans="1:108" ht="12.75" x14ac:dyDescent="0.2">
      <c r="A168" s="664">
        <v>161</v>
      </c>
      <c r="B168" s="665" t="s">
        <v>203</v>
      </c>
      <c r="C168" s="666" t="s">
        <v>1201</v>
      </c>
      <c r="D168" s="667" t="s">
        <v>1224</v>
      </c>
      <c r="E168" s="668" t="s">
        <v>202</v>
      </c>
      <c r="F168" s="750">
        <v>15780473</v>
      </c>
      <c r="G168" s="751">
        <v>35928</v>
      </c>
      <c r="H168" s="751">
        <v>0</v>
      </c>
      <c r="I168" s="751">
        <v>115396</v>
      </c>
      <c r="J168" s="751">
        <v>0</v>
      </c>
      <c r="K168" s="751">
        <v>115396</v>
      </c>
      <c r="L168" s="751">
        <v>0</v>
      </c>
      <c r="M168" s="751">
        <v>0</v>
      </c>
      <c r="N168" s="751">
        <v>203528</v>
      </c>
      <c r="O168" s="751">
        <v>134167</v>
      </c>
      <c r="P168" s="751">
        <v>69361</v>
      </c>
      <c r="Q168" s="751">
        <v>0</v>
      </c>
      <c r="R168" s="751">
        <v>15497477</v>
      </c>
      <c r="S168" s="749">
        <v>0.5</v>
      </c>
      <c r="T168" s="749">
        <v>0.4</v>
      </c>
      <c r="U168" s="749">
        <v>0.09</v>
      </c>
      <c r="V168" s="749">
        <v>0.01</v>
      </c>
      <c r="W168" s="749">
        <v>1</v>
      </c>
      <c r="X168" s="751">
        <v>7748738</v>
      </c>
      <c r="Y168" s="751">
        <v>6198991</v>
      </c>
      <c r="Z168" s="751">
        <v>1394773</v>
      </c>
      <c r="AA168" s="751">
        <v>154975</v>
      </c>
      <c r="AB168" s="751">
        <v>15497477</v>
      </c>
      <c r="AC168" s="751">
        <v>0</v>
      </c>
      <c r="AD168" s="751">
        <v>0</v>
      </c>
      <c r="AE168" s="751">
        <v>7748738</v>
      </c>
      <c r="AF168" s="751">
        <v>6198991</v>
      </c>
      <c r="AG168" s="751">
        <v>1394773</v>
      </c>
      <c r="AH168" s="751">
        <v>154975</v>
      </c>
      <c r="AI168" s="751">
        <v>15497477</v>
      </c>
      <c r="AJ168" s="751">
        <v>115396</v>
      </c>
      <c r="AK168" s="751">
        <v>115396</v>
      </c>
      <c r="AL168" s="751">
        <v>0</v>
      </c>
      <c r="AM168" s="751">
        <v>0</v>
      </c>
      <c r="AN168" s="751">
        <v>134167</v>
      </c>
      <c r="AO168" s="751">
        <v>69361</v>
      </c>
      <c r="AP168" s="751">
        <v>203528</v>
      </c>
      <c r="AQ168" s="751">
        <v>0</v>
      </c>
      <c r="AR168" s="751">
        <v>0</v>
      </c>
      <c r="AS168" s="751">
        <v>0</v>
      </c>
      <c r="AT168" s="751">
        <v>0</v>
      </c>
      <c r="AU168" s="751">
        <v>0</v>
      </c>
      <c r="AV168" s="751">
        <v>0</v>
      </c>
      <c r="AW168" s="751">
        <v>0</v>
      </c>
      <c r="AX168" s="751">
        <v>0</v>
      </c>
      <c r="AY168" s="751">
        <v>0</v>
      </c>
      <c r="AZ168" s="751">
        <v>0</v>
      </c>
      <c r="BA168" s="751">
        <v>0</v>
      </c>
      <c r="BB168" s="751">
        <v>0</v>
      </c>
      <c r="BC168" s="751">
        <v>-3964175</v>
      </c>
      <c r="BD168" s="751">
        <v>-3171340</v>
      </c>
      <c r="BE168" s="751">
        <v>-713552</v>
      </c>
      <c r="BF168" s="751">
        <v>-79284</v>
      </c>
      <c r="BG168" s="751">
        <v>-7928350</v>
      </c>
      <c r="BH168" s="751">
        <v>3784563</v>
      </c>
      <c r="BI168" s="751">
        <v>3277214</v>
      </c>
      <c r="BJ168" s="751">
        <v>750582</v>
      </c>
      <c r="BK168" s="751">
        <v>75691</v>
      </c>
      <c r="BL168" s="751">
        <v>7888051</v>
      </c>
      <c r="BM168" s="751">
        <v>329984</v>
      </c>
      <c r="BN168" s="751">
        <v>76288</v>
      </c>
      <c r="BO168" s="751">
        <v>8075</v>
      </c>
      <c r="BP168" s="751">
        <v>414347</v>
      </c>
      <c r="BQ168" s="751">
        <v>1245420</v>
      </c>
      <c r="BR168" s="751">
        <v>280219</v>
      </c>
      <c r="BS168" s="751">
        <v>31135</v>
      </c>
      <c r="BT168" s="751">
        <v>1556774</v>
      </c>
      <c r="BU168" s="751">
        <v>41010</v>
      </c>
      <c r="BV168" s="751">
        <v>9227</v>
      </c>
      <c r="BW168" s="751">
        <v>1025</v>
      </c>
      <c r="BX168" s="751">
        <v>51262</v>
      </c>
      <c r="BY168" s="751">
        <v>0</v>
      </c>
      <c r="BZ168" s="751">
        <v>0</v>
      </c>
      <c r="CA168" s="751">
        <v>0</v>
      </c>
      <c r="CB168" s="751">
        <v>0</v>
      </c>
      <c r="CC168" s="751">
        <v>12787</v>
      </c>
      <c r="CD168" s="751">
        <v>2877</v>
      </c>
      <c r="CE168" s="751">
        <v>320</v>
      </c>
      <c r="CF168" s="751">
        <v>15984</v>
      </c>
      <c r="CG168" s="751">
        <v>4209</v>
      </c>
      <c r="CH168" s="751">
        <v>947</v>
      </c>
      <c r="CI168" s="751">
        <v>105</v>
      </c>
      <c r="CJ168" s="751">
        <v>5261</v>
      </c>
      <c r="CK168" s="751">
        <v>0</v>
      </c>
      <c r="CL168" s="751">
        <v>0</v>
      </c>
      <c r="CM168" s="751">
        <v>0</v>
      </c>
      <c r="CN168" s="751">
        <v>0</v>
      </c>
      <c r="CO168" s="751">
        <v>0</v>
      </c>
      <c r="CP168" s="751">
        <v>0</v>
      </c>
      <c r="CQ168" s="751">
        <v>0</v>
      </c>
      <c r="CR168" s="751">
        <v>0</v>
      </c>
      <c r="CS168" s="751">
        <v>0</v>
      </c>
      <c r="CT168" s="751">
        <v>0</v>
      </c>
      <c r="CU168" s="751">
        <v>0</v>
      </c>
      <c r="CV168" s="751">
        <v>0</v>
      </c>
      <c r="CW168" s="751">
        <v>1633410</v>
      </c>
      <c r="CX168" s="751">
        <v>369558</v>
      </c>
      <c r="CY168" s="751">
        <v>40660</v>
      </c>
      <c r="CZ168" s="751">
        <v>2043628</v>
      </c>
      <c r="DA168" s="662" t="s">
        <v>202</v>
      </c>
      <c r="DB168" s="324" t="s">
        <v>521</v>
      </c>
      <c r="DC168" s="663" t="s">
        <v>519</v>
      </c>
      <c r="DD168" s="529" t="s">
        <v>1375</v>
      </c>
    </row>
    <row r="169" spans="1:108" ht="12.75" x14ac:dyDescent="0.2">
      <c r="A169" s="664">
        <v>162</v>
      </c>
      <c r="B169" s="665" t="s">
        <v>205</v>
      </c>
      <c r="C169" s="666" t="s">
        <v>1201</v>
      </c>
      <c r="D169" s="667" t="s">
        <v>1211</v>
      </c>
      <c r="E169" s="668" t="s">
        <v>204</v>
      </c>
      <c r="F169" s="750">
        <v>26802092</v>
      </c>
      <c r="G169" s="751">
        <v>104189</v>
      </c>
      <c r="H169" s="751">
        <v>0</v>
      </c>
      <c r="I169" s="751">
        <v>128002</v>
      </c>
      <c r="J169" s="751">
        <v>0</v>
      </c>
      <c r="K169" s="751">
        <v>128002</v>
      </c>
      <c r="L169" s="751">
        <v>0</v>
      </c>
      <c r="M169" s="751">
        <v>0</v>
      </c>
      <c r="N169" s="751">
        <v>650276</v>
      </c>
      <c r="O169" s="751">
        <v>478969</v>
      </c>
      <c r="P169" s="751">
        <v>171307</v>
      </c>
      <c r="Q169" s="751">
        <v>0</v>
      </c>
      <c r="R169" s="751">
        <v>26128003</v>
      </c>
      <c r="S169" s="749">
        <v>0.5</v>
      </c>
      <c r="T169" s="749">
        <v>0.4</v>
      </c>
      <c r="U169" s="749">
        <v>0.1</v>
      </c>
      <c r="V169" s="749">
        <v>0</v>
      </c>
      <c r="W169" s="749">
        <v>1</v>
      </c>
      <c r="X169" s="751">
        <v>13064002</v>
      </c>
      <c r="Y169" s="751">
        <v>10451201</v>
      </c>
      <c r="Z169" s="751">
        <v>2612800</v>
      </c>
      <c r="AA169" s="751">
        <v>0</v>
      </c>
      <c r="AB169" s="751">
        <v>26128003</v>
      </c>
      <c r="AC169" s="751">
        <v>0</v>
      </c>
      <c r="AD169" s="751">
        <v>0</v>
      </c>
      <c r="AE169" s="751">
        <v>13064002</v>
      </c>
      <c r="AF169" s="751">
        <v>10451201</v>
      </c>
      <c r="AG169" s="751">
        <v>2612800</v>
      </c>
      <c r="AH169" s="751">
        <v>0</v>
      </c>
      <c r="AI169" s="751">
        <v>26128003</v>
      </c>
      <c r="AJ169" s="751">
        <v>128002</v>
      </c>
      <c r="AK169" s="751">
        <v>128002</v>
      </c>
      <c r="AL169" s="751">
        <v>0</v>
      </c>
      <c r="AM169" s="751">
        <v>0</v>
      </c>
      <c r="AN169" s="751">
        <v>478969</v>
      </c>
      <c r="AO169" s="751">
        <v>171307</v>
      </c>
      <c r="AP169" s="751">
        <v>650276</v>
      </c>
      <c r="AQ169" s="751">
        <v>0</v>
      </c>
      <c r="AR169" s="751">
        <v>0</v>
      </c>
      <c r="AS169" s="751">
        <v>0</v>
      </c>
      <c r="AT169" s="751">
        <v>0</v>
      </c>
      <c r="AU169" s="751">
        <v>0</v>
      </c>
      <c r="AV169" s="751">
        <v>0</v>
      </c>
      <c r="AW169" s="751">
        <v>0</v>
      </c>
      <c r="AX169" s="751">
        <v>0</v>
      </c>
      <c r="AY169" s="751">
        <v>0</v>
      </c>
      <c r="AZ169" s="751">
        <v>0</v>
      </c>
      <c r="BA169" s="751">
        <v>0</v>
      </c>
      <c r="BB169" s="751">
        <v>0</v>
      </c>
      <c r="BC169" s="751">
        <v>-1997432</v>
      </c>
      <c r="BD169" s="751">
        <v>-1597946</v>
      </c>
      <c r="BE169" s="751">
        <v>-399486</v>
      </c>
      <c r="BF169" s="751">
        <v>0</v>
      </c>
      <c r="BG169" s="751">
        <v>-3994864</v>
      </c>
      <c r="BH169" s="751">
        <v>11066570</v>
      </c>
      <c r="BI169" s="751">
        <v>9460226</v>
      </c>
      <c r="BJ169" s="751">
        <v>2384621</v>
      </c>
      <c r="BK169" s="751">
        <v>0</v>
      </c>
      <c r="BL169" s="751">
        <v>22911417</v>
      </c>
      <c r="BM169" s="751">
        <v>569508</v>
      </c>
      <c r="BN169" s="751">
        <v>145064</v>
      </c>
      <c r="BO169" s="751">
        <v>0</v>
      </c>
      <c r="BP169" s="751">
        <v>714572</v>
      </c>
      <c r="BQ169" s="751">
        <v>1085373</v>
      </c>
      <c r="BR169" s="751">
        <v>271343</v>
      </c>
      <c r="BS169" s="751">
        <v>0</v>
      </c>
      <c r="BT169" s="751">
        <v>1356716</v>
      </c>
      <c r="BU169" s="751">
        <v>55523</v>
      </c>
      <c r="BV169" s="751">
        <v>13881</v>
      </c>
      <c r="BW169" s="751">
        <v>0</v>
      </c>
      <c r="BX169" s="751">
        <v>69404</v>
      </c>
      <c r="BY169" s="751">
        <v>9320</v>
      </c>
      <c r="BZ169" s="751">
        <v>2330</v>
      </c>
      <c r="CA169" s="751">
        <v>0</v>
      </c>
      <c r="CB169" s="751">
        <v>11650</v>
      </c>
      <c r="CC169" s="751">
        <v>21478</v>
      </c>
      <c r="CD169" s="751">
        <v>5369</v>
      </c>
      <c r="CE169" s="751">
        <v>0</v>
      </c>
      <c r="CF169" s="751">
        <v>26847</v>
      </c>
      <c r="CG169" s="751">
        <v>22014</v>
      </c>
      <c r="CH169" s="751">
        <v>5504</v>
      </c>
      <c r="CI169" s="751">
        <v>0</v>
      </c>
      <c r="CJ169" s="751">
        <v>27518</v>
      </c>
      <c r="CK169" s="751">
        <v>0</v>
      </c>
      <c r="CL169" s="751">
        <v>0</v>
      </c>
      <c r="CM169" s="751">
        <v>0</v>
      </c>
      <c r="CN169" s="751">
        <v>0</v>
      </c>
      <c r="CO169" s="751">
        <v>0</v>
      </c>
      <c r="CP169" s="751">
        <v>0</v>
      </c>
      <c r="CQ169" s="751">
        <v>0</v>
      </c>
      <c r="CR169" s="751">
        <v>0</v>
      </c>
      <c r="CS169" s="751">
        <v>0</v>
      </c>
      <c r="CT169" s="751">
        <v>0</v>
      </c>
      <c r="CU169" s="751">
        <v>0</v>
      </c>
      <c r="CV169" s="751">
        <v>0</v>
      </c>
      <c r="CW169" s="751">
        <v>1763216</v>
      </c>
      <c r="CX169" s="751">
        <v>443491</v>
      </c>
      <c r="CY169" s="751">
        <v>0</v>
      </c>
      <c r="CZ169" s="751">
        <v>2206707</v>
      </c>
      <c r="DA169" s="662" t="s">
        <v>204</v>
      </c>
      <c r="DB169" s="324" t="s">
        <v>565</v>
      </c>
      <c r="DC169" s="663" t="s">
        <v>512</v>
      </c>
      <c r="DD169" s="529" t="s">
        <v>1376</v>
      </c>
    </row>
    <row r="170" spans="1:108" ht="12.75" x14ac:dyDescent="0.2">
      <c r="A170" s="664">
        <v>163</v>
      </c>
      <c r="B170" s="665" t="s">
        <v>207</v>
      </c>
      <c r="C170" s="666" t="s">
        <v>1201</v>
      </c>
      <c r="D170" s="667" t="s">
        <v>1202</v>
      </c>
      <c r="E170" s="668" t="s">
        <v>206</v>
      </c>
      <c r="F170" s="750">
        <v>51205149</v>
      </c>
      <c r="G170" s="751">
        <v>111198</v>
      </c>
      <c r="H170" s="751">
        <v>0</v>
      </c>
      <c r="I170" s="751">
        <v>175237</v>
      </c>
      <c r="J170" s="751">
        <v>0</v>
      </c>
      <c r="K170" s="751">
        <v>175237</v>
      </c>
      <c r="L170" s="751">
        <v>0</v>
      </c>
      <c r="M170" s="751">
        <v>0</v>
      </c>
      <c r="N170" s="751">
        <v>993280</v>
      </c>
      <c r="O170" s="751">
        <v>993280</v>
      </c>
      <c r="P170" s="751">
        <v>0</v>
      </c>
      <c r="Q170" s="751">
        <v>0</v>
      </c>
      <c r="R170" s="751">
        <v>50147830</v>
      </c>
      <c r="S170" s="749">
        <v>0.5</v>
      </c>
      <c r="T170" s="749">
        <v>0.4</v>
      </c>
      <c r="U170" s="749">
        <v>0.1</v>
      </c>
      <c r="V170" s="749">
        <v>0</v>
      </c>
      <c r="W170" s="749">
        <v>1</v>
      </c>
      <c r="X170" s="751">
        <v>25073915</v>
      </c>
      <c r="Y170" s="751">
        <v>20059132</v>
      </c>
      <c r="Z170" s="751">
        <v>5014783</v>
      </c>
      <c r="AA170" s="751">
        <v>0</v>
      </c>
      <c r="AB170" s="751">
        <v>50147830</v>
      </c>
      <c r="AC170" s="751">
        <v>0</v>
      </c>
      <c r="AD170" s="751">
        <v>0</v>
      </c>
      <c r="AE170" s="751">
        <v>25073915</v>
      </c>
      <c r="AF170" s="751">
        <v>20059132</v>
      </c>
      <c r="AG170" s="751">
        <v>5014783</v>
      </c>
      <c r="AH170" s="751">
        <v>0</v>
      </c>
      <c r="AI170" s="751">
        <v>50147830</v>
      </c>
      <c r="AJ170" s="751">
        <v>175237</v>
      </c>
      <c r="AK170" s="751">
        <v>175237</v>
      </c>
      <c r="AL170" s="751">
        <v>0</v>
      </c>
      <c r="AM170" s="751">
        <v>0</v>
      </c>
      <c r="AN170" s="751">
        <v>993280</v>
      </c>
      <c r="AO170" s="751">
        <v>0</v>
      </c>
      <c r="AP170" s="751">
        <v>993280</v>
      </c>
      <c r="AQ170" s="751">
        <v>0</v>
      </c>
      <c r="AR170" s="751">
        <v>0</v>
      </c>
      <c r="AS170" s="751">
        <v>0</v>
      </c>
      <c r="AT170" s="751">
        <v>0</v>
      </c>
      <c r="AU170" s="751">
        <v>0</v>
      </c>
      <c r="AV170" s="751">
        <v>0</v>
      </c>
      <c r="AW170" s="751">
        <v>0</v>
      </c>
      <c r="AX170" s="751">
        <v>0</v>
      </c>
      <c r="AY170" s="751">
        <v>0</v>
      </c>
      <c r="AZ170" s="751">
        <v>0</v>
      </c>
      <c r="BA170" s="751">
        <v>0</v>
      </c>
      <c r="BB170" s="751">
        <v>0</v>
      </c>
      <c r="BC170" s="751">
        <v>-10790695</v>
      </c>
      <c r="BD170" s="751">
        <v>-8632556</v>
      </c>
      <c r="BE170" s="751">
        <v>-1079932</v>
      </c>
      <c r="BF170" s="751">
        <v>0</v>
      </c>
      <c r="BG170" s="751">
        <v>-20503182</v>
      </c>
      <c r="BH170" s="751">
        <v>14283220</v>
      </c>
      <c r="BI170" s="751">
        <v>12595093</v>
      </c>
      <c r="BJ170" s="751">
        <v>3934851</v>
      </c>
      <c r="BK170" s="751">
        <v>0</v>
      </c>
      <c r="BL170" s="751">
        <v>30813165</v>
      </c>
      <c r="BM170" s="751">
        <v>1096919</v>
      </c>
      <c r="BN170" s="751">
        <v>261291</v>
      </c>
      <c r="BO170" s="751">
        <v>0</v>
      </c>
      <c r="BP170" s="751">
        <v>1358210</v>
      </c>
      <c r="BQ170" s="751">
        <v>1517186</v>
      </c>
      <c r="BR170" s="751">
        <v>379296</v>
      </c>
      <c r="BS170" s="751">
        <v>0</v>
      </c>
      <c r="BT170" s="751">
        <v>1896482</v>
      </c>
      <c r="BU170" s="751">
        <v>117085</v>
      </c>
      <c r="BV170" s="751">
        <v>29271</v>
      </c>
      <c r="BW170" s="751">
        <v>0</v>
      </c>
      <c r="BX170" s="751">
        <v>146356</v>
      </c>
      <c r="BY170" s="751">
        <v>0</v>
      </c>
      <c r="BZ170" s="751">
        <v>0</v>
      </c>
      <c r="CA170" s="751">
        <v>0</v>
      </c>
      <c r="CB170" s="751">
        <v>0</v>
      </c>
      <c r="CC170" s="751">
        <v>2454</v>
      </c>
      <c r="CD170" s="751">
        <v>613</v>
      </c>
      <c r="CE170" s="751">
        <v>0</v>
      </c>
      <c r="CF170" s="751">
        <v>3067</v>
      </c>
      <c r="CG170" s="751">
        <v>18643</v>
      </c>
      <c r="CH170" s="751">
        <v>4661</v>
      </c>
      <c r="CI170" s="751">
        <v>0</v>
      </c>
      <c r="CJ170" s="751">
        <v>23304</v>
      </c>
      <c r="CK170" s="751">
        <v>0</v>
      </c>
      <c r="CL170" s="751">
        <v>0</v>
      </c>
      <c r="CM170" s="751">
        <v>0</v>
      </c>
      <c r="CN170" s="751">
        <v>0</v>
      </c>
      <c r="CO170" s="751">
        <v>0</v>
      </c>
      <c r="CP170" s="751">
        <v>0</v>
      </c>
      <c r="CQ170" s="751">
        <v>0</v>
      </c>
      <c r="CR170" s="751">
        <v>0</v>
      </c>
      <c r="CS170" s="751">
        <v>0</v>
      </c>
      <c r="CT170" s="751">
        <v>0</v>
      </c>
      <c r="CU170" s="751">
        <v>0</v>
      </c>
      <c r="CV170" s="751">
        <v>0</v>
      </c>
      <c r="CW170" s="751">
        <v>2752287</v>
      </c>
      <c r="CX170" s="751">
        <v>675132</v>
      </c>
      <c r="CY170" s="751">
        <v>0</v>
      </c>
      <c r="CZ170" s="751">
        <v>3427419</v>
      </c>
      <c r="DA170" s="662" t="s">
        <v>206</v>
      </c>
      <c r="DB170" s="324" t="s">
        <v>568</v>
      </c>
      <c r="DC170" s="663" t="s">
        <v>512</v>
      </c>
      <c r="DD170" s="529" t="s">
        <v>1377</v>
      </c>
    </row>
    <row r="171" spans="1:108" ht="12.75" x14ac:dyDescent="0.2">
      <c r="A171" s="664">
        <v>164</v>
      </c>
      <c r="B171" s="665" t="s">
        <v>209</v>
      </c>
      <c r="C171" s="666" t="s">
        <v>486</v>
      </c>
      <c r="D171" s="667" t="s">
        <v>1283</v>
      </c>
      <c r="E171" s="668" t="s">
        <v>510</v>
      </c>
      <c r="F171" s="750">
        <v>37324069</v>
      </c>
      <c r="G171" s="751">
        <v>0</v>
      </c>
      <c r="H171" s="751">
        <v>1179542</v>
      </c>
      <c r="I171" s="751">
        <v>170141</v>
      </c>
      <c r="J171" s="751">
        <v>0</v>
      </c>
      <c r="K171" s="751">
        <v>170141</v>
      </c>
      <c r="L171" s="751">
        <v>0</v>
      </c>
      <c r="M171" s="751">
        <v>207600</v>
      </c>
      <c r="N171" s="751">
        <v>131176</v>
      </c>
      <c r="O171" s="751">
        <v>131176</v>
      </c>
      <c r="P171" s="751">
        <v>0</v>
      </c>
      <c r="Q171" s="751">
        <v>0</v>
      </c>
      <c r="R171" s="751">
        <v>35635610</v>
      </c>
      <c r="S171" s="749">
        <v>0.5</v>
      </c>
      <c r="T171" s="749">
        <v>0.49</v>
      </c>
      <c r="U171" s="749">
        <v>0</v>
      </c>
      <c r="V171" s="749">
        <v>0.01</v>
      </c>
      <c r="W171" s="749">
        <v>1</v>
      </c>
      <c r="X171" s="751">
        <v>17817805</v>
      </c>
      <c r="Y171" s="751">
        <v>17461449</v>
      </c>
      <c r="Z171" s="751">
        <v>0</v>
      </c>
      <c r="AA171" s="751">
        <v>356356</v>
      </c>
      <c r="AB171" s="751">
        <v>35635610</v>
      </c>
      <c r="AC171" s="751">
        <v>162609</v>
      </c>
      <c r="AD171" s="751">
        <v>162609</v>
      </c>
      <c r="AE171" s="751">
        <v>17655196</v>
      </c>
      <c r="AF171" s="751">
        <v>17461449</v>
      </c>
      <c r="AG171" s="751">
        <v>0</v>
      </c>
      <c r="AH171" s="751">
        <v>356356</v>
      </c>
      <c r="AI171" s="751">
        <v>35473001</v>
      </c>
      <c r="AJ171" s="751">
        <v>170141</v>
      </c>
      <c r="AK171" s="751">
        <v>170141</v>
      </c>
      <c r="AL171" s="751">
        <v>207600</v>
      </c>
      <c r="AM171" s="751">
        <v>207600</v>
      </c>
      <c r="AN171" s="751">
        <v>131176</v>
      </c>
      <c r="AO171" s="751">
        <v>0</v>
      </c>
      <c r="AP171" s="751">
        <v>131176</v>
      </c>
      <c r="AQ171" s="751">
        <v>0</v>
      </c>
      <c r="AR171" s="751">
        <v>0</v>
      </c>
      <c r="AS171" s="751">
        <v>0</v>
      </c>
      <c r="AT171" s="751">
        <v>0</v>
      </c>
      <c r="AU171" s="751">
        <v>162609</v>
      </c>
      <c r="AV171" s="751">
        <v>0</v>
      </c>
      <c r="AW171" s="751">
        <v>0</v>
      </c>
      <c r="AX171" s="751">
        <v>162609</v>
      </c>
      <c r="AY171" s="751">
        <v>0</v>
      </c>
      <c r="AZ171" s="751">
        <v>0</v>
      </c>
      <c r="BA171" s="751">
        <v>0</v>
      </c>
      <c r="BB171" s="751">
        <v>0</v>
      </c>
      <c r="BC171" s="751">
        <v>-10139041</v>
      </c>
      <c r="BD171" s="751">
        <v>-9936260</v>
      </c>
      <c r="BE171" s="751">
        <v>0</v>
      </c>
      <c r="BF171" s="751">
        <v>-202781</v>
      </c>
      <c r="BG171" s="751">
        <v>-20278082</v>
      </c>
      <c r="BH171" s="751">
        <v>7516155</v>
      </c>
      <c r="BI171" s="751">
        <v>8196715</v>
      </c>
      <c r="BJ171" s="751">
        <v>0</v>
      </c>
      <c r="BK171" s="751">
        <v>153575</v>
      </c>
      <c r="BL171" s="751">
        <v>15866445</v>
      </c>
      <c r="BM171" s="751">
        <v>935939</v>
      </c>
      <c r="BN171" s="751">
        <v>0</v>
      </c>
      <c r="BO171" s="751">
        <v>18568</v>
      </c>
      <c r="BP171" s="751">
        <v>954507</v>
      </c>
      <c r="BQ171" s="751">
        <v>1679711</v>
      </c>
      <c r="BR171" s="751">
        <v>0</v>
      </c>
      <c r="BS171" s="751">
        <v>29023</v>
      </c>
      <c r="BT171" s="751">
        <v>1708734</v>
      </c>
      <c r="BU171" s="751">
        <v>106635</v>
      </c>
      <c r="BV171" s="751">
        <v>0</v>
      </c>
      <c r="BW171" s="751">
        <v>1842</v>
      </c>
      <c r="BX171" s="751">
        <v>108477</v>
      </c>
      <c r="BY171" s="751">
        <v>603</v>
      </c>
      <c r="BZ171" s="751">
        <v>0</v>
      </c>
      <c r="CA171" s="751">
        <v>12</v>
      </c>
      <c r="CB171" s="751">
        <v>615</v>
      </c>
      <c r="CC171" s="751">
        <v>0</v>
      </c>
      <c r="CD171" s="751">
        <v>0</v>
      </c>
      <c r="CE171" s="751">
        <v>0</v>
      </c>
      <c r="CF171" s="751">
        <v>0</v>
      </c>
      <c r="CG171" s="751">
        <v>6088</v>
      </c>
      <c r="CH171" s="751">
        <v>0</v>
      </c>
      <c r="CI171" s="751">
        <v>124</v>
      </c>
      <c r="CJ171" s="751">
        <v>6212</v>
      </c>
      <c r="CK171" s="751">
        <v>0</v>
      </c>
      <c r="CL171" s="751">
        <v>0</v>
      </c>
      <c r="CM171" s="751">
        <v>0</v>
      </c>
      <c r="CN171" s="751">
        <v>0</v>
      </c>
      <c r="CO171" s="751">
        <v>0</v>
      </c>
      <c r="CP171" s="751">
        <v>0</v>
      </c>
      <c r="CQ171" s="751">
        <v>0</v>
      </c>
      <c r="CR171" s="751">
        <v>0</v>
      </c>
      <c r="CS171" s="751">
        <v>0</v>
      </c>
      <c r="CT171" s="751">
        <v>0</v>
      </c>
      <c r="CU171" s="751">
        <v>0</v>
      </c>
      <c r="CV171" s="751">
        <v>0</v>
      </c>
      <c r="CW171" s="751">
        <v>2728976</v>
      </c>
      <c r="CX171" s="751">
        <v>0</v>
      </c>
      <c r="CY171" s="751">
        <v>49569</v>
      </c>
      <c r="CZ171" s="751">
        <v>2778545</v>
      </c>
      <c r="DA171" s="662" t="s">
        <v>510</v>
      </c>
      <c r="DB171" s="324" t="s">
        <v>486</v>
      </c>
      <c r="DC171" s="663" t="s">
        <v>509</v>
      </c>
      <c r="DD171" s="529" t="s">
        <v>1378</v>
      </c>
    </row>
    <row r="172" spans="1:108" ht="12.75" x14ac:dyDescent="0.2">
      <c r="A172" s="664">
        <v>165</v>
      </c>
      <c r="B172" s="665" t="s">
        <v>210</v>
      </c>
      <c r="C172" s="666" t="s">
        <v>486</v>
      </c>
      <c r="D172" s="667" t="s">
        <v>1202</v>
      </c>
      <c r="E172" s="668" t="s">
        <v>499</v>
      </c>
      <c r="F172" s="750">
        <v>156802258</v>
      </c>
      <c r="G172" s="751">
        <v>372000</v>
      </c>
      <c r="H172" s="751">
        <v>0</v>
      </c>
      <c r="I172" s="751">
        <v>395549</v>
      </c>
      <c r="J172" s="751">
        <v>0</v>
      </c>
      <c r="K172" s="751">
        <v>395549</v>
      </c>
      <c r="L172" s="751">
        <v>0</v>
      </c>
      <c r="M172" s="751">
        <v>0</v>
      </c>
      <c r="N172" s="751">
        <v>289000</v>
      </c>
      <c r="O172" s="751">
        <v>289000</v>
      </c>
      <c r="P172" s="751">
        <v>0</v>
      </c>
      <c r="Q172" s="751">
        <v>0</v>
      </c>
      <c r="R172" s="751">
        <v>156489709</v>
      </c>
      <c r="S172" s="749">
        <v>0.5</v>
      </c>
      <c r="T172" s="749">
        <v>0.49</v>
      </c>
      <c r="U172" s="749">
        <v>0</v>
      </c>
      <c r="V172" s="749">
        <v>0.01</v>
      </c>
      <c r="W172" s="749">
        <v>1</v>
      </c>
      <c r="X172" s="751">
        <v>78244855</v>
      </c>
      <c r="Y172" s="751">
        <v>76679957</v>
      </c>
      <c r="Z172" s="751">
        <v>0</v>
      </c>
      <c r="AA172" s="751">
        <v>1564897</v>
      </c>
      <c r="AB172" s="751">
        <v>156489709</v>
      </c>
      <c r="AC172" s="751">
        <v>0</v>
      </c>
      <c r="AD172" s="751">
        <v>0</v>
      </c>
      <c r="AE172" s="751">
        <v>78244855</v>
      </c>
      <c r="AF172" s="751">
        <v>76679957</v>
      </c>
      <c r="AG172" s="751">
        <v>0</v>
      </c>
      <c r="AH172" s="751">
        <v>1564897</v>
      </c>
      <c r="AI172" s="751">
        <v>156489709</v>
      </c>
      <c r="AJ172" s="751">
        <v>395549</v>
      </c>
      <c r="AK172" s="751">
        <v>395549</v>
      </c>
      <c r="AL172" s="751">
        <v>0</v>
      </c>
      <c r="AM172" s="751">
        <v>0</v>
      </c>
      <c r="AN172" s="751">
        <v>289000</v>
      </c>
      <c r="AO172" s="751">
        <v>0</v>
      </c>
      <c r="AP172" s="751">
        <v>289000</v>
      </c>
      <c r="AQ172" s="751">
        <v>0</v>
      </c>
      <c r="AR172" s="751">
        <v>0</v>
      </c>
      <c r="AS172" s="751">
        <v>0</v>
      </c>
      <c r="AT172" s="751">
        <v>0</v>
      </c>
      <c r="AU172" s="751">
        <v>0</v>
      </c>
      <c r="AV172" s="751">
        <v>0</v>
      </c>
      <c r="AW172" s="751">
        <v>0</v>
      </c>
      <c r="AX172" s="751">
        <v>0</v>
      </c>
      <c r="AY172" s="751">
        <v>0</v>
      </c>
      <c r="AZ172" s="751">
        <v>0</v>
      </c>
      <c r="BA172" s="751">
        <v>0</v>
      </c>
      <c r="BB172" s="751">
        <v>0</v>
      </c>
      <c r="BC172" s="751">
        <v>-39718455</v>
      </c>
      <c r="BD172" s="751">
        <v>-38924086</v>
      </c>
      <c r="BE172" s="751">
        <v>0</v>
      </c>
      <c r="BF172" s="751">
        <v>-794369</v>
      </c>
      <c r="BG172" s="751">
        <v>-79436910</v>
      </c>
      <c r="BH172" s="751">
        <v>38526400</v>
      </c>
      <c r="BI172" s="751">
        <v>38440420</v>
      </c>
      <c r="BJ172" s="751">
        <v>0</v>
      </c>
      <c r="BK172" s="751">
        <v>770528</v>
      </c>
      <c r="BL172" s="751">
        <v>77737348</v>
      </c>
      <c r="BM172" s="751">
        <v>4010407</v>
      </c>
      <c r="BN172" s="751">
        <v>0</v>
      </c>
      <c r="BO172" s="751">
        <v>81538</v>
      </c>
      <c r="BP172" s="751">
        <v>4091945</v>
      </c>
      <c r="BQ172" s="751">
        <v>2920759</v>
      </c>
      <c r="BR172" s="751">
        <v>0</v>
      </c>
      <c r="BS172" s="751">
        <v>59607</v>
      </c>
      <c r="BT172" s="751">
        <v>2980366</v>
      </c>
      <c r="BU172" s="751">
        <v>227088</v>
      </c>
      <c r="BV172" s="751">
        <v>0</v>
      </c>
      <c r="BW172" s="751">
        <v>4634</v>
      </c>
      <c r="BX172" s="751">
        <v>231722</v>
      </c>
      <c r="BY172" s="751">
        <v>42789</v>
      </c>
      <c r="BZ172" s="751">
        <v>0</v>
      </c>
      <c r="CA172" s="751">
        <v>873</v>
      </c>
      <c r="CB172" s="751">
        <v>43662</v>
      </c>
      <c r="CC172" s="751">
        <v>7733</v>
      </c>
      <c r="CD172" s="751">
        <v>0</v>
      </c>
      <c r="CE172" s="751">
        <v>158</v>
      </c>
      <c r="CF172" s="751">
        <v>7891</v>
      </c>
      <c r="CG172" s="751">
        <v>0</v>
      </c>
      <c r="CH172" s="751">
        <v>0</v>
      </c>
      <c r="CI172" s="751">
        <v>0</v>
      </c>
      <c r="CJ172" s="751">
        <v>0</v>
      </c>
      <c r="CK172" s="751">
        <v>0</v>
      </c>
      <c r="CL172" s="751">
        <v>0</v>
      </c>
      <c r="CM172" s="751">
        <v>0</v>
      </c>
      <c r="CN172" s="751">
        <v>0</v>
      </c>
      <c r="CO172" s="751">
        <v>0</v>
      </c>
      <c r="CP172" s="751">
        <v>0</v>
      </c>
      <c r="CQ172" s="751">
        <v>0</v>
      </c>
      <c r="CR172" s="751">
        <v>0</v>
      </c>
      <c r="CS172" s="751">
        <v>0</v>
      </c>
      <c r="CT172" s="751">
        <v>0</v>
      </c>
      <c r="CU172" s="751">
        <v>0</v>
      </c>
      <c r="CV172" s="751">
        <v>0</v>
      </c>
      <c r="CW172" s="751">
        <v>7208776</v>
      </c>
      <c r="CX172" s="751">
        <v>0</v>
      </c>
      <c r="CY172" s="751">
        <v>146810</v>
      </c>
      <c r="CZ172" s="751">
        <v>7355586</v>
      </c>
      <c r="DA172" s="662" t="s">
        <v>499</v>
      </c>
      <c r="DB172" s="324" t="s">
        <v>486</v>
      </c>
      <c r="DC172" s="663" t="s">
        <v>500</v>
      </c>
      <c r="DD172" s="529" t="s">
        <v>1379</v>
      </c>
    </row>
    <row r="173" spans="1:108" ht="14.25" x14ac:dyDescent="0.2">
      <c r="A173" s="664">
        <v>166</v>
      </c>
      <c r="B173" s="665" t="s">
        <v>212</v>
      </c>
      <c r="C173" s="666" t="s">
        <v>1201</v>
      </c>
      <c r="D173" s="667" t="s">
        <v>1202</v>
      </c>
      <c r="E173" s="668" t="s">
        <v>1865</v>
      </c>
      <c r="F173" s="750">
        <v>45284514</v>
      </c>
      <c r="G173" s="751">
        <v>210574</v>
      </c>
      <c r="H173" s="751">
        <v>0</v>
      </c>
      <c r="I173" s="751">
        <v>148133</v>
      </c>
      <c r="J173" s="751">
        <v>0</v>
      </c>
      <c r="K173" s="751">
        <v>148133</v>
      </c>
      <c r="L173" s="751">
        <v>0</v>
      </c>
      <c r="M173" s="751">
        <v>0</v>
      </c>
      <c r="N173" s="751">
        <v>0</v>
      </c>
      <c r="O173" s="751">
        <v>0</v>
      </c>
      <c r="P173" s="751">
        <v>0</v>
      </c>
      <c r="Q173" s="751">
        <v>0</v>
      </c>
      <c r="R173" s="751">
        <v>45346955</v>
      </c>
      <c r="S173" s="749">
        <v>0.5</v>
      </c>
      <c r="T173" s="749">
        <v>0.4</v>
      </c>
      <c r="U173" s="749">
        <v>0.1</v>
      </c>
      <c r="V173" s="749">
        <v>0</v>
      </c>
      <c r="W173" s="749">
        <v>1</v>
      </c>
      <c r="X173" s="751">
        <v>22673477</v>
      </c>
      <c r="Y173" s="751">
        <v>18138782</v>
      </c>
      <c r="Z173" s="751">
        <v>4534696</v>
      </c>
      <c r="AA173" s="751">
        <v>0</v>
      </c>
      <c r="AB173" s="751">
        <v>45346955</v>
      </c>
      <c r="AC173" s="751">
        <v>0</v>
      </c>
      <c r="AD173" s="751">
        <v>0</v>
      </c>
      <c r="AE173" s="751">
        <v>22673477</v>
      </c>
      <c r="AF173" s="751">
        <v>18138782</v>
      </c>
      <c r="AG173" s="751">
        <v>4534696</v>
      </c>
      <c r="AH173" s="751">
        <v>0</v>
      </c>
      <c r="AI173" s="751">
        <v>45346955</v>
      </c>
      <c r="AJ173" s="751">
        <v>148133</v>
      </c>
      <c r="AK173" s="751">
        <v>148133</v>
      </c>
      <c r="AL173" s="751">
        <v>0</v>
      </c>
      <c r="AM173" s="751">
        <v>0</v>
      </c>
      <c r="AN173" s="751">
        <v>0</v>
      </c>
      <c r="AO173" s="751">
        <v>0</v>
      </c>
      <c r="AP173" s="751">
        <v>0</v>
      </c>
      <c r="AQ173" s="751">
        <v>0</v>
      </c>
      <c r="AR173" s="751">
        <v>0</v>
      </c>
      <c r="AS173" s="751">
        <v>0</v>
      </c>
      <c r="AT173" s="751">
        <v>0</v>
      </c>
      <c r="AU173" s="751">
        <v>0</v>
      </c>
      <c r="AV173" s="751">
        <v>0</v>
      </c>
      <c r="AW173" s="751">
        <v>0</v>
      </c>
      <c r="AX173" s="751">
        <v>0</v>
      </c>
      <c r="AY173" s="751">
        <v>0</v>
      </c>
      <c r="AZ173" s="751">
        <v>0</v>
      </c>
      <c r="BA173" s="751">
        <v>0</v>
      </c>
      <c r="BB173" s="751">
        <v>0</v>
      </c>
      <c r="BC173" s="751">
        <v>-7024835</v>
      </c>
      <c r="BD173" s="751">
        <v>-5619868</v>
      </c>
      <c r="BE173" s="751">
        <v>-1404967</v>
      </c>
      <c r="BF173" s="751">
        <v>0</v>
      </c>
      <c r="BG173" s="751">
        <v>-14049671</v>
      </c>
      <c r="BH173" s="751">
        <v>15648642</v>
      </c>
      <c r="BI173" s="751">
        <v>12667047</v>
      </c>
      <c r="BJ173" s="751">
        <v>3129729</v>
      </c>
      <c r="BK173" s="751">
        <v>0</v>
      </c>
      <c r="BL173" s="751">
        <v>31445417</v>
      </c>
      <c r="BM173" s="751">
        <v>945107</v>
      </c>
      <c r="BN173" s="751">
        <v>236277</v>
      </c>
      <c r="BO173" s="751">
        <v>0</v>
      </c>
      <c r="BP173" s="751">
        <v>1181384</v>
      </c>
      <c r="BQ173" s="751">
        <v>1001598</v>
      </c>
      <c r="BR173" s="751">
        <v>250399</v>
      </c>
      <c r="BS173" s="751">
        <v>0</v>
      </c>
      <c r="BT173" s="751">
        <v>1251997</v>
      </c>
      <c r="BU173" s="751">
        <v>72311</v>
      </c>
      <c r="BV173" s="751">
        <v>18078</v>
      </c>
      <c r="BW173" s="751">
        <v>0</v>
      </c>
      <c r="BX173" s="751">
        <v>90389</v>
      </c>
      <c r="BY173" s="751">
        <v>7634</v>
      </c>
      <c r="BZ173" s="751">
        <v>1908</v>
      </c>
      <c r="CA173" s="751">
        <v>0</v>
      </c>
      <c r="CB173" s="751">
        <v>9542</v>
      </c>
      <c r="CC173" s="751">
        <v>2014</v>
      </c>
      <c r="CD173" s="751">
        <v>504</v>
      </c>
      <c r="CE173" s="751">
        <v>0</v>
      </c>
      <c r="CF173" s="751">
        <v>2518</v>
      </c>
      <c r="CG173" s="751">
        <v>20417</v>
      </c>
      <c r="CH173" s="751">
        <v>5104</v>
      </c>
      <c r="CI173" s="751">
        <v>0</v>
      </c>
      <c r="CJ173" s="751">
        <v>25521</v>
      </c>
      <c r="CK173" s="751">
        <v>0</v>
      </c>
      <c r="CL173" s="751">
        <v>0</v>
      </c>
      <c r="CM173" s="751">
        <v>0</v>
      </c>
      <c r="CN173" s="751">
        <v>0</v>
      </c>
      <c r="CO173" s="751">
        <v>0</v>
      </c>
      <c r="CP173" s="751">
        <v>0</v>
      </c>
      <c r="CQ173" s="751">
        <v>0</v>
      </c>
      <c r="CR173" s="751">
        <v>0</v>
      </c>
      <c r="CS173" s="751">
        <v>0</v>
      </c>
      <c r="CT173" s="751">
        <v>0</v>
      </c>
      <c r="CU173" s="751">
        <v>0</v>
      </c>
      <c r="CV173" s="751">
        <v>0</v>
      </c>
      <c r="CW173" s="751">
        <v>2049081</v>
      </c>
      <c r="CX173" s="751">
        <v>512270</v>
      </c>
      <c r="CY173" s="751">
        <v>0</v>
      </c>
      <c r="CZ173" s="751">
        <v>2561351</v>
      </c>
      <c r="DA173" s="662" t="s">
        <v>211</v>
      </c>
      <c r="DB173" s="324" t="s">
        <v>566</v>
      </c>
      <c r="DC173" s="663" t="s">
        <v>512</v>
      </c>
      <c r="DD173" s="529" t="s">
        <v>1380</v>
      </c>
    </row>
    <row r="174" spans="1:108" ht="12.75" x14ac:dyDescent="0.2">
      <c r="A174" s="664">
        <v>167</v>
      </c>
      <c r="B174" s="665" t="s">
        <v>214</v>
      </c>
      <c r="C174" s="666" t="s">
        <v>1201</v>
      </c>
      <c r="D174" s="667" t="s">
        <v>1202</v>
      </c>
      <c r="E174" s="668" t="s">
        <v>213</v>
      </c>
      <c r="F174" s="750">
        <v>69700789</v>
      </c>
      <c r="G174" s="751">
        <v>0</v>
      </c>
      <c r="H174" s="751">
        <v>28816</v>
      </c>
      <c r="I174" s="751">
        <v>276441</v>
      </c>
      <c r="J174" s="751">
        <v>0</v>
      </c>
      <c r="K174" s="751">
        <v>276441</v>
      </c>
      <c r="L174" s="751">
        <v>0</v>
      </c>
      <c r="M174" s="751">
        <v>0</v>
      </c>
      <c r="N174" s="751">
        <v>10891</v>
      </c>
      <c r="O174" s="751">
        <v>10891</v>
      </c>
      <c r="P174" s="751">
        <v>0</v>
      </c>
      <c r="Q174" s="751">
        <v>0</v>
      </c>
      <c r="R174" s="751">
        <v>69384641</v>
      </c>
      <c r="S174" s="749">
        <v>0.5</v>
      </c>
      <c r="T174" s="749">
        <v>0.4</v>
      </c>
      <c r="U174" s="749">
        <v>0.09</v>
      </c>
      <c r="V174" s="749">
        <v>0.01</v>
      </c>
      <c r="W174" s="749">
        <v>1</v>
      </c>
      <c r="X174" s="751">
        <v>34692321</v>
      </c>
      <c r="Y174" s="751">
        <v>27753856</v>
      </c>
      <c r="Z174" s="751">
        <v>6244618</v>
      </c>
      <c r="AA174" s="751">
        <v>693846</v>
      </c>
      <c r="AB174" s="751">
        <v>69384641</v>
      </c>
      <c r="AC174" s="751">
        <v>0</v>
      </c>
      <c r="AD174" s="751">
        <v>0</v>
      </c>
      <c r="AE174" s="751">
        <v>34692321</v>
      </c>
      <c r="AF174" s="751">
        <v>27753856</v>
      </c>
      <c r="AG174" s="751">
        <v>6244618</v>
      </c>
      <c r="AH174" s="751">
        <v>693846</v>
      </c>
      <c r="AI174" s="751">
        <v>69384641</v>
      </c>
      <c r="AJ174" s="751">
        <v>276441</v>
      </c>
      <c r="AK174" s="751">
        <v>276441</v>
      </c>
      <c r="AL174" s="751">
        <v>0</v>
      </c>
      <c r="AM174" s="751">
        <v>0</v>
      </c>
      <c r="AN174" s="751">
        <v>10891</v>
      </c>
      <c r="AO174" s="751">
        <v>0</v>
      </c>
      <c r="AP174" s="751">
        <v>10891</v>
      </c>
      <c r="AQ174" s="751">
        <v>0</v>
      </c>
      <c r="AR174" s="751">
        <v>0</v>
      </c>
      <c r="AS174" s="751">
        <v>0</v>
      </c>
      <c r="AT174" s="751">
        <v>0</v>
      </c>
      <c r="AU174" s="751">
        <v>0</v>
      </c>
      <c r="AV174" s="751">
        <v>0</v>
      </c>
      <c r="AW174" s="751">
        <v>0</v>
      </c>
      <c r="AX174" s="751">
        <v>0</v>
      </c>
      <c r="AY174" s="751">
        <v>0</v>
      </c>
      <c r="AZ174" s="751">
        <v>0</v>
      </c>
      <c r="BA174" s="751">
        <v>0</v>
      </c>
      <c r="BB174" s="751">
        <v>0</v>
      </c>
      <c r="BC174" s="751">
        <v>-14118410</v>
      </c>
      <c r="BD174" s="751">
        <v>-11294728</v>
      </c>
      <c r="BE174" s="751">
        <v>-2541314</v>
      </c>
      <c r="BF174" s="751">
        <v>-282368</v>
      </c>
      <c r="BG174" s="751">
        <v>-28236820</v>
      </c>
      <c r="BH174" s="751">
        <v>20573911</v>
      </c>
      <c r="BI174" s="751">
        <v>16746460</v>
      </c>
      <c r="BJ174" s="751">
        <v>3703304</v>
      </c>
      <c r="BK174" s="751">
        <v>411478</v>
      </c>
      <c r="BL174" s="751">
        <v>41435153</v>
      </c>
      <c r="BM174" s="751">
        <v>1446660</v>
      </c>
      <c r="BN174" s="751">
        <v>325371</v>
      </c>
      <c r="BO174" s="751">
        <v>36152</v>
      </c>
      <c r="BP174" s="751">
        <v>1808183</v>
      </c>
      <c r="BQ174" s="751">
        <v>2515196</v>
      </c>
      <c r="BR174" s="751">
        <v>565919</v>
      </c>
      <c r="BS174" s="751">
        <v>62880</v>
      </c>
      <c r="BT174" s="751">
        <v>3143995</v>
      </c>
      <c r="BU174" s="751">
        <v>143222</v>
      </c>
      <c r="BV174" s="751">
        <v>32225</v>
      </c>
      <c r="BW174" s="751">
        <v>3581</v>
      </c>
      <c r="BX174" s="751">
        <v>179028</v>
      </c>
      <c r="BY174" s="751">
        <v>6313</v>
      </c>
      <c r="BZ174" s="751">
        <v>1420</v>
      </c>
      <c r="CA174" s="751">
        <v>158</v>
      </c>
      <c r="CB174" s="751">
        <v>7891</v>
      </c>
      <c r="CC174" s="751">
        <v>5043</v>
      </c>
      <c r="CD174" s="751">
        <v>1134</v>
      </c>
      <c r="CE174" s="751">
        <v>126</v>
      </c>
      <c r="CF174" s="751">
        <v>6303</v>
      </c>
      <c r="CG174" s="751">
        <v>6114</v>
      </c>
      <c r="CH174" s="751">
        <v>1376</v>
      </c>
      <c r="CI174" s="751">
        <v>153</v>
      </c>
      <c r="CJ174" s="751">
        <v>7643</v>
      </c>
      <c r="CK174" s="751">
        <v>0</v>
      </c>
      <c r="CL174" s="751">
        <v>0</v>
      </c>
      <c r="CM174" s="751">
        <v>0</v>
      </c>
      <c r="CN174" s="751">
        <v>0</v>
      </c>
      <c r="CO174" s="751">
        <v>0</v>
      </c>
      <c r="CP174" s="751">
        <v>0</v>
      </c>
      <c r="CQ174" s="751">
        <v>0</v>
      </c>
      <c r="CR174" s="751">
        <v>0</v>
      </c>
      <c r="CS174" s="751">
        <v>0</v>
      </c>
      <c r="CT174" s="751">
        <v>0</v>
      </c>
      <c r="CU174" s="751">
        <v>0</v>
      </c>
      <c r="CV174" s="751">
        <v>0</v>
      </c>
      <c r="CW174" s="751">
        <v>4122548</v>
      </c>
      <c r="CX174" s="751">
        <v>927445</v>
      </c>
      <c r="CY174" s="751">
        <v>103050</v>
      </c>
      <c r="CZ174" s="751">
        <v>5153043</v>
      </c>
      <c r="DA174" s="662" t="s">
        <v>213</v>
      </c>
      <c r="DB174" s="324" t="s">
        <v>532</v>
      </c>
      <c r="DC174" s="663" t="s">
        <v>1914</v>
      </c>
      <c r="DD174" s="529" t="s">
        <v>1381</v>
      </c>
    </row>
    <row r="175" spans="1:108" ht="12.75" x14ac:dyDescent="0.2">
      <c r="A175" s="664">
        <v>168</v>
      </c>
      <c r="B175" s="665" t="s">
        <v>216</v>
      </c>
      <c r="C175" s="666" t="s">
        <v>1201</v>
      </c>
      <c r="D175" s="667" t="s">
        <v>1206</v>
      </c>
      <c r="E175" s="668" t="s">
        <v>215</v>
      </c>
      <c r="F175" s="750">
        <v>44234345</v>
      </c>
      <c r="G175" s="751">
        <v>298252</v>
      </c>
      <c r="H175" s="751">
        <v>0</v>
      </c>
      <c r="I175" s="751">
        <v>164090</v>
      </c>
      <c r="J175" s="751">
        <v>0</v>
      </c>
      <c r="K175" s="751">
        <v>164090</v>
      </c>
      <c r="L175" s="751">
        <v>0</v>
      </c>
      <c r="M175" s="751">
        <v>0</v>
      </c>
      <c r="N175" s="751">
        <v>801659</v>
      </c>
      <c r="O175" s="751">
        <v>690382</v>
      </c>
      <c r="P175" s="751">
        <v>111277</v>
      </c>
      <c r="Q175" s="751">
        <v>0</v>
      </c>
      <c r="R175" s="751">
        <v>43566848</v>
      </c>
      <c r="S175" s="749">
        <v>0.5</v>
      </c>
      <c r="T175" s="749">
        <v>0.4</v>
      </c>
      <c r="U175" s="749">
        <v>0.09</v>
      </c>
      <c r="V175" s="749">
        <v>0.01</v>
      </c>
      <c r="W175" s="749">
        <v>1</v>
      </c>
      <c r="X175" s="751">
        <v>21783425</v>
      </c>
      <c r="Y175" s="751">
        <v>17426739</v>
      </c>
      <c r="Z175" s="751">
        <v>3921016</v>
      </c>
      <c r="AA175" s="751">
        <v>435668</v>
      </c>
      <c r="AB175" s="751">
        <v>43566848</v>
      </c>
      <c r="AC175" s="751">
        <v>0</v>
      </c>
      <c r="AD175" s="751">
        <v>0</v>
      </c>
      <c r="AE175" s="751">
        <v>21783425</v>
      </c>
      <c r="AF175" s="751">
        <v>17426739</v>
      </c>
      <c r="AG175" s="751">
        <v>3921016</v>
      </c>
      <c r="AH175" s="751">
        <v>435668</v>
      </c>
      <c r="AI175" s="751">
        <v>43566848</v>
      </c>
      <c r="AJ175" s="751">
        <v>164090</v>
      </c>
      <c r="AK175" s="751">
        <v>164090</v>
      </c>
      <c r="AL175" s="751">
        <v>0</v>
      </c>
      <c r="AM175" s="751">
        <v>0</v>
      </c>
      <c r="AN175" s="751">
        <v>690382</v>
      </c>
      <c r="AO175" s="751">
        <v>111277</v>
      </c>
      <c r="AP175" s="751">
        <v>801659</v>
      </c>
      <c r="AQ175" s="751">
        <v>0</v>
      </c>
      <c r="AR175" s="751">
        <v>0</v>
      </c>
      <c r="AS175" s="751">
        <v>0</v>
      </c>
      <c r="AT175" s="751">
        <v>0</v>
      </c>
      <c r="AU175" s="751">
        <v>0</v>
      </c>
      <c r="AV175" s="751">
        <v>0</v>
      </c>
      <c r="AW175" s="751">
        <v>0</v>
      </c>
      <c r="AX175" s="751">
        <v>0</v>
      </c>
      <c r="AY175" s="751">
        <v>0</v>
      </c>
      <c r="AZ175" s="751">
        <v>0</v>
      </c>
      <c r="BA175" s="751">
        <v>0</v>
      </c>
      <c r="BB175" s="751">
        <v>0</v>
      </c>
      <c r="BC175" s="751">
        <v>-7934010</v>
      </c>
      <c r="BD175" s="751">
        <v>-6347208</v>
      </c>
      <c r="BE175" s="751">
        <v>-1428122</v>
      </c>
      <c r="BF175" s="751">
        <v>-158680</v>
      </c>
      <c r="BG175" s="751">
        <v>-15868019</v>
      </c>
      <c r="BH175" s="751">
        <v>13849416</v>
      </c>
      <c r="BI175" s="751">
        <v>11934003</v>
      </c>
      <c r="BJ175" s="751">
        <v>2604171</v>
      </c>
      <c r="BK175" s="751">
        <v>276988</v>
      </c>
      <c r="BL175" s="751">
        <v>28664578</v>
      </c>
      <c r="BM175" s="751">
        <v>943978</v>
      </c>
      <c r="BN175" s="751">
        <v>210099</v>
      </c>
      <c r="BO175" s="751">
        <v>22700</v>
      </c>
      <c r="BP175" s="751">
        <v>1176777</v>
      </c>
      <c r="BQ175" s="751">
        <v>1439234</v>
      </c>
      <c r="BR175" s="751">
        <v>323828</v>
      </c>
      <c r="BS175" s="751">
        <v>35981</v>
      </c>
      <c r="BT175" s="751">
        <v>1799043</v>
      </c>
      <c r="BU175" s="751">
        <v>68282</v>
      </c>
      <c r="BV175" s="751">
        <v>15363</v>
      </c>
      <c r="BW175" s="751">
        <v>1707</v>
      </c>
      <c r="BX175" s="751">
        <v>85352</v>
      </c>
      <c r="BY175" s="751">
        <v>0</v>
      </c>
      <c r="BZ175" s="751">
        <v>0</v>
      </c>
      <c r="CA175" s="751">
        <v>0</v>
      </c>
      <c r="CB175" s="751">
        <v>0</v>
      </c>
      <c r="CC175" s="751">
        <v>7275</v>
      </c>
      <c r="CD175" s="751">
        <v>1637</v>
      </c>
      <c r="CE175" s="751">
        <v>182</v>
      </c>
      <c r="CF175" s="751">
        <v>9094</v>
      </c>
      <c r="CG175" s="751">
        <v>6005</v>
      </c>
      <c r="CH175" s="751">
        <v>1351</v>
      </c>
      <c r="CI175" s="751">
        <v>150</v>
      </c>
      <c r="CJ175" s="751">
        <v>7506</v>
      </c>
      <c r="CK175" s="751">
        <v>0</v>
      </c>
      <c r="CL175" s="751">
        <v>0</v>
      </c>
      <c r="CM175" s="751">
        <v>0</v>
      </c>
      <c r="CN175" s="751">
        <v>0</v>
      </c>
      <c r="CO175" s="751">
        <v>0</v>
      </c>
      <c r="CP175" s="751">
        <v>0</v>
      </c>
      <c r="CQ175" s="751">
        <v>0</v>
      </c>
      <c r="CR175" s="751">
        <v>0</v>
      </c>
      <c r="CS175" s="751">
        <v>631</v>
      </c>
      <c r="CT175" s="751">
        <v>142</v>
      </c>
      <c r="CU175" s="751">
        <v>16</v>
      </c>
      <c r="CV175" s="751">
        <v>789</v>
      </c>
      <c r="CW175" s="751">
        <v>2465405</v>
      </c>
      <c r="CX175" s="751">
        <v>552420</v>
      </c>
      <c r="CY175" s="751">
        <v>60736</v>
      </c>
      <c r="CZ175" s="751">
        <v>3078561</v>
      </c>
      <c r="DA175" s="662" t="s">
        <v>215</v>
      </c>
      <c r="DB175" s="324" t="s">
        <v>559</v>
      </c>
      <c r="DC175" s="663" t="s">
        <v>558</v>
      </c>
      <c r="DD175" s="529" t="s">
        <v>1382</v>
      </c>
    </row>
    <row r="176" spans="1:108" ht="12.75" x14ac:dyDescent="0.2">
      <c r="A176" s="664">
        <v>169</v>
      </c>
      <c r="B176" s="665" t="s">
        <v>217</v>
      </c>
      <c r="C176" s="666" t="s">
        <v>1217</v>
      </c>
      <c r="D176" s="667" t="s">
        <v>1283</v>
      </c>
      <c r="E176" s="668" t="s">
        <v>795</v>
      </c>
      <c r="F176" s="750">
        <v>130802169</v>
      </c>
      <c r="G176" s="751">
        <v>0</v>
      </c>
      <c r="H176" s="751">
        <v>1323675</v>
      </c>
      <c r="I176" s="751">
        <v>476993</v>
      </c>
      <c r="J176" s="751">
        <v>0</v>
      </c>
      <c r="K176" s="751">
        <v>476993</v>
      </c>
      <c r="L176" s="751">
        <v>0</v>
      </c>
      <c r="M176" s="751">
        <v>2333769</v>
      </c>
      <c r="N176" s="751">
        <v>0</v>
      </c>
      <c r="O176" s="751">
        <v>0</v>
      </c>
      <c r="P176" s="751">
        <v>0</v>
      </c>
      <c r="Q176" s="751">
        <v>0</v>
      </c>
      <c r="R176" s="751">
        <v>126667732</v>
      </c>
      <c r="S176" s="749">
        <v>0.5</v>
      </c>
      <c r="T176" s="749">
        <v>0.49</v>
      </c>
      <c r="U176" s="749">
        <v>0</v>
      </c>
      <c r="V176" s="749">
        <v>0.01</v>
      </c>
      <c r="W176" s="749">
        <v>1</v>
      </c>
      <c r="X176" s="751">
        <v>63333866</v>
      </c>
      <c r="Y176" s="751">
        <v>62067189</v>
      </c>
      <c r="Z176" s="751">
        <v>0</v>
      </c>
      <c r="AA176" s="751">
        <v>1266677</v>
      </c>
      <c r="AB176" s="751">
        <v>126667732</v>
      </c>
      <c r="AC176" s="751">
        <v>0</v>
      </c>
      <c r="AD176" s="751">
        <v>0</v>
      </c>
      <c r="AE176" s="751">
        <v>63333866</v>
      </c>
      <c r="AF176" s="751">
        <v>62067189</v>
      </c>
      <c r="AG176" s="751">
        <v>0</v>
      </c>
      <c r="AH176" s="751">
        <v>1266677</v>
      </c>
      <c r="AI176" s="751">
        <v>126667732</v>
      </c>
      <c r="AJ176" s="751">
        <v>476993</v>
      </c>
      <c r="AK176" s="751">
        <v>476993</v>
      </c>
      <c r="AL176" s="751">
        <v>2333769</v>
      </c>
      <c r="AM176" s="751">
        <v>2333769</v>
      </c>
      <c r="AN176" s="751">
        <v>0</v>
      </c>
      <c r="AO176" s="751">
        <v>0</v>
      </c>
      <c r="AP176" s="751">
        <v>0</v>
      </c>
      <c r="AQ176" s="751">
        <v>0</v>
      </c>
      <c r="AR176" s="751">
        <v>0</v>
      </c>
      <c r="AS176" s="751">
        <v>0</v>
      </c>
      <c r="AT176" s="751">
        <v>0</v>
      </c>
      <c r="AU176" s="751">
        <v>0</v>
      </c>
      <c r="AV176" s="751">
        <v>0</v>
      </c>
      <c r="AW176" s="751">
        <v>0</v>
      </c>
      <c r="AX176" s="751">
        <v>0</v>
      </c>
      <c r="AY176" s="751">
        <v>0</v>
      </c>
      <c r="AZ176" s="751">
        <v>0</v>
      </c>
      <c r="BA176" s="751">
        <v>0</v>
      </c>
      <c r="BB176" s="751">
        <v>0</v>
      </c>
      <c r="BC176" s="751">
        <v>-40819759</v>
      </c>
      <c r="BD176" s="751">
        <v>-40150794</v>
      </c>
      <c r="BE176" s="751">
        <v>0</v>
      </c>
      <c r="BF176" s="751">
        <v>-817884</v>
      </c>
      <c r="BG176" s="751">
        <v>-81788438</v>
      </c>
      <c r="BH176" s="751">
        <v>22514107</v>
      </c>
      <c r="BI176" s="751">
        <v>24727157</v>
      </c>
      <c r="BJ176" s="751">
        <v>0</v>
      </c>
      <c r="BK176" s="751">
        <v>448793</v>
      </c>
      <c r="BL176" s="751">
        <v>47690056</v>
      </c>
      <c r="BM176" s="751">
        <v>3355561</v>
      </c>
      <c r="BN176" s="751">
        <v>0</v>
      </c>
      <c r="BO176" s="751">
        <v>65999</v>
      </c>
      <c r="BP176" s="751">
        <v>3421560</v>
      </c>
      <c r="BQ176" s="751">
        <v>3779366</v>
      </c>
      <c r="BR176" s="751">
        <v>0</v>
      </c>
      <c r="BS176" s="751">
        <v>76014</v>
      </c>
      <c r="BT176" s="751">
        <v>3855380</v>
      </c>
      <c r="BU176" s="751">
        <v>231608</v>
      </c>
      <c r="BV176" s="751">
        <v>0</v>
      </c>
      <c r="BW176" s="751">
        <v>4366</v>
      </c>
      <c r="BX176" s="751">
        <v>235974</v>
      </c>
      <c r="BY176" s="751">
        <v>9024</v>
      </c>
      <c r="BZ176" s="751">
        <v>0</v>
      </c>
      <c r="CA176" s="751">
        <v>184</v>
      </c>
      <c r="CB176" s="751">
        <v>9208</v>
      </c>
      <c r="CC176" s="751">
        <v>0</v>
      </c>
      <c r="CD176" s="751">
        <v>0</v>
      </c>
      <c r="CE176" s="751">
        <v>0</v>
      </c>
      <c r="CF176" s="751">
        <v>0</v>
      </c>
      <c r="CG176" s="751">
        <v>13644</v>
      </c>
      <c r="CH176" s="751">
        <v>0</v>
      </c>
      <c r="CI176" s="751">
        <v>278</v>
      </c>
      <c r="CJ176" s="751">
        <v>13922</v>
      </c>
      <c r="CK176" s="751">
        <v>0</v>
      </c>
      <c r="CL176" s="751">
        <v>0</v>
      </c>
      <c r="CM176" s="751">
        <v>0</v>
      </c>
      <c r="CN176" s="751">
        <v>0</v>
      </c>
      <c r="CO176" s="751">
        <v>0</v>
      </c>
      <c r="CP176" s="751">
        <v>0</v>
      </c>
      <c r="CQ176" s="751">
        <v>0</v>
      </c>
      <c r="CR176" s="751">
        <v>0</v>
      </c>
      <c r="CS176" s="751">
        <v>0</v>
      </c>
      <c r="CT176" s="751">
        <v>0</v>
      </c>
      <c r="CU176" s="751">
        <v>0</v>
      </c>
      <c r="CV176" s="751">
        <v>0</v>
      </c>
      <c r="CW176" s="751">
        <v>7389203</v>
      </c>
      <c r="CX176" s="751">
        <v>0</v>
      </c>
      <c r="CY176" s="751">
        <v>146841</v>
      </c>
      <c r="CZ176" s="751">
        <v>7536044</v>
      </c>
      <c r="DA176" s="662" t="s">
        <v>795</v>
      </c>
      <c r="DB176" s="324" t="s">
        <v>570</v>
      </c>
      <c r="DC176" s="663" t="s">
        <v>573</v>
      </c>
      <c r="DD176" s="529" t="s">
        <v>1383</v>
      </c>
    </row>
    <row r="177" spans="1:108" ht="12.75" x14ac:dyDescent="0.2">
      <c r="A177" s="664">
        <v>170</v>
      </c>
      <c r="B177" s="665" t="s">
        <v>219</v>
      </c>
      <c r="C177" s="666" t="s">
        <v>1201</v>
      </c>
      <c r="D177" s="667" t="s">
        <v>1228</v>
      </c>
      <c r="E177" s="668" t="s">
        <v>218</v>
      </c>
      <c r="F177" s="750">
        <v>36778228</v>
      </c>
      <c r="G177" s="751">
        <v>0</v>
      </c>
      <c r="H177" s="751">
        <v>35421</v>
      </c>
      <c r="I177" s="751">
        <v>137138</v>
      </c>
      <c r="J177" s="751">
        <v>0</v>
      </c>
      <c r="K177" s="751">
        <v>137138</v>
      </c>
      <c r="L177" s="751">
        <v>0</v>
      </c>
      <c r="M177" s="751">
        <v>0</v>
      </c>
      <c r="N177" s="751">
        <v>0</v>
      </c>
      <c r="O177" s="751">
        <v>0</v>
      </c>
      <c r="P177" s="751">
        <v>0</v>
      </c>
      <c r="Q177" s="751">
        <v>0</v>
      </c>
      <c r="R177" s="751">
        <v>36605669</v>
      </c>
      <c r="S177" s="749">
        <v>0.5</v>
      </c>
      <c r="T177" s="749">
        <v>0.4</v>
      </c>
      <c r="U177" s="749">
        <v>0.09</v>
      </c>
      <c r="V177" s="749">
        <v>0.01</v>
      </c>
      <c r="W177" s="749">
        <v>1</v>
      </c>
      <c r="X177" s="751">
        <v>18302834</v>
      </c>
      <c r="Y177" s="751">
        <v>14642268</v>
      </c>
      <c r="Z177" s="751">
        <v>3294510</v>
      </c>
      <c r="AA177" s="751">
        <v>366057</v>
      </c>
      <c r="AB177" s="751">
        <v>36605669</v>
      </c>
      <c r="AC177" s="751">
        <v>0</v>
      </c>
      <c r="AD177" s="751">
        <v>0</v>
      </c>
      <c r="AE177" s="751">
        <v>18302834</v>
      </c>
      <c r="AF177" s="751">
        <v>14642268</v>
      </c>
      <c r="AG177" s="751">
        <v>3294510</v>
      </c>
      <c r="AH177" s="751">
        <v>366057</v>
      </c>
      <c r="AI177" s="751">
        <v>36605669</v>
      </c>
      <c r="AJ177" s="751">
        <v>137138</v>
      </c>
      <c r="AK177" s="751">
        <v>137138</v>
      </c>
      <c r="AL177" s="751">
        <v>0</v>
      </c>
      <c r="AM177" s="751">
        <v>0</v>
      </c>
      <c r="AN177" s="751">
        <v>0</v>
      </c>
      <c r="AO177" s="751">
        <v>0</v>
      </c>
      <c r="AP177" s="751">
        <v>0</v>
      </c>
      <c r="AQ177" s="751">
        <v>0</v>
      </c>
      <c r="AR177" s="751">
        <v>0</v>
      </c>
      <c r="AS177" s="751">
        <v>0</v>
      </c>
      <c r="AT177" s="751">
        <v>0</v>
      </c>
      <c r="AU177" s="751">
        <v>0</v>
      </c>
      <c r="AV177" s="751">
        <v>0</v>
      </c>
      <c r="AW177" s="751">
        <v>0</v>
      </c>
      <c r="AX177" s="751">
        <v>0</v>
      </c>
      <c r="AY177" s="751">
        <v>0</v>
      </c>
      <c r="AZ177" s="751">
        <v>0</v>
      </c>
      <c r="BA177" s="751">
        <v>0</v>
      </c>
      <c r="BB177" s="751">
        <v>0</v>
      </c>
      <c r="BC177" s="751">
        <v>-6870480</v>
      </c>
      <c r="BD177" s="751">
        <v>-5374776</v>
      </c>
      <c r="BE177" s="751">
        <v>-1057315</v>
      </c>
      <c r="BF177" s="751">
        <v>-134369</v>
      </c>
      <c r="BG177" s="751">
        <v>-13436940</v>
      </c>
      <c r="BH177" s="751">
        <v>11432354</v>
      </c>
      <c r="BI177" s="751">
        <v>9404630</v>
      </c>
      <c r="BJ177" s="751">
        <v>2237195</v>
      </c>
      <c r="BK177" s="751">
        <v>231688</v>
      </c>
      <c r="BL177" s="751">
        <v>23305867</v>
      </c>
      <c r="BM177" s="751">
        <v>762924</v>
      </c>
      <c r="BN177" s="751">
        <v>171658</v>
      </c>
      <c r="BO177" s="751">
        <v>19073</v>
      </c>
      <c r="BP177" s="751">
        <v>953655</v>
      </c>
      <c r="BQ177" s="751">
        <v>1057993</v>
      </c>
      <c r="BR177" s="751">
        <v>238048</v>
      </c>
      <c r="BS177" s="751">
        <v>26450</v>
      </c>
      <c r="BT177" s="751">
        <v>1322491</v>
      </c>
      <c r="BU177" s="751">
        <v>64913</v>
      </c>
      <c r="BV177" s="751">
        <v>14605</v>
      </c>
      <c r="BW177" s="751">
        <v>1623</v>
      </c>
      <c r="BX177" s="751">
        <v>81141</v>
      </c>
      <c r="BY177" s="751">
        <v>0</v>
      </c>
      <c r="BZ177" s="751">
        <v>0</v>
      </c>
      <c r="CA177" s="751">
        <v>0</v>
      </c>
      <c r="CB177" s="751">
        <v>0</v>
      </c>
      <c r="CC177" s="751">
        <v>10260</v>
      </c>
      <c r="CD177" s="751">
        <v>2308</v>
      </c>
      <c r="CE177" s="751">
        <v>256</v>
      </c>
      <c r="CF177" s="751">
        <v>12824</v>
      </c>
      <c r="CG177" s="751">
        <v>7626</v>
      </c>
      <c r="CH177" s="751">
        <v>1716</v>
      </c>
      <c r="CI177" s="751">
        <v>191</v>
      </c>
      <c r="CJ177" s="751">
        <v>9533</v>
      </c>
      <c r="CK177" s="751">
        <v>0</v>
      </c>
      <c r="CL177" s="751">
        <v>0</v>
      </c>
      <c r="CM177" s="751">
        <v>0</v>
      </c>
      <c r="CN177" s="751">
        <v>0</v>
      </c>
      <c r="CO177" s="751">
        <v>0</v>
      </c>
      <c r="CP177" s="751">
        <v>0</v>
      </c>
      <c r="CQ177" s="751">
        <v>0</v>
      </c>
      <c r="CR177" s="751">
        <v>0</v>
      </c>
      <c r="CS177" s="751">
        <v>0</v>
      </c>
      <c r="CT177" s="751">
        <v>0</v>
      </c>
      <c r="CU177" s="751">
        <v>0</v>
      </c>
      <c r="CV177" s="751">
        <v>0</v>
      </c>
      <c r="CW177" s="751">
        <v>1903716</v>
      </c>
      <c r="CX177" s="751">
        <v>428335</v>
      </c>
      <c r="CY177" s="751">
        <v>47593</v>
      </c>
      <c r="CZ177" s="751">
        <v>2379644</v>
      </c>
      <c r="DA177" s="662" t="s">
        <v>218</v>
      </c>
      <c r="DB177" s="324" t="s">
        <v>564</v>
      </c>
      <c r="DC177" s="663" t="s">
        <v>1917</v>
      </c>
      <c r="DD177" s="529" t="s">
        <v>1384</v>
      </c>
    </row>
    <row r="178" spans="1:108" ht="12.75" x14ac:dyDescent="0.2">
      <c r="A178" s="664">
        <v>171</v>
      </c>
      <c r="B178" s="665" t="s">
        <v>221</v>
      </c>
      <c r="C178" s="666" t="s">
        <v>1213</v>
      </c>
      <c r="D178" s="667" t="s">
        <v>1214</v>
      </c>
      <c r="E178" s="668" t="s">
        <v>220</v>
      </c>
      <c r="F178" s="750">
        <v>159770326</v>
      </c>
      <c r="G178" s="751">
        <v>0</v>
      </c>
      <c r="H178" s="751">
        <v>81529</v>
      </c>
      <c r="I178" s="751">
        <v>385607</v>
      </c>
      <c r="J178" s="751">
        <v>0</v>
      </c>
      <c r="K178" s="751">
        <v>385607</v>
      </c>
      <c r="L178" s="751">
        <v>0</v>
      </c>
      <c r="M178" s="751">
        <v>4155806</v>
      </c>
      <c r="N178" s="751">
        <v>0</v>
      </c>
      <c r="O178" s="751">
        <v>0</v>
      </c>
      <c r="P178" s="751">
        <v>0</v>
      </c>
      <c r="Q178" s="751">
        <v>0</v>
      </c>
      <c r="R178" s="751">
        <v>155147384</v>
      </c>
      <c r="S178" s="749">
        <v>0.33</v>
      </c>
      <c r="T178" s="749">
        <v>0.3</v>
      </c>
      <c r="U178" s="749">
        <v>0.37</v>
      </c>
      <c r="V178" s="749">
        <v>0</v>
      </c>
      <c r="W178" s="749">
        <v>1</v>
      </c>
      <c r="X178" s="751">
        <v>51198637</v>
      </c>
      <c r="Y178" s="751">
        <v>46544215</v>
      </c>
      <c r="Z178" s="751">
        <v>57404532</v>
      </c>
      <c r="AA178" s="751">
        <v>0</v>
      </c>
      <c r="AB178" s="751">
        <v>155147384</v>
      </c>
      <c r="AC178" s="751">
        <v>166422</v>
      </c>
      <c r="AD178" s="751">
        <v>166422</v>
      </c>
      <c r="AE178" s="751">
        <v>51032215</v>
      </c>
      <c r="AF178" s="751">
        <v>46544215</v>
      </c>
      <c r="AG178" s="751">
        <v>57404532</v>
      </c>
      <c r="AH178" s="751">
        <v>0</v>
      </c>
      <c r="AI178" s="751">
        <v>154980962</v>
      </c>
      <c r="AJ178" s="751">
        <v>385607</v>
      </c>
      <c r="AK178" s="751">
        <v>385607</v>
      </c>
      <c r="AL178" s="751">
        <v>4155806</v>
      </c>
      <c r="AM178" s="751">
        <v>4155806</v>
      </c>
      <c r="AN178" s="751">
        <v>0</v>
      </c>
      <c r="AO178" s="751">
        <v>0</v>
      </c>
      <c r="AP178" s="751">
        <v>0</v>
      </c>
      <c r="AQ178" s="751">
        <v>0</v>
      </c>
      <c r="AR178" s="751">
        <v>0</v>
      </c>
      <c r="AS178" s="751">
        <v>0</v>
      </c>
      <c r="AT178" s="751">
        <v>0</v>
      </c>
      <c r="AU178" s="751">
        <v>166422</v>
      </c>
      <c r="AV178" s="751">
        <v>0</v>
      </c>
      <c r="AW178" s="751">
        <v>0</v>
      </c>
      <c r="AX178" s="751">
        <v>166422</v>
      </c>
      <c r="AY178" s="751">
        <v>0</v>
      </c>
      <c r="AZ178" s="751">
        <v>0</v>
      </c>
      <c r="BA178" s="751">
        <v>0</v>
      </c>
      <c r="BB178" s="751">
        <v>0</v>
      </c>
      <c r="BC178" s="751">
        <v>-25131276</v>
      </c>
      <c r="BD178" s="751">
        <v>-22804470</v>
      </c>
      <c r="BE178" s="751">
        <v>-28179210</v>
      </c>
      <c r="BF178" s="751">
        <v>0</v>
      </c>
      <c r="BG178" s="751">
        <v>-76114956</v>
      </c>
      <c r="BH178" s="751">
        <v>25900939</v>
      </c>
      <c r="BI178" s="751">
        <v>28447580</v>
      </c>
      <c r="BJ178" s="751">
        <v>29225322</v>
      </c>
      <c r="BK178" s="751">
        <v>0</v>
      </c>
      <c r="BL178" s="751">
        <v>83573841</v>
      </c>
      <c r="BM178" s="751">
        <v>2650356</v>
      </c>
      <c r="BN178" s="751">
        <v>2991018</v>
      </c>
      <c r="BO178" s="751">
        <v>0</v>
      </c>
      <c r="BP178" s="751">
        <v>5641374</v>
      </c>
      <c r="BQ178" s="751">
        <v>2348598</v>
      </c>
      <c r="BR178" s="751">
        <v>2876286</v>
      </c>
      <c r="BS178" s="751">
        <v>0</v>
      </c>
      <c r="BT178" s="751">
        <v>5224884</v>
      </c>
      <c r="BU178" s="751">
        <v>96737</v>
      </c>
      <c r="BV178" s="751">
        <v>117102</v>
      </c>
      <c r="BW178" s="751">
        <v>0</v>
      </c>
      <c r="BX178" s="751">
        <v>213839</v>
      </c>
      <c r="BY178" s="751">
        <v>0</v>
      </c>
      <c r="BZ178" s="751">
        <v>0</v>
      </c>
      <c r="CA178" s="751">
        <v>0</v>
      </c>
      <c r="CB178" s="751">
        <v>0</v>
      </c>
      <c r="CC178" s="751">
        <v>0</v>
      </c>
      <c r="CD178" s="751">
        <v>0</v>
      </c>
      <c r="CE178" s="751">
        <v>0</v>
      </c>
      <c r="CF178" s="751">
        <v>0</v>
      </c>
      <c r="CG178" s="751">
        <v>11398</v>
      </c>
      <c r="CH178" s="751">
        <v>14057</v>
      </c>
      <c r="CI178" s="751">
        <v>0</v>
      </c>
      <c r="CJ178" s="751">
        <v>25455</v>
      </c>
      <c r="CK178" s="751">
        <v>0</v>
      </c>
      <c r="CL178" s="751">
        <v>0</v>
      </c>
      <c r="CM178" s="751">
        <v>0</v>
      </c>
      <c r="CN178" s="751">
        <v>0</v>
      </c>
      <c r="CO178" s="751">
        <v>0</v>
      </c>
      <c r="CP178" s="751">
        <v>0</v>
      </c>
      <c r="CQ178" s="751">
        <v>0</v>
      </c>
      <c r="CR178" s="751">
        <v>0</v>
      </c>
      <c r="CS178" s="751">
        <v>0</v>
      </c>
      <c r="CT178" s="751">
        <v>0</v>
      </c>
      <c r="CU178" s="751">
        <v>0</v>
      </c>
      <c r="CV178" s="751">
        <v>0</v>
      </c>
      <c r="CW178" s="751">
        <v>5107089</v>
      </c>
      <c r="CX178" s="751">
        <v>5998463</v>
      </c>
      <c r="CY178" s="751">
        <v>0</v>
      </c>
      <c r="CZ178" s="751">
        <v>11105552</v>
      </c>
      <c r="DA178" s="662" t="s">
        <v>220</v>
      </c>
      <c r="DB178" s="324" t="s">
        <v>576</v>
      </c>
      <c r="DC178" s="669" t="s">
        <v>485</v>
      </c>
      <c r="DD178" s="529" t="s">
        <v>1385</v>
      </c>
    </row>
    <row r="179" spans="1:108" ht="12.75" x14ac:dyDescent="0.2">
      <c r="A179" s="664">
        <v>172</v>
      </c>
      <c r="B179" s="665" t="s">
        <v>223</v>
      </c>
      <c r="C179" s="666" t="s">
        <v>1201</v>
      </c>
      <c r="D179" s="667" t="s">
        <v>1224</v>
      </c>
      <c r="E179" s="668" t="s">
        <v>222</v>
      </c>
      <c r="F179" s="750">
        <v>32769346</v>
      </c>
      <c r="G179" s="751">
        <v>0</v>
      </c>
      <c r="H179" s="751">
        <v>317666</v>
      </c>
      <c r="I179" s="751">
        <v>214882</v>
      </c>
      <c r="J179" s="751">
        <v>0</v>
      </c>
      <c r="K179" s="751">
        <v>214882</v>
      </c>
      <c r="L179" s="751">
        <v>0</v>
      </c>
      <c r="M179" s="751">
        <v>0</v>
      </c>
      <c r="N179" s="751">
        <v>378921</v>
      </c>
      <c r="O179" s="751">
        <v>378921</v>
      </c>
      <c r="P179" s="751">
        <v>0</v>
      </c>
      <c r="Q179" s="751">
        <v>0</v>
      </c>
      <c r="R179" s="751">
        <v>31857877</v>
      </c>
      <c r="S179" s="749">
        <v>0.5</v>
      </c>
      <c r="T179" s="749">
        <v>0.4</v>
      </c>
      <c r="U179" s="749">
        <v>0.09</v>
      </c>
      <c r="V179" s="749">
        <v>0.01</v>
      </c>
      <c r="W179" s="749">
        <v>1</v>
      </c>
      <c r="X179" s="751">
        <v>15928938</v>
      </c>
      <c r="Y179" s="751">
        <v>12743151</v>
      </c>
      <c r="Z179" s="751">
        <v>2867209</v>
      </c>
      <c r="AA179" s="751">
        <v>318579</v>
      </c>
      <c r="AB179" s="751">
        <v>31857877</v>
      </c>
      <c r="AC179" s="751">
        <v>0</v>
      </c>
      <c r="AD179" s="751">
        <v>0</v>
      </c>
      <c r="AE179" s="751">
        <v>15928938</v>
      </c>
      <c r="AF179" s="751">
        <v>12743151</v>
      </c>
      <c r="AG179" s="751">
        <v>2867209</v>
      </c>
      <c r="AH179" s="751">
        <v>318579</v>
      </c>
      <c r="AI179" s="751">
        <v>31857877</v>
      </c>
      <c r="AJ179" s="751">
        <v>214882</v>
      </c>
      <c r="AK179" s="751">
        <v>214882</v>
      </c>
      <c r="AL179" s="751">
        <v>0</v>
      </c>
      <c r="AM179" s="751">
        <v>0</v>
      </c>
      <c r="AN179" s="751">
        <v>378921</v>
      </c>
      <c r="AO179" s="751">
        <v>0</v>
      </c>
      <c r="AP179" s="751">
        <v>378921</v>
      </c>
      <c r="AQ179" s="751">
        <v>0</v>
      </c>
      <c r="AR179" s="751">
        <v>0</v>
      </c>
      <c r="AS179" s="751">
        <v>0</v>
      </c>
      <c r="AT179" s="751">
        <v>0</v>
      </c>
      <c r="AU179" s="751">
        <v>0</v>
      </c>
      <c r="AV179" s="751">
        <v>0</v>
      </c>
      <c r="AW179" s="751">
        <v>0</v>
      </c>
      <c r="AX179" s="751">
        <v>0</v>
      </c>
      <c r="AY179" s="751">
        <v>0</v>
      </c>
      <c r="AZ179" s="751">
        <v>0</v>
      </c>
      <c r="BA179" s="751">
        <v>0</v>
      </c>
      <c r="BB179" s="751">
        <v>0</v>
      </c>
      <c r="BC179" s="751">
        <v>-10193393</v>
      </c>
      <c r="BD179" s="751">
        <v>-8154714</v>
      </c>
      <c r="BE179" s="751">
        <v>-1834811</v>
      </c>
      <c r="BF179" s="751">
        <v>-203868</v>
      </c>
      <c r="BG179" s="751">
        <v>-20386786</v>
      </c>
      <c r="BH179" s="751">
        <v>5735545</v>
      </c>
      <c r="BI179" s="751">
        <v>5182240</v>
      </c>
      <c r="BJ179" s="751">
        <v>1032398</v>
      </c>
      <c r="BK179" s="751">
        <v>114711</v>
      </c>
      <c r="BL179" s="751">
        <v>12064894</v>
      </c>
      <c r="BM179" s="751">
        <v>683715</v>
      </c>
      <c r="BN179" s="751">
        <v>149394</v>
      </c>
      <c r="BO179" s="751">
        <v>16599</v>
      </c>
      <c r="BP179" s="751">
        <v>849708</v>
      </c>
      <c r="BQ179" s="751">
        <v>2343724</v>
      </c>
      <c r="BR179" s="751">
        <v>527338</v>
      </c>
      <c r="BS179" s="751">
        <v>58593</v>
      </c>
      <c r="BT179" s="751">
        <v>2929655</v>
      </c>
      <c r="BU179" s="751">
        <v>77233</v>
      </c>
      <c r="BV179" s="751">
        <v>17377</v>
      </c>
      <c r="BW179" s="751">
        <v>1931</v>
      </c>
      <c r="BX179" s="751">
        <v>96541</v>
      </c>
      <c r="BY179" s="751">
        <v>8673</v>
      </c>
      <c r="BZ179" s="751">
        <v>1952</v>
      </c>
      <c r="CA179" s="751">
        <v>217</v>
      </c>
      <c r="CB179" s="751">
        <v>10842</v>
      </c>
      <c r="CC179" s="751">
        <v>11903</v>
      </c>
      <c r="CD179" s="751">
        <v>2678</v>
      </c>
      <c r="CE179" s="751">
        <v>298</v>
      </c>
      <c r="CF179" s="751">
        <v>14879</v>
      </c>
      <c r="CG179" s="751">
        <v>15023</v>
      </c>
      <c r="CH179" s="751">
        <v>3380</v>
      </c>
      <c r="CI179" s="751">
        <v>376</v>
      </c>
      <c r="CJ179" s="751">
        <v>18779</v>
      </c>
      <c r="CK179" s="751">
        <v>0</v>
      </c>
      <c r="CL179" s="751">
        <v>0</v>
      </c>
      <c r="CM179" s="751">
        <v>0</v>
      </c>
      <c r="CN179" s="751">
        <v>0</v>
      </c>
      <c r="CO179" s="751">
        <v>0</v>
      </c>
      <c r="CP179" s="751">
        <v>0</v>
      </c>
      <c r="CQ179" s="751">
        <v>0</v>
      </c>
      <c r="CR179" s="751">
        <v>0</v>
      </c>
      <c r="CS179" s="751">
        <v>631</v>
      </c>
      <c r="CT179" s="751">
        <v>142</v>
      </c>
      <c r="CU179" s="751">
        <v>16</v>
      </c>
      <c r="CV179" s="751">
        <v>789</v>
      </c>
      <c r="CW179" s="751">
        <v>3140902</v>
      </c>
      <c r="CX179" s="751">
        <v>702261</v>
      </c>
      <c r="CY179" s="751">
        <v>78030</v>
      </c>
      <c r="CZ179" s="751">
        <v>3921193</v>
      </c>
      <c r="DA179" s="662" t="s">
        <v>222</v>
      </c>
      <c r="DB179" s="324" t="s">
        <v>521</v>
      </c>
      <c r="DC179" s="663" t="s">
        <v>519</v>
      </c>
      <c r="DD179" s="529" t="s">
        <v>1386</v>
      </c>
    </row>
    <row r="180" spans="1:108" ht="12.75" x14ac:dyDescent="0.2">
      <c r="A180" s="664">
        <v>173</v>
      </c>
      <c r="B180" s="665" t="s">
        <v>225</v>
      </c>
      <c r="C180" s="666" t="s">
        <v>1201</v>
      </c>
      <c r="D180" s="667" t="s">
        <v>1206</v>
      </c>
      <c r="E180" s="668" t="s">
        <v>224</v>
      </c>
      <c r="F180" s="750">
        <v>17345345</v>
      </c>
      <c r="G180" s="751">
        <v>113649</v>
      </c>
      <c r="H180" s="751">
        <v>0</v>
      </c>
      <c r="I180" s="751">
        <v>101694</v>
      </c>
      <c r="J180" s="751">
        <v>0</v>
      </c>
      <c r="K180" s="751">
        <v>101694</v>
      </c>
      <c r="L180" s="751">
        <v>0</v>
      </c>
      <c r="M180" s="751">
        <v>0</v>
      </c>
      <c r="N180" s="751">
        <v>0</v>
      </c>
      <c r="O180" s="751">
        <v>0</v>
      </c>
      <c r="P180" s="751">
        <v>0</v>
      </c>
      <c r="Q180" s="751">
        <v>0</v>
      </c>
      <c r="R180" s="751">
        <v>17357300</v>
      </c>
      <c r="S180" s="749">
        <v>0.5</v>
      </c>
      <c r="T180" s="749">
        <v>0.4</v>
      </c>
      <c r="U180" s="749">
        <v>0.09</v>
      </c>
      <c r="V180" s="749">
        <v>0.01</v>
      </c>
      <c r="W180" s="749">
        <v>1</v>
      </c>
      <c r="X180" s="751">
        <v>8678650</v>
      </c>
      <c r="Y180" s="751">
        <v>6942920</v>
      </c>
      <c r="Z180" s="751">
        <v>1562157</v>
      </c>
      <c r="AA180" s="751">
        <v>173573</v>
      </c>
      <c r="AB180" s="751">
        <v>17357300</v>
      </c>
      <c r="AC180" s="751">
        <v>0</v>
      </c>
      <c r="AD180" s="751">
        <v>0</v>
      </c>
      <c r="AE180" s="751">
        <v>8678650</v>
      </c>
      <c r="AF180" s="751">
        <v>6942920</v>
      </c>
      <c r="AG180" s="751">
        <v>1562157</v>
      </c>
      <c r="AH180" s="751">
        <v>173573</v>
      </c>
      <c r="AI180" s="751">
        <v>17357300</v>
      </c>
      <c r="AJ180" s="751">
        <v>101694</v>
      </c>
      <c r="AK180" s="751">
        <v>101694</v>
      </c>
      <c r="AL180" s="751">
        <v>0</v>
      </c>
      <c r="AM180" s="751">
        <v>0</v>
      </c>
      <c r="AN180" s="751">
        <v>0</v>
      </c>
      <c r="AO180" s="751">
        <v>0</v>
      </c>
      <c r="AP180" s="751">
        <v>0</v>
      </c>
      <c r="AQ180" s="751">
        <v>0</v>
      </c>
      <c r="AR180" s="751">
        <v>0</v>
      </c>
      <c r="AS180" s="751">
        <v>0</v>
      </c>
      <c r="AT180" s="751">
        <v>0</v>
      </c>
      <c r="AU180" s="751">
        <v>0</v>
      </c>
      <c r="AV180" s="751">
        <v>0</v>
      </c>
      <c r="AW180" s="751">
        <v>0</v>
      </c>
      <c r="AX180" s="751">
        <v>0</v>
      </c>
      <c r="AY180" s="751">
        <v>0</v>
      </c>
      <c r="AZ180" s="751">
        <v>0</v>
      </c>
      <c r="BA180" s="751">
        <v>0</v>
      </c>
      <c r="BB180" s="751">
        <v>0</v>
      </c>
      <c r="BC180" s="751">
        <v>-2642066</v>
      </c>
      <c r="BD180" s="751">
        <v>-2113653</v>
      </c>
      <c r="BE180" s="751">
        <v>-475572</v>
      </c>
      <c r="BF180" s="751">
        <v>-52841</v>
      </c>
      <c r="BG180" s="751">
        <v>-5284132</v>
      </c>
      <c r="BH180" s="751">
        <v>6036584</v>
      </c>
      <c r="BI180" s="751">
        <v>4930961</v>
      </c>
      <c r="BJ180" s="751">
        <v>1086585</v>
      </c>
      <c r="BK180" s="751">
        <v>120732</v>
      </c>
      <c r="BL180" s="751">
        <v>12174862</v>
      </c>
      <c r="BM180" s="751">
        <v>361755</v>
      </c>
      <c r="BN180" s="751">
        <v>81395</v>
      </c>
      <c r="BO180" s="751">
        <v>9044</v>
      </c>
      <c r="BP180" s="751">
        <v>452194</v>
      </c>
      <c r="BQ180" s="751">
        <v>961603</v>
      </c>
      <c r="BR180" s="751">
        <v>216361</v>
      </c>
      <c r="BS180" s="751">
        <v>24040</v>
      </c>
      <c r="BT180" s="751">
        <v>1202004</v>
      </c>
      <c r="BU180" s="751">
        <v>47198</v>
      </c>
      <c r="BV180" s="751">
        <v>10620</v>
      </c>
      <c r="BW180" s="751">
        <v>1180</v>
      </c>
      <c r="BX180" s="751">
        <v>58998</v>
      </c>
      <c r="BY180" s="751">
        <v>0</v>
      </c>
      <c r="BZ180" s="751">
        <v>0</v>
      </c>
      <c r="CA180" s="751">
        <v>0</v>
      </c>
      <c r="CB180" s="751">
        <v>0</v>
      </c>
      <c r="CC180" s="751">
        <v>509</v>
      </c>
      <c r="CD180" s="751">
        <v>115</v>
      </c>
      <c r="CE180" s="751">
        <v>13</v>
      </c>
      <c r="CF180" s="751">
        <v>637</v>
      </c>
      <c r="CG180" s="751">
        <v>7962</v>
      </c>
      <c r="CH180" s="751">
        <v>1792</v>
      </c>
      <c r="CI180" s="751">
        <v>199</v>
      </c>
      <c r="CJ180" s="751">
        <v>9953</v>
      </c>
      <c r="CK180" s="751">
        <v>0</v>
      </c>
      <c r="CL180" s="751">
        <v>0</v>
      </c>
      <c r="CM180" s="751">
        <v>0</v>
      </c>
      <c r="CN180" s="751">
        <v>0</v>
      </c>
      <c r="CO180" s="751">
        <v>0</v>
      </c>
      <c r="CP180" s="751">
        <v>0</v>
      </c>
      <c r="CQ180" s="751">
        <v>0</v>
      </c>
      <c r="CR180" s="751">
        <v>0</v>
      </c>
      <c r="CS180" s="751">
        <v>0</v>
      </c>
      <c r="CT180" s="751">
        <v>0</v>
      </c>
      <c r="CU180" s="751">
        <v>0</v>
      </c>
      <c r="CV180" s="751">
        <v>0</v>
      </c>
      <c r="CW180" s="751">
        <v>1379027</v>
      </c>
      <c r="CX180" s="751">
        <v>310283</v>
      </c>
      <c r="CY180" s="751">
        <v>34476</v>
      </c>
      <c r="CZ180" s="751">
        <v>1723786</v>
      </c>
      <c r="DA180" s="662" t="s">
        <v>224</v>
      </c>
      <c r="DB180" s="324" t="s">
        <v>516</v>
      </c>
      <c r="DC180" s="663" t="s">
        <v>515</v>
      </c>
      <c r="DD180" s="529" t="s">
        <v>1387</v>
      </c>
    </row>
    <row r="181" spans="1:108" ht="12.75" x14ac:dyDescent="0.2">
      <c r="A181" s="664">
        <v>174</v>
      </c>
      <c r="B181" s="665" t="s">
        <v>227</v>
      </c>
      <c r="C181" s="666" t="s">
        <v>486</v>
      </c>
      <c r="D181" s="667" t="s">
        <v>1218</v>
      </c>
      <c r="E181" s="668" t="s">
        <v>539</v>
      </c>
      <c r="F181" s="750">
        <v>64237097</v>
      </c>
      <c r="G181" s="751">
        <v>0</v>
      </c>
      <c r="H181" s="751">
        <v>2062034</v>
      </c>
      <c r="I181" s="751">
        <v>215437</v>
      </c>
      <c r="J181" s="751">
        <v>0</v>
      </c>
      <c r="K181" s="751">
        <v>215437</v>
      </c>
      <c r="L181" s="751">
        <v>0</v>
      </c>
      <c r="M181" s="751">
        <v>50165</v>
      </c>
      <c r="N181" s="751">
        <v>144407</v>
      </c>
      <c r="O181" s="751">
        <v>144407</v>
      </c>
      <c r="P181" s="751">
        <v>0</v>
      </c>
      <c r="Q181" s="751">
        <v>0</v>
      </c>
      <c r="R181" s="751">
        <v>61765054</v>
      </c>
      <c r="S181" s="749">
        <v>0.5</v>
      </c>
      <c r="T181" s="749">
        <v>0.49</v>
      </c>
      <c r="U181" s="749">
        <v>0</v>
      </c>
      <c r="V181" s="749">
        <v>0.01</v>
      </c>
      <c r="W181" s="749">
        <v>1</v>
      </c>
      <c r="X181" s="751">
        <v>30882527</v>
      </c>
      <c r="Y181" s="751">
        <v>30264876</v>
      </c>
      <c r="Z181" s="751">
        <v>0</v>
      </c>
      <c r="AA181" s="751">
        <v>617651</v>
      </c>
      <c r="AB181" s="751">
        <v>61765054</v>
      </c>
      <c r="AC181" s="751">
        <v>147854</v>
      </c>
      <c r="AD181" s="751">
        <v>147854</v>
      </c>
      <c r="AE181" s="751">
        <v>30734673</v>
      </c>
      <c r="AF181" s="751">
        <v>30264876</v>
      </c>
      <c r="AG181" s="751">
        <v>0</v>
      </c>
      <c r="AH181" s="751">
        <v>617651</v>
      </c>
      <c r="AI181" s="751">
        <v>61617200</v>
      </c>
      <c r="AJ181" s="751">
        <v>215437</v>
      </c>
      <c r="AK181" s="751">
        <v>215437</v>
      </c>
      <c r="AL181" s="751">
        <v>50165</v>
      </c>
      <c r="AM181" s="751">
        <v>50165</v>
      </c>
      <c r="AN181" s="751">
        <v>144407</v>
      </c>
      <c r="AO181" s="751">
        <v>0</v>
      </c>
      <c r="AP181" s="751">
        <v>144407</v>
      </c>
      <c r="AQ181" s="751">
        <v>0</v>
      </c>
      <c r="AR181" s="751">
        <v>0</v>
      </c>
      <c r="AS181" s="751">
        <v>0</v>
      </c>
      <c r="AT181" s="751">
        <v>0</v>
      </c>
      <c r="AU181" s="751">
        <v>147854</v>
      </c>
      <c r="AV181" s="751">
        <v>0</v>
      </c>
      <c r="AW181" s="751">
        <v>0</v>
      </c>
      <c r="AX181" s="751">
        <v>147854</v>
      </c>
      <c r="AY181" s="751">
        <v>0</v>
      </c>
      <c r="AZ181" s="751">
        <v>0</v>
      </c>
      <c r="BA181" s="751">
        <v>0</v>
      </c>
      <c r="BB181" s="751">
        <v>0</v>
      </c>
      <c r="BC181" s="751">
        <v>-11445448</v>
      </c>
      <c r="BD181" s="751">
        <v>-11216539</v>
      </c>
      <c r="BE181" s="751">
        <v>0</v>
      </c>
      <c r="BF181" s="751">
        <v>-228909</v>
      </c>
      <c r="BG181" s="751">
        <v>-22890895</v>
      </c>
      <c r="BH181" s="751">
        <v>19289225</v>
      </c>
      <c r="BI181" s="751">
        <v>19606200</v>
      </c>
      <c r="BJ181" s="751">
        <v>0</v>
      </c>
      <c r="BK181" s="751">
        <v>388742</v>
      </c>
      <c r="BL181" s="751">
        <v>39284168</v>
      </c>
      <c r="BM181" s="751">
        <v>1594769</v>
      </c>
      <c r="BN181" s="751">
        <v>0</v>
      </c>
      <c r="BO181" s="751">
        <v>32182</v>
      </c>
      <c r="BP181" s="751">
        <v>1626951</v>
      </c>
      <c r="BQ181" s="751">
        <v>1957329</v>
      </c>
      <c r="BR181" s="751">
        <v>0</v>
      </c>
      <c r="BS181" s="751">
        <v>39945</v>
      </c>
      <c r="BT181" s="751">
        <v>1997274</v>
      </c>
      <c r="BU181" s="751">
        <v>29053</v>
      </c>
      <c r="BV181" s="751">
        <v>0</v>
      </c>
      <c r="BW181" s="751">
        <v>593</v>
      </c>
      <c r="BX181" s="751">
        <v>29646</v>
      </c>
      <c r="BY181" s="751">
        <v>10123</v>
      </c>
      <c r="BZ181" s="751">
        <v>0</v>
      </c>
      <c r="CA181" s="751">
        <v>207</v>
      </c>
      <c r="CB181" s="751">
        <v>10330</v>
      </c>
      <c r="CC181" s="751">
        <v>0</v>
      </c>
      <c r="CD181" s="751">
        <v>0</v>
      </c>
      <c r="CE181" s="751">
        <v>0</v>
      </c>
      <c r="CF181" s="751">
        <v>0</v>
      </c>
      <c r="CG181" s="751">
        <v>6826</v>
      </c>
      <c r="CH181" s="751">
        <v>0</v>
      </c>
      <c r="CI181" s="751">
        <v>139</v>
      </c>
      <c r="CJ181" s="751">
        <v>6965</v>
      </c>
      <c r="CK181" s="751">
        <v>0</v>
      </c>
      <c r="CL181" s="751">
        <v>0</v>
      </c>
      <c r="CM181" s="751">
        <v>0</v>
      </c>
      <c r="CN181" s="751">
        <v>0</v>
      </c>
      <c r="CO181" s="751">
        <v>0</v>
      </c>
      <c r="CP181" s="751">
        <v>0</v>
      </c>
      <c r="CQ181" s="751">
        <v>0</v>
      </c>
      <c r="CR181" s="751">
        <v>0</v>
      </c>
      <c r="CS181" s="751">
        <v>0</v>
      </c>
      <c r="CT181" s="751">
        <v>0</v>
      </c>
      <c r="CU181" s="751">
        <v>0</v>
      </c>
      <c r="CV181" s="751">
        <v>0</v>
      </c>
      <c r="CW181" s="751">
        <v>3598100</v>
      </c>
      <c r="CX181" s="751">
        <v>0</v>
      </c>
      <c r="CY181" s="751">
        <v>73066</v>
      </c>
      <c r="CZ181" s="751">
        <v>3671166</v>
      </c>
      <c r="DA181" s="662" t="s">
        <v>539</v>
      </c>
      <c r="DB181" s="324" t="s">
        <v>486</v>
      </c>
      <c r="DC181" s="663" t="s">
        <v>538</v>
      </c>
      <c r="DD181" s="529" t="s">
        <v>1388</v>
      </c>
    </row>
    <row r="182" spans="1:108" ht="12.75" x14ac:dyDescent="0.2">
      <c r="A182" s="664">
        <v>175</v>
      </c>
      <c r="B182" s="665" t="s">
        <v>229</v>
      </c>
      <c r="C182" s="666" t="s">
        <v>1201</v>
      </c>
      <c r="D182" s="667" t="s">
        <v>1211</v>
      </c>
      <c r="E182" s="668" t="s">
        <v>228</v>
      </c>
      <c r="F182" s="750">
        <v>39448236</v>
      </c>
      <c r="G182" s="751">
        <v>0</v>
      </c>
      <c r="H182" s="751">
        <v>99495</v>
      </c>
      <c r="I182" s="751">
        <v>177217</v>
      </c>
      <c r="J182" s="751">
        <v>0</v>
      </c>
      <c r="K182" s="751">
        <v>177217</v>
      </c>
      <c r="L182" s="751">
        <v>0</v>
      </c>
      <c r="M182" s="751">
        <v>0</v>
      </c>
      <c r="N182" s="751">
        <v>32744</v>
      </c>
      <c r="O182" s="751">
        <v>32744</v>
      </c>
      <c r="P182" s="751">
        <v>0</v>
      </c>
      <c r="Q182" s="751">
        <v>0</v>
      </c>
      <c r="R182" s="751">
        <v>39138780</v>
      </c>
      <c r="S182" s="749">
        <v>0.5</v>
      </c>
      <c r="T182" s="749">
        <v>0.4</v>
      </c>
      <c r="U182" s="749">
        <v>0.1</v>
      </c>
      <c r="V182" s="749">
        <v>0</v>
      </c>
      <c r="W182" s="749">
        <v>1</v>
      </c>
      <c r="X182" s="751">
        <v>19569390</v>
      </c>
      <c r="Y182" s="751">
        <v>15655512</v>
      </c>
      <c r="Z182" s="751">
        <v>3913878</v>
      </c>
      <c r="AA182" s="751">
        <v>0</v>
      </c>
      <c r="AB182" s="751">
        <v>39138780</v>
      </c>
      <c r="AC182" s="751">
        <v>0</v>
      </c>
      <c r="AD182" s="751">
        <v>0</v>
      </c>
      <c r="AE182" s="751">
        <v>19569390</v>
      </c>
      <c r="AF182" s="751">
        <v>15655512</v>
      </c>
      <c r="AG182" s="751">
        <v>3913878</v>
      </c>
      <c r="AH182" s="751">
        <v>0</v>
      </c>
      <c r="AI182" s="751">
        <v>39138780</v>
      </c>
      <c r="AJ182" s="751">
        <v>177217</v>
      </c>
      <c r="AK182" s="751">
        <v>177217</v>
      </c>
      <c r="AL182" s="751">
        <v>0</v>
      </c>
      <c r="AM182" s="751">
        <v>0</v>
      </c>
      <c r="AN182" s="751">
        <v>32744</v>
      </c>
      <c r="AO182" s="751">
        <v>0</v>
      </c>
      <c r="AP182" s="751">
        <v>32744</v>
      </c>
      <c r="AQ182" s="751">
        <v>0</v>
      </c>
      <c r="AR182" s="751">
        <v>0</v>
      </c>
      <c r="AS182" s="751">
        <v>0</v>
      </c>
      <c r="AT182" s="751">
        <v>0</v>
      </c>
      <c r="AU182" s="751">
        <v>0</v>
      </c>
      <c r="AV182" s="751">
        <v>0</v>
      </c>
      <c r="AW182" s="751">
        <v>0</v>
      </c>
      <c r="AX182" s="751">
        <v>0</v>
      </c>
      <c r="AY182" s="751">
        <v>0</v>
      </c>
      <c r="AZ182" s="751">
        <v>0</v>
      </c>
      <c r="BA182" s="751">
        <v>0</v>
      </c>
      <c r="BB182" s="751">
        <v>0</v>
      </c>
      <c r="BC182" s="751">
        <v>-10242347</v>
      </c>
      <c r="BD182" s="751">
        <v>-7911489</v>
      </c>
      <c r="BE182" s="751">
        <v>-1389564</v>
      </c>
      <c r="BF182" s="751">
        <v>0</v>
      </c>
      <c r="BG182" s="751">
        <v>-19543400</v>
      </c>
      <c r="BH182" s="751">
        <v>9327043</v>
      </c>
      <c r="BI182" s="751">
        <v>7953984</v>
      </c>
      <c r="BJ182" s="751">
        <v>2524314</v>
      </c>
      <c r="BK182" s="751">
        <v>0</v>
      </c>
      <c r="BL182" s="751">
        <v>19805341</v>
      </c>
      <c r="BM182" s="751">
        <v>817424</v>
      </c>
      <c r="BN182" s="751">
        <v>203930</v>
      </c>
      <c r="BO182" s="751">
        <v>0</v>
      </c>
      <c r="BP182" s="751">
        <v>1021354</v>
      </c>
      <c r="BQ182" s="751">
        <v>1534181</v>
      </c>
      <c r="BR182" s="751">
        <v>383545</v>
      </c>
      <c r="BS182" s="751">
        <v>0</v>
      </c>
      <c r="BT182" s="751">
        <v>1917726</v>
      </c>
      <c r="BU182" s="751">
        <v>110840</v>
      </c>
      <c r="BV182" s="751">
        <v>27710</v>
      </c>
      <c r="BW182" s="751">
        <v>0</v>
      </c>
      <c r="BX182" s="751">
        <v>138550</v>
      </c>
      <c r="BY182" s="751">
        <v>0</v>
      </c>
      <c r="BZ182" s="751">
        <v>0</v>
      </c>
      <c r="CA182" s="751">
        <v>0</v>
      </c>
      <c r="CB182" s="751">
        <v>0</v>
      </c>
      <c r="CC182" s="751">
        <v>3442</v>
      </c>
      <c r="CD182" s="751">
        <v>860</v>
      </c>
      <c r="CE182" s="751">
        <v>0</v>
      </c>
      <c r="CF182" s="751">
        <v>4302</v>
      </c>
      <c r="CG182" s="751">
        <v>4322</v>
      </c>
      <c r="CH182" s="751">
        <v>1081</v>
      </c>
      <c r="CI182" s="751">
        <v>0</v>
      </c>
      <c r="CJ182" s="751">
        <v>5403</v>
      </c>
      <c r="CK182" s="751">
        <v>0</v>
      </c>
      <c r="CL182" s="751">
        <v>0</v>
      </c>
      <c r="CM182" s="751">
        <v>0</v>
      </c>
      <c r="CN182" s="751">
        <v>0</v>
      </c>
      <c r="CO182" s="751">
        <v>0</v>
      </c>
      <c r="CP182" s="751">
        <v>0</v>
      </c>
      <c r="CQ182" s="751">
        <v>0</v>
      </c>
      <c r="CR182" s="751">
        <v>0</v>
      </c>
      <c r="CS182" s="751">
        <v>0</v>
      </c>
      <c r="CT182" s="751">
        <v>0</v>
      </c>
      <c r="CU182" s="751">
        <v>0</v>
      </c>
      <c r="CV182" s="751">
        <v>0</v>
      </c>
      <c r="CW182" s="751">
        <v>2470209</v>
      </c>
      <c r="CX182" s="751">
        <v>617126</v>
      </c>
      <c r="CY182" s="751">
        <v>0</v>
      </c>
      <c r="CZ182" s="751">
        <v>3087335</v>
      </c>
      <c r="DA182" s="662" t="s">
        <v>228</v>
      </c>
      <c r="DB182" s="324" t="s">
        <v>536</v>
      </c>
      <c r="DC182" s="663" t="s">
        <v>512</v>
      </c>
      <c r="DD182" s="529" t="s">
        <v>1389</v>
      </c>
    </row>
    <row r="183" spans="1:108" ht="12.75" x14ac:dyDescent="0.2">
      <c r="A183" s="664">
        <v>176</v>
      </c>
      <c r="B183" s="665" t="s">
        <v>231</v>
      </c>
      <c r="C183" s="666" t="s">
        <v>1201</v>
      </c>
      <c r="D183" s="667" t="s">
        <v>1206</v>
      </c>
      <c r="E183" s="668" t="s">
        <v>230</v>
      </c>
      <c r="F183" s="750">
        <v>29953855</v>
      </c>
      <c r="G183" s="751">
        <v>201936</v>
      </c>
      <c r="H183" s="751">
        <v>0</v>
      </c>
      <c r="I183" s="751">
        <v>124065</v>
      </c>
      <c r="J183" s="751">
        <v>0</v>
      </c>
      <c r="K183" s="751">
        <v>124065</v>
      </c>
      <c r="L183" s="751">
        <v>0</v>
      </c>
      <c r="M183" s="751">
        <v>0</v>
      </c>
      <c r="N183" s="751">
        <v>1906321</v>
      </c>
      <c r="O183" s="751">
        <v>1743611</v>
      </c>
      <c r="P183" s="751">
        <v>162710</v>
      </c>
      <c r="Q183" s="751">
        <v>0</v>
      </c>
      <c r="R183" s="751">
        <v>28125405</v>
      </c>
      <c r="S183" s="749">
        <v>0.5</v>
      </c>
      <c r="T183" s="749">
        <v>0.4</v>
      </c>
      <c r="U183" s="749">
        <v>0.1</v>
      </c>
      <c r="V183" s="749">
        <v>0</v>
      </c>
      <c r="W183" s="749">
        <v>1</v>
      </c>
      <c r="X183" s="751">
        <v>14062702</v>
      </c>
      <c r="Y183" s="751">
        <v>11250162</v>
      </c>
      <c r="Z183" s="751">
        <v>2812541</v>
      </c>
      <c r="AA183" s="751">
        <v>0</v>
      </c>
      <c r="AB183" s="751">
        <v>28125405</v>
      </c>
      <c r="AC183" s="751">
        <v>0</v>
      </c>
      <c r="AD183" s="751">
        <v>0</v>
      </c>
      <c r="AE183" s="751">
        <v>14062702</v>
      </c>
      <c r="AF183" s="751">
        <v>11250162</v>
      </c>
      <c r="AG183" s="751">
        <v>2812541</v>
      </c>
      <c r="AH183" s="751">
        <v>0</v>
      </c>
      <c r="AI183" s="751">
        <v>28125405</v>
      </c>
      <c r="AJ183" s="751">
        <v>124065</v>
      </c>
      <c r="AK183" s="751">
        <v>124065</v>
      </c>
      <c r="AL183" s="751">
        <v>0</v>
      </c>
      <c r="AM183" s="751">
        <v>0</v>
      </c>
      <c r="AN183" s="751">
        <v>1743611</v>
      </c>
      <c r="AO183" s="751">
        <v>162710</v>
      </c>
      <c r="AP183" s="751">
        <v>1906321</v>
      </c>
      <c r="AQ183" s="751">
        <v>0</v>
      </c>
      <c r="AR183" s="751">
        <v>0</v>
      </c>
      <c r="AS183" s="751">
        <v>0</v>
      </c>
      <c r="AT183" s="751">
        <v>0</v>
      </c>
      <c r="AU183" s="751">
        <v>0</v>
      </c>
      <c r="AV183" s="751">
        <v>0</v>
      </c>
      <c r="AW183" s="751">
        <v>0</v>
      </c>
      <c r="AX183" s="751">
        <v>0</v>
      </c>
      <c r="AY183" s="751">
        <v>0</v>
      </c>
      <c r="AZ183" s="751">
        <v>0</v>
      </c>
      <c r="BA183" s="751">
        <v>0</v>
      </c>
      <c r="BB183" s="751">
        <v>0</v>
      </c>
      <c r="BC183" s="751">
        <v>-4811321</v>
      </c>
      <c r="BD183" s="751">
        <v>-3849057</v>
      </c>
      <c r="BE183" s="751">
        <v>-962264</v>
      </c>
      <c r="BF183" s="751">
        <v>0</v>
      </c>
      <c r="BG183" s="751">
        <v>-9622641</v>
      </c>
      <c r="BH183" s="751">
        <v>9251381</v>
      </c>
      <c r="BI183" s="751">
        <v>9268781</v>
      </c>
      <c r="BJ183" s="751">
        <v>2012987</v>
      </c>
      <c r="BK183" s="751">
        <v>0</v>
      </c>
      <c r="BL183" s="751">
        <v>20533150</v>
      </c>
      <c r="BM183" s="751">
        <v>677030</v>
      </c>
      <c r="BN183" s="751">
        <v>155023</v>
      </c>
      <c r="BO183" s="751">
        <v>0</v>
      </c>
      <c r="BP183" s="751">
        <v>832053</v>
      </c>
      <c r="BQ183" s="751">
        <v>1137961</v>
      </c>
      <c r="BR183" s="751">
        <v>284490</v>
      </c>
      <c r="BS183" s="751">
        <v>0</v>
      </c>
      <c r="BT183" s="751">
        <v>1422451</v>
      </c>
      <c r="BU183" s="751">
        <v>48094</v>
      </c>
      <c r="BV183" s="751">
        <v>12023</v>
      </c>
      <c r="BW183" s="751">
        <v>0</v>
      </c>
      <c r="BX183" s="751">
        <v>60117</v>
      </c>
      <c r="BY183" s="751">
        <v>2730</v>
      </c>
      <c r="BZ183" s="751">
        <v>683</v>
      </c>
      <c r="CA183" s="751">
        <v>0</v>
      </c>
      <c r="CB183" s="751">
        <v>3413</v>
      </c>
      <c r="CC183" s="751">
        <v>9278</v>
      </c>
      <c r="CD183" s="751">
        <v>2319</v>
      </c>
      <c r="CE183" s="751">
        <v>0</v>
      </c>
      <c r="CF183" s="751">
        <v>11597</v>
      </c>
      <c r="CG183" s="751">
        <v>7879</v>
      </c>
      <c r="CH183" s="751">
        <v>1970</v>
      </c>
      <c r="CI183" s="751">
        <v>0</v>
      </c>
      <c r="CJ183" s="751">
        <v>9849</v>
      </c>
      <c r="CK183" s="751">
        <v>0</v>
      </c>
      <c r="CL183" s="751">
        <v>0</v>
      </c>
      <c r="CM183" s="751">
        <v>0</v>
      </c>
      <c r="CN183" s="751">
        <v>0</v>
      </c>
      <c r="CO183" s="751">
        <v>0</v>
      </c>
      <c r="CP183" s="751">
        <v>0</v>
      </c>
      <c r="CQ183" s="751">
        <v>0</v>
      </c>
      <c r="CR183" s="751">
        <v>0</v>
      </c>
      <c r="CS183" s="751">
        <v>0</v>
      </c>
      <c r="CT183" s="751">
        <v>0</v>
      </c>
      <c r="CU183" s="751">
        <v>0</v>
      </c>
      <c r="CV183" s="751">
        <v>0</v>
      </c>
      <c r="CW183" s="751">
        <v>1882972</v>
      </c>
      <c r="CX183" s="751">
        <v>456508</v>
      </c>
      <c r="CY183" s="751">
        <v>0</v>
      </c>
      <c r="CZ183" s="751">
        <v>2339480</v>
      </c>
      <c r="DA183" s="662" t="s">
        <v>230</v>
      </c>
      <c r="DB183" s="324" t="s">
        <v>552</v>
      </c>
      <c r="DC183" s="663" t="s">
        <v>512</v>
      </c>
      <c r="DD183" s="529" t="s">
        <v>1390</v>
      </c>
    </row>
    <row r="184" spans="1:108" ht="12.75" x14ac:dyDescent="0.2">
      <c r="A184" s="664">
        <v>177</v>
      </c>
      <c r="B184" s="665" t="s">
        <v>233</v>
      </c>
      <c r="C184" s="666" t="s">
        <v>486</v>
      </c>
      <c r="D184" s="667" t="s">
        <v>1218</v>
      </c>
      <c r="E184" s="668" t="s">
        <v>540</v>
      </c>
      <c r="F184" s="750">
        <v>84258074</v>
      </c>
      <c r="G184" s="751">
        <v>0</v>
      </c>
      <c r="H184" s="751">
        <v>1647378</v>
      </c>
      <c r="I184" s="751">
        <v>231816</v>
      </c>
      <c r="J184" s="751">
        <v>0</v>
      </c>
      <c r="K184" s="751">
        <v>231816</v>
      </c>
      <c r="L184" s="751">
        <v>0</v>
      </c>
      <c r="M184" s="751">
        <v>1634683</v>
      </c>
      <c r="N184" s="751">
        <v>5850887</v>
      </c>
      <c r="O184" s="751">
        <v>5850887</v>
      </c>
      <c r="P184" s="751">
        <v>0</v>
      </c>
      <c r="Q184" s="751">
        <v>0</v>
      </c>
      <c r="R184" s="751">
        <v>74893310</v>
      </c>
      <c r="S184" s="749">
        <v>0.5</v>
      </c>
      <c r="T184" s="749">
        <v>0.49</v>
      </c>
      <c r="U184" s="749">
        <v>0</v>
      </c>
      <c r="V184" s="749">
        <v>0.01</v>
      </c>
      <c r="W184" s="749">
        <v>1</v>
      </c>
      <c r="X184" s="751">
        <v>37446655</v>
      </c>
      <c r="Y184" s="751">
        <v>36697722</v>
      </c>
      <c r="Z184" s="751">
        <v>0</v>
      </c>
      <c r="AA184" s="751">
        <v>748933</v>
      </c>
      <c r="AB184" s="751">
        <v>74893310</v>
      </c>
      <c r="AC184" s="751">
        <v>84328</v>
      </c>
      <c r="AD184" s="751">
        <v>84328</v>
      </c>
      <c r="AE184" s="751">
        <v>37362327</v>
      </c>
      <c r="AF184" s="751">
        <v>36697722</v>
      </c>
      <c r="AG184" s="751">
        <v>0</v>
      </c>
      <c r="AH184" s="751">
        <v>748933</v>
      </c>
      <c r="AI184" s="751">
        <v>74808982</v>
      </c>
      <c r="AJ184" s="751">
        <v>231816</v>
      </c>
      <c r="AK184" s="751">
        <v>231816</v>
      </c>
      <c r="AL184" s="751">
        <v>1634683</v>
      </c>
      <c r="AM184" s="751">
        <v>1634683</v>
      </c>
      <c r="AN184" s="751">
        <v>5850887</v>
      </c>
      <c r="AO184" s="751">
        <v>0</v>
      </c>
      <c r="AP184" s="751">
        <v>5850887</v>
      </c>
      <c r="AQ184" s="751">
        <v>0</v>
      </c>
      <c r="AR184" s="751">
        <v>0</v>
      </c>
      <c r="AS184" s="751">
        <v>0</v>
      </c>
      <c r="AT184" s="751">
        <v>0</v>
      </c>
      <c r="AU184" s="751">
        <v>84328</v>
      </c>
      <c r="AV184" s="751">
        <v>0</v>
      </c>
      <c r="AW184" s="751">
        <v>0</v>
      </c>
      <c r="AX184" s="751">
        <v>84328</v>
      </c>
      <c r="AY184" s="751">
        <v>0</v>
      </c>
      <c r="AZ184" s="751">
        <v>0</v>
      </c>
      <c r="BA184" s="751">
        <v>0</v>
      </c>
      <c r="BB184" s="751">
        <v>0</v>
      </c>
      <c r="BC184" s="751">
        <v>-9946916</v>
      </c>
      <c r="BD184" s="751">
        <v>-9747977</v>
      </c>
      <c r="BE184" s="751">
        <v>0</v>
      </c>
      <c r="BF184" s="751">
        <v>-198938</v>
      </c>
      <c r="BG184" s="751">
        <v>-19893831</v>
      </c>
      <c r="BH184" s="751">
        <v>27415411</v>
      </c>
      <c r="BI184" s="751">
        <v>34751459</v>
      </c>
      <c r="BJ184" s="751">
        <v>0</v>
      </c>
      <c r="BK184" s="751">
        <v>549995</v>
      </c>
      <c r="BL184" s="751">
        <v>62716865</v>
      </c>
      <c r="BM184" s="751">
        <v>2306529</v>
      </c>
      <c r="BN184" s="751">
        <v>0</v>
      </c>
      <c r="BO184" s="751">
        <v>39023</v>
      </c>
      <c r="BP184" s="751">
        <v>2345552</v>
      </c>
      <c r="BQ184" s="751">
        <v>2211091</v>
      </c>
      <c r="BR184" s="751">
        <v>0</v>
      </c>
      <c r="BS184" s="751">
        <v>44989</v>
      </c>
      <c r="BT184" s="751">
        <v>2256080</v>
      </c>
      <c r="BU184" s="751">
        <v>17957</v>
      </c>
      <c r="BV184" s="751">
        <v>0</v>
      </c>
      <c r="BW184" s="751">
        <v>357</v>
      </c>
      <c r="BX184" s="751">
        <v>18314</v>
      </c>
      <c r="BY184" s="751">
        <v>10425</v>
      </c>
      <c r="BZ184" s="751">
        <v>0</v>
      </c>
      <c r="CA184" s="751">
        <v>213</v>
      </c>
      <c r="CB184" s="751">
        <v>10638</v>
      </c>
      <c r="CC184" s="751">
        <v>5378</v>
      </c>
      <c r="CD184" s="751">
        <v>0</v>
      </c>
      <c r="CE184" s="751">
        <v>110</v>
      </c>
      <c r="CF184" s="751">
        <v>5488</v>
      </c>
      <c r="CG184" s="751">
        <v>16703</v>
      </c>
      <c r="CH184" s="751">
        <v>0</v>
      </c>
      <c r="CI184" s="751">
        <v>341</v>
      </c>
      <c r="CJ184" s="751">
        <v>17044</v>
      </c>
      <c r="CK184" s="751">
        <v>0</v>
      </c>
      <c r="CL184" s="751">
        <v>0</v>
      </c>
      <c r="CM184" s="751">
        <v>0</v>
      </c>
      <c r="CN184" s="751">
        <v>0</v>
      </c>
      <c r="CO184" s="751">
        <v>0</v>
      </c>
      <c r="CP184" s="751">
        <v>0</v>
      </c>
      <c r="CQ184" s="751">
        <v>0</v>
      </c>
      <c r="CR184" s="751">
        <v>0</v>
      </c>
      <c r="CS184" s="751">
        <v>773</v>
      </c>
      <c r="CT184" s="751">
        <v>0</v>
      </c>
      <c r="CU184" s="751">
        <v>16</v>
      </c>
      <c r="CV184" s="751">
        <v>789</v>
      </c>
      <c r="CW184" s="751">
        <v>4568856</v>
      </c>
      <c r="CX184" s="751">
        <v>0</v>
      </c>
      <c r="CY184" s="751">
        <v>85049</v>
      </c>
      <c r="CZ184" s="751">
        <v>4653905</v>
      </c>
      <c r="DA184" s="662" t="s">
        <v>540</v>
      </c>
      <c r="DB184" s="324" t="s">
        <v>486</v>
      </c>
      <c r="DC184" s="663" t="s">
        <v>538</v>
      </c>
      <c r="DD184" s="529" t="s">
        <v>1391</v>
      </c>
    </row>
    <row r="185" spans="1:108" ht="12.75" x14ac:dyDescent="0.2">
      <c r="A185" s="664">
        <v>178</v>
      </c>
      <c r="B185" s="665" t="s">
        <v>235</v>
      </c>
      <c r="C185" s="666" t="s">
        <v>1201</v>
      </c>
      <c r="D185" s="667" t="s">
        <v>1211</v>
      </c>
      <c r="E185" s="668" t="s">
        <v>234</v>
      </c>
      <c r="F185" s="750">
        <v>29020721</v>
      </c>
      <c r="G185" s="751">
        <v>341352</v>
      </c>
      <c r="H185" s="751">
        <v>0</v>
      </c>
      <c r="I185" s="751">
        <v>264300</v>
      </c>
      <c r="J185" s="751">
        <v>0</v>
      </c>
      <c r="K185" s="751">
        <v>264300</v>
      </c>
      <c r="L185" s="751">
        <v>0</v>
      </c>
      <c r="M185" s="751">
        <v>0</v>
      </c>
      <c r="N185" s="751">
        <v>651914</v>
      </c>
      <c r="O185" s="751">
        <v>651914</v>
      </c>
      <c r="P185" s="751">
        <v>0</v>
      </c>
      <c r="Q185" s="751">
        <v>0</v>
      </c>
      <c r="R185" s="751">
        <v>28445859</v>
      </c>
      <c r="S185" s="749">
        <v>0.5</v>
      </c>
      <c r="T185" s="749">
        <v>0.4</v>
      </c>
      <c r="U185" s="749">
        <v>0.1</v>
      </c>
      <c r="V185" s="749">
        <v>0</v>
      </c>
      <c r="W185" s="749">
        <v>1</v>
      </c>
      <c r="X185" s="751">
        <v>14222929</v>
      </c>
      <c r="Y185" s="751">
        <v>11378344</v>
      </c>
      <c r="Z185" s="751">
        <v>2844586</v>
      </c>
      <c r="AA185" s="751">
        <v>0</v>
      </c>
      <c r="AB185" s="751">
        <v>28445859</v>
      </c>
      <c r="AC185" s="751">
        <v>298733</v>
      </c>
      <c r="AD185" s="751">
        <v>298733</v>
      </c>
      <c r="AE185" s="751">
        <v>13924196</v>
      </c>
      <c r="AF185" s="751">
        <v>11378344</v>
      </c>
      <c r="AG185" s="751">
        <v>2844586</v>
      </c>
      <c r="AH185" s="751">
        <v>0</v>
      </c>
      <c r="AI185" s="751">
        <v>28147126</v>
      </c>
      <c r="AJ185" s="751">
        <v>264300</v>
      </c>
      <c r="AK185" s="751">
        <v>264300</v>
      </c>
      <c r="AL185" s="751">
        <v>0</v>
      </c>
      <c r="AM185" s="751">
        <v>0</v>
      </c>
      <c r="AN185" s="751">
        <v>651914</v>
      </c>
      <c r="AO185" s="751">
        <v>0</v>
      </c>
      <c r="AP185" s="751">
        <v>651914</v>
      </c>
      <c r="AQ185" s="751">
        <v>0</v>
      </c>
      <c r="AR185" s="751">
        <v>0</v>
      </c>
      <c r="AS185" s="751">
        <v>0</v>
      </c>
      <c r="AT185" s="751">
        <v>0</v>
      </c>
      <c r="AU185" s="751">
        <v>298733</v>
      </c>
      <c r="AV185" s="751">
        <v>0</v>
      </c>
      <c r="AW185" s="751">
        <v>0</v>
      </c>
      <c r="AX185" s="751">
        <v>298733</v>
      </c>
      <c r="AY185" s="751">
        <v>0</v>
      </c>
      <c r="AZ185" s="751">
        <v>0</v>
      </c>
      <c r="BA185" s="751">
        <v>0</v>
      </c>
      <c r="BB185" s="751">
        <v>0</v>
      </c>
      <c r="BC185" s="751">
        <v>-6770106</v>
      </c>
      <c r="BD185" s="751">
        <v>-4935113</v>
      </c>
      <c r="BE185" s="751">
        <v>-766167</v>
      </c>
      <c r="BF185" s="751">
        <v>0</v>
      </c>
      <c r="BG185" s="751">
        <v>-12471386</v>
      </c>
      <c r="BH185" s="751">
        <v>7154090</v>
      </c>
      <c r="BI185" s="751">
        <v>7658178</v>
      </c>
      <c r="BJ185" s="751">
        <v>2078419</v>
      </c>
      <c r="BK185" s="751">
        <v>0</v>
      </c>
      <c r="BL185" s="751">
        <v>16890687</v>
      </c>
      <c r="BM185" s="751">
        <v>642392</v>
      </c>
      <c r="BN185" s="751">
        <v>148215</v>
      </c>
      <c r="BO185" s="751">
        <v>0</v>
      </c>
      <c r="BP185" s="751">
        <v>790607</v>
      </c>
      <c r="BQ185" s="751">
        <v>2274757</v>
      </c>
      <c r="BR185" s="751">
        <v>563413</v>
      </c>
      <c r="BS185" s="751">
        <v>0</v>
      </c>
      <c r="BT185" s="751">
        <v>2838170</v>
      </c>
      <c r="BU185" s="751">
        <v>69027</v>
      </c>
      <c r="BV185" s="751">
        <v>16620</v>
      </c>
      <c r="BW185" s="751">
        <v>0</v>
      </c>
      <c r="BX185" s="751">
        <v>85647</v>
      </c>
      <c r="BY185" s="751">
        <v>0</v>
      </c>
      <c r="BZ185" s="751">
        <v>0</v>
      </c>
      <c r="CA185" s="751">
        <v>0</v>
      </c>
      <c r="CB185" s="751">
        <v>0</v>
      </c>
      <c r="CC185" s="751">
        <v>33541</v>
      </c>
      <c r="CD185" s="751">
        <v>8385</v>
      </c>
      <c r="CE185" s="751">
        <v>0</v>
      </c>
      <c r="CF185" s="751">
        <v>41926</v>
      </c>
      <c r="CG185" s="751">
        <v>0</v>
      </c>
      <c r="CH185" s="751">
        <v>0</v>
      </c>
      <c r="CI185" s="751">
        <v>0</v>
      </c>
      <c r="CJ185" s="751">
        <v>0</v>
      </c>
      <c r="CK185" s="751">
        <v>0</v>
      </c>
      <c r="CL185" s="751">
        <v>0</v>
      </c>
      <c r="CM185" s="751">
        <v>0</v>
      </c>
      <c r="CN185" s="751">
        <v>0</v>
      </c>
      <c r="CO185" s="751">
        <v>0</v>
      </c>
      <c r="CP185" s="751">
        <v>0</v>
      </c>
      <c r="CQ185" s="751">
        <v>0</v>
      </c>
      <c r="CR185" s="751">
        <v>0</v>
      </c>
      <c r="CS185" s="751">
        <v>0</v>
      </c>
      <c r="CT185" s="751">
        <v>0</v>
      </c>
      <c r="CU185" s="751">
        <v>0</v>
      </c>
      <c r="CV185" s="751">
        <v>0</v>
      </c>
      <c r="CW185" s="751">
        <v>3019717</v>
      </c>
      <c r="CX185" s="751">
        <v>736633</v>
      </c>
      <c r="CY185" s="751">
        <v>0</v>
      </c>
      <c r="CZ185" s="751">
        <v>3756350</v>
      </c>
      <c r="DA185" s="662" t="s">
        <v>234</v>
      </c>
      <c r="DB185" s="324" t="s">
        <v>553</v>
      </c>
      <c r="DC185" s="663" t="s">
        <v>512</v>
      </c>
      <c r="DD185" s="529" t="s">
        <v>1392</v>
      </c>
    </row>
    <row r="186" spans="1:108" ht="12.75" x14ac:dyDescent="0.2">
      <c r="A186" s="664">
        <v>179</v>
      </c>
      <c r="B186" s="665" t="s">
        <v>1125</v>
      </c>
      <c r="C186" s="666" t="s">
        <v>486</v>
      </c>
      <c r="D186" s="667" t="s">
        <v>1206</v>
      </c>
      <c r="E186" s="668" t="s">
        <v>1092</v>
      </c>
      <c r="F186" s="750">
        <v>138689465</v>
      </c>
      <c r="G186" s="751">
        <v>0</v>
      </c>
      <c r="H186" s="751">
        <v>517691</v>
      </c>
      <c r="I186" s="751">
        <v>461411</v>
      </c>
      <c r="J186" s="751">
        <v>0</v>
      </c>
      <c r="K186" s="751">
        <v>461411</v>
      </c>
      <c r="L186" s="751">
        <v>0</v>
      </c>
      <c r="M186" s="751">
        <v>0</v>
      </c>
      <c r="N186" s="751">
        <v>690154</v>
      </c>
      <c r="O186" s="751">
        <v>690154</v>
      </c>
      <c r="P186" s="751">
        <v>0</v>
      </c>
      <c r="Q186" s="751">
        <v>0</v>
      </c>
      <c r="R186" s="751">
        <v>137020209</v>
      </c>
      <c r="S186" s="749">
        <v>0.5</v>
      </c>
      <c r="T186" s="749">
        <v>0.49</v>
      </c>
      <c r="U186" s="749">
        <v>0</v>
      </c>
      <c r="V186" s="749">
        <v>0.01</v>
      </c>
      <c r="W186" s="749">
        <v>1</v>
      </c>
      <c r="X186" s="751">
        <v>68510105</v>
      </c>
      <c r="Y186" s="751">
        <v>67139902</v>
      </c>
      <c r="Z186" s="751">
        <v>0</v>
      </c>
      <c r="AA186" s="751">
        <v>1370202</v>
      </c>
      <c r="AB186" s="751">
        <v>137020209</v>
      </c>
      <c r="AC186" s="751">
        <v>0</v>
      </c>
      <c r="AD186" s="751">
        <v>0</v>
      </c>
      <c r="AE186" s="751">
        <v>68510105</v>
      </c>
      <c r="AF186" s="751">
        <v>67139902</v>
      </c>
      <c r="AG186" s="751">
        <v>0</v>
      </c>
      <c r="AH186" s="751">
        <v>1370202</v>
      </c>
      <c r="AI186" s="751">
        <v>137020209</v>
      </c>
      <c r="AJ186" s="751">
        <v>461411</v>
      </c>
      <c r="AK186" s="751">
        <v>461411</v>
      </c>
      <c r="AL186" s="751">
        <v>0</v>
      </c>
      <c r="AM186" s="751">
        <v>0</v>
      </c>
      <c r="AN186" s="751">
        <v>690154</v>
      </c>
      <c r="AO186" s="751">
        <v>0</v>
      </c>
      <c r="AP186" s="751">
        <v>690154</v>
      </c>
      <c r="AQ186" s="751">
        <v>0</v>
      </c>
      <c r="AR186" s="751">
        <v>0</v>
      </c>
      <c r="AS186" s="751">
        <v>0</v>
      </c>
      <c r="AT186" s="751">
        <v>0</v>
      </c>
      <c r="AU186" s="751">
        <v>0</v>
      </c>
      <c r="AV186" s="751">
        <v>0</v>
      </c>
      <c r="AW186" s="751">
        <v>0</v>
      </c>
      <c r="AX186" s="751">
        <v>0</v>
      </c>
      <c r="AY186" s="751">
        <v>0</v>
      </c>
      <c r="AZ186" s="751">
        <v>0</v>
      </c>
      <c r="BA186" s="751">
        <v>0</v>
      </c>
      <c r="BB186" s="751">
        <v>0</v>
      </c>
      <c r="BC186" s="751">
        <v>-22877486</v>
      </c>
      <c r="BD186" s="751">
        <v>-23227040</v>
      </c>
      <c r="BE186" s="751">
        <v>0</v>
      </c>
      <c r="BF186" s="751">
        <v>-465702</v>
      </c>
      <c r="BG186" s="751">
        <v>-46570228</v>
      </c>
      <c r="BH186" s="751">
        <v>45632619</v>
      </c>
      <c r="BI186" s="751">
        <v>45064427</v>
      </c>
      <c r="BJ186" s="751">
        <v>0</v>
      </c>
      <c r="BK186" s="751">
        <v>904500</v>
      </c>
      <c r="BL186" s="751">
        <v>91601546</v>
      </c>
      <c r="BM186" s="751">
        <v>3534231</v>
      </c>
      <c r="BN186" s="751">
        <v>0</v>
      </c>
      <c r="BO186" s="751">
        <v>71393</v>
      </c>
      <c r="BP186" s="751">
        <v>3605624</v>
      </c>
      <c r="BQ186" s="751">
        <v>4257044</v>
      </c>
      <c r="BR186" s="751">
        <v>0</v>
      </c>
      <c r="BS186" s="751">
        <v>86878</v>
      </c>
      <c r="BT186" s="751">
        <v>4343922</v>
      </c>
      <c r="BU186" s="751">
        <v>185430</v>
      </c>
      <c r="BV186" s="751">
        <v>0</v>
      </c>
      <c r="BW186" s="751">
        <v>3784</v>
      </c>
      <c r="BX186" s="751">
        <v>189214</v>
      </c>
      <c r="BY186" s="751">
        <v>12989</v>
      </c>
      <c r="BZ186" s="751">
        <v>0</v>
      </c>
      <c r="CA186" s="751">
        <v>265</v>
      </c>
      <c r="CB186" s="751">
        <v>13254</v>
      </c>
      <c r="CC186" s="751">
        <v>11496</v>
      </c>
      <c r="CD186" s="751">
        <v>0</v>
      </c>
      <c r="CE186" s="751">
        <v>235</v>
      </c>
      <c r="CF186" s="751">
        <v>11731</v>
      </c>
      <c r="CG186" s="751">
        <v>81820</v>
      </c>
      <c r="CH186" s="751">
        <v>0</v>
      </c>
      <c r="CI186" s="751">
        <v>1670</v>
      </c>
      <c r="CJ186" s="751">
        <v>83490</v>
      </c>
      <c r="CK186" s="751">
        <v>0</v>
      </c>
      <c r="CL186" s="751">
        <v>0</v>
      </c>
      <c r="CM186" s="751">
        <v>0</v>
      </c>
      <c r="CN186" s="751">
        <v>0</v>
      </c>
      <c r="CO186" s="751">
        <v>0</v>
      </c>
      <c r="CP186" s="751">
        <v>0</v>
      </c>
      <c r="CQ186" s="751">
        <v>0</v>
      </c>
      <c r="CR186" s="751">
        <v>0</v>
      </c>
      <c r="CS186" s="751">
        <v>0</v>
      </c>
      <c r="CT186" s="751">
        <v>0</v>
      </c>
      <c r="CU186" s="751">
        <v>0</v>
      </c>
      <c r="CV186" s="751">
        <v>0</v>
      </c>
      <c r="CW186" s="751">
        <v>8083010</v>
      </c>
      <c r="CX186" s="751">
        <v>0</v>
      </c>
      <c r="CY186" s="751">
        <v>164225</v>
      </c>
      <c r="CZ186" s="751">
        <v>8247235</v>
      </c>
      <c r="DA186" s="662" t="s">
        <v>1092</v>
      </c>
      <c r="DB186" s="324" t="s">
        <v>486</v>
      </c>
      <c r="DC186" s="663" t="s">
        <v>1026</v>
      </c>
      <c r="DD186" s="529" t="s">
        <v>1540</v>
      </c>
    </row>
    <row r="187" spans="1:108" ht="12.75" x14ac:dyDescent="0.2">
      <c r="A187" s="664">
        <v>180</v>
      </c>
      <c r="B187" s="665" t="s">
        <v>237</v>
      </c>
      <c r="C187" s="666" t="s">
        <v>486</v>
      </c>
      <c r="D187" s="667" t="s">
        <v>1224</v>
      </c>
      <c r="E187" s="668" t="s">
        <v>490</v>
      </c>
      <c r="F187" s="750">
        <v>61882859</v>
      </c>
      <c r="G187" s="751">
        <v>0</v>
      </c>
      <c r="H187" s="751">
        <v>95060</v>
      </c>
      <c r="I187" s="751">
        <v>255175</v>
      </c>
      <c r="J187" s="751">
        <v>0</v>
      </c>
      <c r="K187" s="751">
        <v>255175</v>
      </c>
      <c r="L187" s="751">
        <v>0</v>
      </c>
      <c r="M187" s="751">
        <v>730767</v>
      </c>
      <c r="N187" s="751">
        <v>157302</v>
      </c>
      <c r="O187" s="751">
        <v>157302</v>
      </c>
      <c r="P187" s="751">
        <v>0</v>
      </c>
      <c r="Q187" s="751">
        <v>0</v>
      </c>
      <c r="R187" s="751">
        <v>60644555</v>
      </c>
      <c r="S187" s="749">
        <v>0.5</v>
      </c>
      <c r="T187" s="749">
        <v>0.49</v>
      </c>
      <c r="U187" s="749">
        <v>0</v>
      </c>
      <c r="V187" s="749">
        <v>0.01</v>
      </c>
      <c r="W187" s="749">
        <v>1</v>
      </c>
      <c r="X187" s="751">
        <v>30322277</v>
      </c>
      <c r="Y187" s="751">
        <v>29715832</v>
      </c>
      <c r="Z187" s="751">
        <v>0</v>
      </c>
      <c r="AA187" s="751">
        <v>606446</v>
      </c>
      <c r="AB187" s="751">
        <v>60644555</v>
      </c>
      <c r="AC187" s="751">
        <v>658022</v>
      </c>
      <c r="AD187" s="751">
        <v>658022</v>
      </c>
      <c r="AE187" s="751">
        <v>29664255</v>
      </c>
      <c r="AF187" s="751">
        <v>29715832</v>
      </c>
      <c r="AG187" s="751">
        <v>0</v>
      </c>
      <c r="AH187" s="751">
        <v>606446</v>
      </c>
      <c r="AI187" s="751">
        <v>59986533</v>
      </c>
      <c r="AJ187" s="751">
        <v>255175</v>
      </c>
      <c r="AK187" s="751">
        <v>255175</v>
      </c>
      <c r="AL187" s="751">
        <v>730767</v>
      </c>
      <c r="AM187" s="751">
        <v>730767</v>
      </c>
      <c r="AN187" s="751">
        <v>157302</v>
      </c>
      <c r="AO187" s="751">
        <v>0</v>
      </c>
      <c r="AP187" s="751">
        <v>157302</v>
      </c>
      <c r="AQ187" s="751">
        <v>0</v>
      </c>
      <c r="AR187" s="751">
        <v>0</v>
      </c>
      <c r="AS187" s="751">
        <v>0</v>
      </c>
      <c r="AT187" s="751">
        <v>0</v>
      </c>
      <c r="AU187" s="751">
        <v>0</v>
      </c>
      <c r="AV187" s="751">
        <v>0</v>
      </c>
      <c r="AW187" s="751">
        <v>0</v>
      </c>
      <c r="AX187" s="751">
        <v>0</v>
      </c>
      <c r="AY187" s="751">
        <v>0</v>
      </c>
      <c r="AZ187" s="751">
        <v>0</v>
      </c>
      <c r="BA187" s="751">
        <v>658022</v>
      </c>
      <c r="BB187" s="751">
        <v>658022</v>
      </c>
      <c r="BC187" s="751">
        <v>-13968266</v>
      </c>
      <c r="BD187" s="751">
        <v>-13688901</v>
      </c>
      <c r="BE187" s="751">
        <v>0</v>
      </c>
      <c r="BF187" s="751">
        <v>-279365</v>
      </c>
      <c r="BG187" s="751">
        <v>-27936532</v>
      </c>
      <c r="BH187" s="751">
        <v>15695989</v>
      </c>
      <c r="BI187" s="751">
        <v>17828197</v>
      </c>
      <c r="BJ187" s="751">
        <v>0</v>
      </c>
      <c r="BK187" s="751">
        <v>327081</v>
      </c>
      <c r="BL187" s="751">
        <v>33851267</v>
      </c>
      <c r="BM187" s="751">
        <v>1628878</v>
      </c>
      <c r="BN187" s="751">
        <v>0</v>
      </c>
      <c r="BO187" s="751">
        <v>31598</v>
      </c>
      <c r="BP187" s="751">
        <v>1660476</v>
      </c>
      <c r="BQ187" s="751">
        <v>2722880</v>
      </c>
      <c r="BR187" s="751">
        <v>0</v>
      </c>
      <c r="BS187" s="751">
        <v>54053</v>
      </c>
      <c r="BT187" s="751">
        <v>2776933</v>
      </c>
      <c r="BU187" s="751">
        <v>144130</v>
      </c>
      <c r="BV187" s="751">
        <v>0</v>
      </c>
      <c r="BW187" s="751">
        <v>2886</v>
      </c>
      <c r="BX187" s="751">
        <v>147016</v>
      </c>
      <c r="BY187" s="751">
        <v>3505</v>
      </c>
      <c r="BZ187" s="751">
        <v>0</v>
      </c>
      <c r="CA187" s="751">
        <v>72</v>
      </c>
      <c r="CB187" s="751">
        <v>3577</v>
      </c>
      <c r="CC187" s="751">
        <v>3065</v>
      </c>
      <c r="CD187" s="751">
        <v>0</v>
      </c>
      <c r="CE187" s="751">
        <v>63</v>
      </c>
      <c r="CF187" s="751">
        <v>3128</v>
      </c>
      <c r="CG187" s="751">
        <v>13555</v>
      </c>
      <c r="CH187" s="751">
        <v>0</v>
      </c>
      <c r="CI187" s="751">
        <v>277</v>
      </c>
      <c r="CJ187" s="751">
        <v>13832</v>
      </c>
      <c r="CK187" s="751">
        <v>0</v>
      </c>
      <c r="CL187" s="751">
        <v>0</v>
      </c>
      <c r="CM187" s="751">
        <v>0</v>
      </c>
      <c r="CN187" s="751">
        <v>0</v>
      </c>
      <c r="CO187" s="751">
        <v>154</v>
      </c>
      <c r="CP187" s="751">
        <v>0</v>
      </c>
      <c r="CQ187" s="751">
        <v>3</v>
      </c>
      <c r="CR187" s="751">
        <v>157</v>
      </c>
      <c r="CS187" s="751">
        <v>0</v>
      </c>
      <c r="CT187" s="751">
        <v>0</v>
      </c>
      <c r="CU187" s="751">
        <v>0</v>
      </c>
      <c r="CV187" s="751">
        <v>0</v>
      </c>
      <c r="CW187" s="751">
        <v>4516167</v>
      </c>
      <c r="CX187" s="751">
        <v>0</v>
      </c>
      <c r="CY187" s="751">
        <v>88952</v>
      </c>
      <c r="CZ187" s="751">
        <v>4605119</v>
      </c>
      <c r="DA187" s="662" t="s">
        <v>490</v>
      </c>
      <c r="DB187" s="324" t="s">
        <v>486</v>
      </c>
      <c r="DC187" s="663" t="s">
        <v>487</v>
      </c>
      <c r="DD187" s="529" t="s">
        <v>1393</v>
      </c>
    </row>
    <row r="188" spans="1:108" ht="12.75" x14ac:dyDescent="0.2">
      <c r="A188" s="664">
        <v>181</v>
      </c>
      <c r="B188" s="665" t="s">
        <v>239</v>
      </c>
      <c r="C188" s="666" t="s">
        <v>1217</v>
      </c>
      <c r="D188" s="667" t="s">
        <v>1283</v>
      </c>
      <c r="E188" s="668" t="s">
        <v>238</v>
      </c>
      <c r="F188" s="750">
        <v>57516542</v>
      </c>
      <c r="G188" s="751">
        <v>8150</v>
      </c>
      <c r="H188" s="751">
        <v>0</v>
      </c>
      <c r="I188" s="751">
        <v>233651</v>
      </c>
      <c r="J188" s="751">
        <v>0</v>
      </c>
      <c r="K188" s="751">
        <v>233651</v>
      </c>
      <c r="L188" s="751">
        <v>0</v>
      </c>
      <c r="M188" s="751">
        <v>126957</v>
      </c>
      <c r="N188" s="751">
        <v>0</v>
      </c>
      <c r="O188" s="751">
        <v>0</v>
      </c>
      <c r="P188" s="751">
        <v>0</v>
      </c>
      <c r="Q188" s="751">
        <v>0</v>
      </c>
      <c r="R188" s="751">
        <v>57164084</v>
      </c>
      <c r="S188" s="749">
        <v>0.5</v>
      </c>
      <c r="T188" s="749">
        <v>0.49</v>
      </c>
      <c r="U188" s="749">
        <v>0</v>
      </c>
      <c r="V188" s="749">
        <v>0.01</v>
      </c>
      <c r="W188" s="749">
        <v>1</v>
      </c>
      <c r="X188" s="751">
        <v>28582042</v>
      </c>
      <c r="Y188" s="751">
        <v>28010401</v>
      </c>
      <c r="Z188" s="751">
        <v>0</v>
      </c>
      <c r="AA188" s="751">
        <v>571641</v>
      </c>
      <c r="AB188" s="751">
        <v>57164084</v>
      </c>
      <c r="AC188" s="751">
        <v>6239</v>
      </c>
      <c r="AD188" s="751">
        <v>6239</v>
      </c>
      <c r="AE188" s="751">
        <v>28575803</v>
      </c>
      <c r="AF188" s="751">
        <v>28010401</v>
      </c>
      <c r="AG188" s="751">
        <v>0</v>
      </c>
      <c r="AH188" s="751">
        <v>571641</v>
      </c>
      <c r="AI188" s="751">
        <v>57157845</v>
      </c>
      <c r="AJ188" s="751">
        <v>233651</v>
      </c>
      <c r="AK188" s="751">
        <v>233651</v>
      </c>
      <c r="AL188" s="751">
        <v>126957</v>
      </c>
      <c r="AM188" s="751">
        <v>126957</v>
      </c>
      <c r="AN188" s="751">
        <v>0</v>
      </c>
      <c r="AO188" s="751">
        <v>0</v>
      </c>
      <c r="AP188" s="751">
        <v>0</v>
      </c>
      <c r="AQ188" s="751">
        <v>0</v>
      </c>
      <c r="AR188" s="751">
        <v>0</v>
      </c>
      <c r="AS188" s="751">
        <v>0</v>
      </c>
      <c r="AT188" s="751">
        <v>0</v>
      </c>
      <c r="AU188" s="751">
        <v>6239</v>
      </c>
      <c r="AV188" s="751">
        <v>0</v>
      </c>
      <c r="AW188" s="751">
        <v>0</v>
      </c>
      <c r="AX188" s="751">
        <v>6239</v>
      </c>
      <c r="AY188" s="751">
        <v>0</v>
      </c>
      <c r="AZ188" s="751">
        <v>0</v>
      </c>
      <c r="BA188" s="751">
        <v>0</v>
      </c>
      <c r="BB188" s="751">
        <v>0</v>
      </c>
      <c r="BC188" s="751">
        <v>-14518931</v>
      </c>
      <c r="BD188" s="751">
        <v>-14560916</v>
      </c>
      <c r="BE188" s="751">
        <v>0</v>
      </c>
      <c r="BF188" s="751">
        <v>-293736</v>
      </c>
      <c r="BG188" s="751">
        <v>-29373583</v>
      </c>
      <c r="BH188" s="751">
        <v>14056872</v>
      </c>
      <c r="BI188" s="751">
        <v>13816332</v>
      </c>
      <c r="BJ188" s="751">
        <v>0</v>
      </c>
      <c r="BK188" s="751">
        <v>277905</v>
      </c>
      <c r="BL188" s="751">
        <v>28151109</v>
      </c>
      <c r="BM188" s="751">
        <v>1466400</v>
      </c>
      <c r="BN188" s="751">
        <v>0</v>
      </c>
      <c r="BO188" s="751">
        <v>29785</v>
      </c>
      <c r="BP188" s="751">
        <v>1496185</v>
      </c>
      <c r="BQ188" s="751">
        <v>2487098</v>
      </c>
      <c r="BR188" s="751">
        <v>0</v>
      </c>
      <c r="BS188" s="751">
        <v>50527</v>
      </c>
      <c r="BT188" s="751">
        <v>2537625</v>
      </c>
      <c r="BU188" s="751">
        <v>109450</v>
      </c>
      <c r="BV188" s="751">
        <v>0</v>
      </c>
      <c r="BW188" s="751">
        <v>2221</v>
      </c>
      <c r="BX188" s="751">
        <v>111671</v>
      </c>
      <c r="BY188" s="751">
        <v>5946</v>
      </c>
      <c r="BZ188" s="751">
        <v>0</v>
      </c>
      <c r="CA188" s="751">
        <v>121</v>
      </c>
      <c r="CB188" s="751">
        <v>6067</v>
      </c>
      <c r="CC188" s="751">
        <v>0</v>
      </c>
      <c r="CD188" s="751">
        <v>0</v>
      </c>
      <c r="CE188" s="751">
        <v>0</v>
      </c>
      <c r="CF188" s="751">
        <v>0</v>
      </c>
      <c r="CG188" s="751">
        <v>17131</v>
      </c>
      <c r="CH188" s="751">
        <v>0</v>
      </c>
      <c r="CI188" s="751">
        <v>350</v>
      </c>
      <c r="CJ188" s="751">
        <v>17481</v>
      </c>
      <c r="CK188" s="751">
        <v>0</v>
      </c>
      <c r="CL188" s="751">
        <v>0</v>
      </c>
      <c r="CM188" s="751">
        <v>0</v>
      </c>
      <c r="CN188" s="751">
        <v>0</v>
      </c>
      <c r="CO188" s="751">
        <v>0</v>
      </c>
      <c r="CP188" s="751">
        <v>0</v>
      </c>
      <c r="CQ188" s="751">
        <v>0</v>
      </c>
      <c r="CR188" s="751">
        <v>0</v>
      </c>
      <c r="CS188" s="751">
        <v>0</v>
      </c>
      <c r="CT188" s="751">
        <v>0</v>
      </c>
      <c r="CU188" s="751">
        <v>0</v>
      </c>
      <c r="CV188" s="751">
        <v>0</v>
      </c>
      <c r="CW188" s="751">
        <v>4086025</v>
      </c>
      <c r="CX188" s="751">
        <v>0</v>
      </c>
      <c r="CY188" s="751">
        <v>83004</v>
      </c>
      <c r="CZ188" s="751">
        <v>4169029</v>
      </c>
      <c r="DA188" s="662" t="s">
        <v>238</v>
      </c>
      <c r="DB188" s="324" t="s">
        <v>570</v>
      </c>
      <c r="DC188" s="663" t="s">
        <v>573</v>
      </c>
      <c r="DD188" s="529" t="s">
        <v>1394</v>
      </c>
    </row>
    <row r="189" spans="1:108" ht="12.75" x14ac:dyDescent="0.2">
      <c r="A189" s="664">
        <v>182</v>
      </c>
      <c r="B189" s="665" t="s">
        <v>241</v>
      </c>
      <c r="C189" s="666" t="s">
        <v>1201</v>
      </c>
      <c r="D189" s="667" t="s">
        <v>1228</v>
      </c>
      <c r="E189" s="668" t="s">
        <v>240</v>
      </c>
      <c r="F189" s="750">
        <v>52585624</v>
      </c>
      <c r="G189" s="751">
        <v>40613</v>
      </c>
      <c r="H189" s="751">
        <v>0</v>
      </c>
      <c r="I189" s="751">
        <v>110424</v>
      </c>
      <c r="J189" s="751">
        <v>0</v>
      </c>
      <c r="K189" s="751">
        <v>110424</v>
      </c>
      <c r="L189" s="751">
        <v>0</v>
      </c>
      <c r="M189" s="751">
        <v>0</v>
      </c>
      <c r="N189" s="751">
        <v>0</v>
      </c>
      <c r="O189" s="751">
        <v>0</v>
      </c>
      <c r="P189" s="751">
        <v>0</v>
      </c>
      <c r="Q189" s="751">
        <v>0</v>
      </c>
      <c r="R189" s="751">
        <v>52515813</v>
      </c>
      <c r="S189" s="749">
        <v>0.5</v>
      </c>
      <c r="T189" s="749">
        <v>0.4</v>
      </c>
      <c r="U189" s="749">
        <v>0.1</v>
      </c>
      <c r="V189" s="749">
        <v>0</v>
      </c>
      <c r="W189" s="749">
        <v>1</v>
      </c>
      <c r="X189" s="751">
        <v>26257907</v>
      </c>
      <c r="Y189" s="751">
        <v>21006325</v>
      </c>
      <c r="Z189" s="751">
        <v>5251581</v>
      </c>
      <c r="AA189" s="751">
        <v>0</v>
      </c>
      <c r="AB189" s="751">
        <v>52515813</v>
      </c>
      <c r="AC189" s="751">
        <v>0</v>
      </c>
      <c r="AD189" s="751">
        <v>0</v>
      </c>
      <c r="AE189" s="751">
        <v>26257907</v>
      </c>
      <c r="AF189" s="751">
        <v>21006325</v>
      </c>
      <c r="AG189" s="751">
        <v>5251581</v>
      </c>
      <c r="AH189" s="751">
        <v>0</v>
      </c>
      <c r="AI189" s="751">
        <v>52515813</v>
      </c>
      <c r="AJ189" s="751">
        <v>110424</v>
      </c>
      <c r="AK189" s="751">
        <v>110424</v>
      </c>
      <c r="AL189" s="751">
        <v>0</v>
      </c>
      <c r="AM189" s="751">
        <v>0</v>
      </c>
      <c r="AN189" s="751">
        <v>0</v>
      </c>
      <c r="AO189" s="751">
        <v>0</v>
      </c>
      <c r="AP189" s="751">
        <v>0</v>
      </c>
      <c r="AQ189" s="751">
        <v>0</v>
      </c>
      <c r="AR189" s="751">
        <v>0</v>
      </c>
      <c r="AS189" s="751">
        <v>0</v>
      </c>
      <c r="AT189" s="751">
        <v>0</v>
      </c>
      <c r="AU189" s="751">
        <v>0</v>
      </c>
      <c r="AV189" s="751">
        <v>0</v>
      </c>
      <c r="AW189" s="751">
        <v>0</v>
      </c>
      <c r="AX189" s="751">
        <v>0</v>
      </c>
      <c r="AY189" s="751">
        <v>0</v>
      </c>
      <c r="AZ189" s="751">
        <v>0</v>
      </c>
      <c r="BA189" s="751">
        <v>0</v>
      </c>
      <c r="BB189" s="751">
        <v>0</v>
      </c>
      <c r="BC189" s="751">
        <v>-1246503</v>
      </c>
      <c r="BD189" s="751">
        <v>-997202</v>
      </c>
      <c r="BE189" s="751">
        <v>-249301</v>
      </c>
      <c r="BF189" s="751">
        <v>0</v>
      </c>
      <c r="BG189" s="751">
        <v>-2493005</v>
      </c>
      <c r="BH189" s="751">
        <v>25011404</v>
      </c>
      <c r="BI189" s="751">
        <v>20119547</v>
      </c>
      <c r="BJ189" s="751">
        <v>5002280</v>
      </c>
      <c r="BK189" s="751">
        <v>0</v>
      </c>
      <c r="BL189" s="751">
        <v>50133232</v>
      </c>
      <c r="BM189" s="751">
        <v>1094518</v>
      </c>
      <c r="BN189" s="751">
        <v>273629</v>
      </c>
      <c r="BO189" s="751">
        <v>0</v>
      </c>
      <c r="BP189" s="751">
        <v>1368147</v>
      </c>
      <c r="BQ189" s="751">
        <v>789720</v>
      </c>
      <c r="BR189" s="751">
        <v>197430</v>
      </c>
      <c r="BS189" s="751">
        <v>0</v>
      </c>
      <c r="BT189" s="751">
        <v>987150</v>
      </c>
      <c r="BU189" s="751">
        <v>45228</v>
      </c>
      <c r="BV189" s="751">
        <v>11307</v>
      </c>
      <c r="BW189" s="751">
        <v>0</v>
      </c>
      <c r="BX189" s="751">
        <v>56535</v>
      </c>
      <c r="BY189" s="751">
        <v>0</v>
      </c>
      <c r="BZ189" s="751">
        <v>0</v>
      </c>
      <c r="CA189" s="751">
        <v>0</v>
      </c>
      <c r="CB189" s="751">
        <v>0</v>
      </c>
      <c r="CC189" s="751">
        <v>5907</v>
      </c>
      <c r="CD189" s="751">
        <v>1477</v>
      </c>
      <c r="CE189" s="751">
        <v>0</v>
      </c>
      <c r="CF189" s="751">
        <v>7384</v>
      </c>
      <c r="CG189" s="751">
        <v>4798</v>
      </c>
      <c r="CH189" s="751">
        <v>1200</v>
      </c>
      <c r="CI189" s="751">
        <v>0</v>
      </c>
      <c r="CJ189" s="751">
        <v>5998</v>
      </c>
      <c r="CK189" s="751">
        <v>0</v>
      </c>
      <c r="CL189" s="751">
        <v>0</v>
      </c>
      <c r="CM189" s="751">
        <v>0</v>
      </c>
      <c r="CN189" s="751">
        <v>0</v>
      </c>
      <c r="CO189" s="751">
        <v>0</v>
      </c>
      <c r="CP189" s="751">
        <v>0</v>
      </c>
      <c r="CQ189" s="751">
        <v>0</v>
      </c>
      <c r="CR189" s="751">
        <v>0</v>
      </c>
      <c r="CS189" s="751">
        <v>0</v>
      </c>
      <c r="CT189" s="751">
        <v>0</v>
      </c>
      <c r="CU189" s="751">
        <v>0</v>
      </c>
      <c r="CV189" s="751">
        <v>0</v>
      </c>
      <c r="CW189" s="751">
        <v>1940171</v>
      </c>
      <c r="CX189" s="751">
        <v>485043</v>
      </c>
      <c r="CY189" s="751">
        <v>0</v>
      </c>
      <c r="CZ189" s="751">
        <v>2425214</v>
      </c>
      <c r="DA189" s="662" t="s">
        <v>240</v>
      </c>
      <c r="DB189" s="324" t="s">
        <v>567</v>
      </c>
      <c r="DC189" s="663" t="s">
        <v>512</v>
      </c>
      <c r="DD189" s="529" t="s">
        <v>1395</v>
      </c>
    </row>
    <row r="190" spans="1:108" ht="12.75" x14ac:dyDescent="0.2">
      <c r="A190" s="664">
        <v>183</v>
      </c>
      <c r="B190" s="665" t="s">
        <v>247</v>
      </c>
      <c r="C190" s="666" t="s">
        <v>1201</v>
      </c>
      <c r="D190" s="667" t="s">
        <v>1206</v>
      </c>
      <c r="E190" s="668" t="s">
        <v>246</v>
      </c>
      <c r="F190" s="750">
        <v>75197930</v>
      </c>
      <c r="G190" s="751">
        <v>169218</v>
      </c>
      <c r="H190" s="751">
        <v>0</v>
      </c>
      <c r="I190" s="751">
        <v>153348</v>
      </c>
      <c r="J190" s="751">
        <v>0</v>
      </c>
      <c r="K190" s="751">
        <v>153348</v>
      </c>
      <c r="L190" s="751">
        <v>0</v>
      </c>
      <c r="M190" s="751">
        <v>0</v>
      </c>
      <c r="N190" s="751">
        <v>168750</v>
      </c>
      <c r="O190" s="751">
        <v>168750</v>
      </c>
      <c r="P190" s="751">
        <v>0</v>
      </c>
      <c r="Q190" s="751">
        <v>0</v>
      </c>
      <c r="R190" s="751">
        <v>75045050</v>
      </c>
      <c r="S190" s="749">
        <v>0.5</v>
      </c>
      <c r="T190" s="749">
        <v>0.4</v>
      </c>
      <c r="U190" s="749">
        <v>0.09</v>
      </c>
      <c r="V190" s="749">
        <v>0.01</v>
      </c>
      <c r="W190" s="749">
        <v>1</v>
      </c>
      <c r="X190" s="751">
        <v>37522524</v>
      </c>
      <c r="Y190" s="751">
        <v>30018020</v>
      </c>
      <c r="Z190" s="751">
        <v>6754055</v>
      </c>
      <c r="AA190" s="751">
        <v>750451</v>
      </c>
      <c r="AB190" s="751">
        <v>75045050</v>
      </c>
      <c r="AC190" s="751">
        <v>0</v>
      </c>
      <c r="AD190" s="751">
        <v>0</v>
      </c>
      <c r="AE190" s="751">
        <v>37522524</v>
      </c>
      <c r="AF190" s="751">
        <v>30018020</v>
      </c>
      <c r="AG190" s="751">
        <v>6754055</v>
      </c>
      <c r="AH190" s="751">
        <v>750451</v>
      </c>
      <c r="AI190" s="751">
        <v>75045050</v>
      </c>
      <c r="AJ190" s="751">
        <v>153348</v>
      </c>
      <c r="AK190" s="751">
        <v>153348</v>
      </c>
      <c r="AL190" s="751">
        <v>0</v>
      </c>
      <c r="AM190" s="751">
        <v>0</v>
      </c>
      <c r="AN190" s="751">
        <v>168750</v>
      </c>
      <c r="AO190" s="751">
        <v>0</v>
      </c>
      <c r="AP190" s="751">
        <v>168750</v>
      </c>
      <c r="AQ190" s="751">
        <v>0</v>
      </c>
      <c r="AR190" s="751">
        <v>0</v>
      </c>
      <c r="AS190" s="751">
        <v>0</v>
      </c>
      <c r="AT190" s="751">
        <v>0</v>
      </c>
      <c r="AU190" s="751">
        <v>0</v>
      </c>
      <c r="AV190" s="751">
        <v>0</v>
      </c>
      <c r="AW190" s="751">
        <v>0</v>
      </c>
      <c r="AX190" s="751">
        <v>0</v>
      </c>
      <c r="AY190" s="751">
        <v>0</v>
      </c>
      <c r="AZ190" s="751">
        <v>0</v>
      </c>
      <c r="BA190" s="751">
        <v>0</v>
      </c>
      <c r="BB190" s="751">
        <v>0</v>
      </c>
      <c r="BC190" s="751">
        <v>-6281517</v>
      </c>
      <c r="BD190" s="751">
        <v>-5099448</v>
      </c>
      <c r="BE190" s="751">
        <v>-1266416</v>
      </c>
      <c r="BF190" s="751">
        <v>-127751</v>
      </c>
      <c r="BG190" s="751">
        <v>-12775133</v>
      </c>
      <c r="BH190" s="751">
        <v>31241007</v>
      </c>
      <c r="BI190" s="751">
        <v>25240670</v>
      </c>
      <c r="BJ190" s="751">
        <v>5487639</v>
      </c>
      <c r="BK190" s="751">
        <v>622700</v>
      </c>
      <c r="BL190" s="751">
        <v>62592015</v>
      </c>
      <c r="BM190" s="751">
        <v>1572858</v>
      </c>
      <c r="BN190" s="751">
        <v>351915</v>
      </c>
      <c r="BO190" s="751">
        <v>39102</v>
      </c>
      <c r="BP190" s="751">
        <v>1963875</v>
      </c>
      <c r="BQ190" s="751">
        <v>1034055</v>
      </c>
      <c r="BR190" s="751">
        <v>232662</v>
      </c>
      <c r="BS190" s="751">
        <v>25851</v>
      </c>
      <c r="BT190" s="751">
        <v>1292568</v>
      </c>
      <c r="BU190" s="751">
        <v>81750</v>
      </c>
      <c r="BV190" s="751">
        <v>18394</v>
      </c>
      <c r="BW190" s="751">
        <v>2044</v>
      </c>
      <c r="BX190" s="751">
        <v>102188</v>
      </c>
      <c r="BY190" s="751">
        <v>1924</v>
      </c>
      <c r="BZ190" s="751">
        <v>433</v>
      </c>
      <c r="CA190" s="751">
        <v>48</v>
      </c>
      <c r="CB190" s="751">
        <v>2405</v>
      </c>
      <c r="CC190" s="751">
        <v>1990</v>
      </c>
      <c r="CD190" s="751">
        <v>448</v>
      </c>
      <c r="CE190" s="751">
        <v>50</v>
      </c>
      <c r="CF190" s="751">
        <v>2488</v>
      </c>
      <c r="CG190" s="751">
        <v>10590</v>
      </c>
      <c r="CH190" s="751">
        <v>2383</v>
      </c>
      <c r="CI190" s="751">
        <v>265</v>
      </c>
      <c r="CJ190" s="751">
        <v>13238</v>
      </c>
      <c r="CK190" s="751">
        <v>0</v>
      </c>
      <c r="CL190" s="751">
        <v>0</v>
      </c>
      <c r="CM190" s="751">
        <v>0</v>
      </c>
      <c r="CN190" s="751">
        <v>0</v>
      </c>
      <c r="CO190" s="751">
        <v>0</v>
      </c>
      <c r="CP190" s="751">
        <v>0</v>
      </c>
      <c r="CQ190" s="751">
        <v>0</v>
      </c>
      <c r="CR190" s="751">
        <v>0</v>
      </c>
      <c r="CS190" s="751">
        <v>631</v>
      </c>
      <c r="CT190" s="751">
        <v>142</v>
      </c>
      <c r="CU190" s="751">
        <v>16</v>
      </c>
      <c r="CV190" s="751">
        <v>789</v>
      </c>
      <c r="CW190" s="751">
        <v>2703798</v>
      </c>
      <c r="CX190" s="751">
        <v>606377</v>
      </c>
      <c r="CY190" s="751">
        <v>67376</v>
      </c>
      <c r="CZ190" s="751">
        <v>3377551</v>
      </c>
      <c r="DA190" s="662" t="s">
        <v>246</v>
      </c>
      <c r="DB190" s="324" t="s">
        <v>551</v>
      </c>
      <c r="DC190" s="663" t="s">
        <v>549</v>
      </c>
      <c r="DD190" s="529" t="s">
        <v>1396</v>
      </c>
    </row>
    <row r="191" spans="1:108" ht="12.75" x14ac:dyDescent="0.2">
      <c r="A191" s="664">
        <v>184</v>
      </c>
      <c r="B191" s="665" t="s">
        <v>249</v>
      </c>
      <c r="C191" s="666" t="s">
        <v>486</v>
      </c>
      <c r="D191" s="667" t="s">
        <v>1283</v>
      </c>
      <c r="E191" s="668" t="s">
        <v>248</v>
      </c>
      <c r="F191" s="750">
        <v>85946550</v>
      </c>
      <c r="G191" s="751">
        <v>715461</v>
      </c>
      <c r="H191" s="751">
        <v>0</v>
      </c>
      <c r="I191" s="751">
        <v>485821</v>
      </c>
      <c r="J191" s="751">
        <v>0</v>
      </c>
      <c r="K191" s="751">
        <v>485821</v>
      </c>
      <c r="L191" s="751">
        <v>0</v>
      </c>
      <c r="M191" s="751">
        <v>273652</v>
      </c>
      <c r="N191" s="751">
        <v>4852239</v>
      </c>
      <c r="O191" s="751">
        <v>4852239</v>
      </c>
      <c r="P191" s="751">
        <v>0</v>
      </c>
      <c r="Q191" s="751">
        <v>0</v>
      </c>
      <c r="R191" s="751">
        <v>81050299</v>
      </c>
      <c r="S191" s="749">
        <v>0.5</v>
      </c>
      <c r="T191" s="749">
        <v>0.5</v>
      </c>
      <c r="U191" s="749">
        <v>0</v>
      </c>
      <c r="V191" s="749">
        <v>0</v>
      </c>
      <c r="W191" s="749">
        <v>1</v>
      </c>
      <c r="X191" s="751">
        <v>40525149</v>
      </c>
      <c r="Y191" s="751">
        <v>40525150</v>
      </c>
      <c r="Z191" s="751">
        <v>0</v>
      </c>
      <c r="AA191" s="751">
        <v>0</v>
      </c>
      <c r="AB191" s="751">
        <v>81050299</v>
      </c>
      <c r="AC191" s="751">
        <v>66978</v>
      </c>
      <c r="AD191" s="751">
        <v>66978</v>
      </c>
      <c r="AE191" s="751">
        <v>40458171</v>
      </c>
      <c r="AF191" s="751">
        <v>40525150</v>
      </c>
      <c r="AG191" s="751">
        <v>0</v>
      </c>
      <c r="AH191" s="751">
        <v>0</v>
      </c>
      <c r="AI191" s="751">
        <v>80983321</v>
      </c>
      <c r="AJ191" s="751">
        <v>485821</v>
      </c>
      <c r="AK191" s="751">
        <v>485821</v>
      </c>
      <c r="AL191" s="751">
        <v>273652</v>
      </c>
      <c r="AM191" s="751">
        <v>273652</v>
      </c>
      <c r="AN191" s="751">
        <v>4852239</v>
      </c>
      <c r="AO191" s="751">
        <v>0</v>
      </c>
      <c r="AP191" s="751">
        <v>4852239</v>
      </c>
      <c r="AQ191" s="751">
        <v>0</v>
      </c>
      <c r="AR191" s="751">
        <v>0</v>
      </c>
      <c r="AS191" s="751">
        <v>0</v>
      </c>
      <c r="AT191" s="751">
        <v>0</v>
      </c>
      <c r="AU191" s="751">
        <v>66978</v>
      </c>
      <c r="AV191" s="751">
        <v>0</v>
      </c>
      <c r="AW191" s="751">
        <v>0</v>
      </c>
      <c r="AX191" s="751">
        <v>66978</v>
      </c>
      <c r="AY191" s="751">
        <v>0</v>
      </c>
      <c r="AZ191" s="751">
        <v>0</v>
      </c>
      <c r="BA191" s="751">
        <v>0</v>
      </c>
      <c r="BB191" s="751">
        <v>0</v>
      </c>
      <c r="BC191" s="751">
        <v>-20394430</v>
      </c>
      <c r="BD191" s="751">
        <v>-20743252</v>
      </c>
      <c r="BE191" s="751">
        <v>0</v>
      </c>
      <c r="BF191" s="751">
        <v>0</v>
      </c>
      <c r="BG191" s="751">
        <v>-41137682</v>
      </c>
      <c r="BH191" s="751">
        <v>20063741</v>
      </c>
      <c r="BI191" s="751">
        <v>25460588</v>
      </c>
      <c r="BJ191" s="751">
        <v>0</v>
      </c>
      <c r="BK191" s="751">
        <v>0</v>
      </c>
      <c r="BL191" s="751">
        <v>45524329</v>
      </c>
      <c r="BM191" s="751">
        <v>2382101</v>
      </c>
      <c r="BN191" s="751">
        <v>0</v>
      </c>
      <c r="BO191" s="751">
        <v>0</v>
      </c>
      <c r="BP191" s="751">
        <v>2382101</v>
      </c>
      <c r="BQ191" s="751">
        <v>5182165</v>
      </c>
      <c r="BR191" s="751">
        <v>0</v>
      </c>
      <c r="BS191" s="751">
        <v>0</v>
      </c>
      <c r="BT191" s="751">
        <v>5182165</v>
      </c>
      <c r="BU191" s="751">
        <v>236054</v>
      </c>
      <c r="BV191" s="751">
        <v>0</v>
      </c>
      <c r="BW191" s="751">
        <v>0</v>
      </c>
      <c r="BX191" s="751">
        <v>236054</v>
      </c>
      <c r="BY191" s="751">
        <v>21604</v>
      </c>
      <c r="BZ191" s="751">
        <v>0</v>
      </c>
      <c r="CA191" s="751">
        <v>0</v>
      </c>
      <c r="CB191" s="751">
        <v>21604</v>
      </c>
      <c r="CC191" s="751">
        <v>35711</v>
      </c>
      <c r="CD191" s="751">
        <v>0</v>
      </c>
      <c r="CE191" s="751">
        <v>0</v>
      </c>
      <c r="CF191" s="751">
        <v>35711</v>
      </c>
      <c r="CG191" s="751">
        <v>57230</v>
      </c>
      <c r="CH191" s="751">
        <v>0</v>
      </c>
      <c r="CI191" s="751">
        <v>0</v>
      </c>
      <c r="CJ191" s="751">
        <v>57230</v>
      </c>
      <c r="CK191" s="751">
        <v>0</v>
      </c>
      <c r="CL191" s="751">
        <v>0</v>
      </c>
      <c r="CM191" s="751">
        <v>0</v>
      </c>
      <c r="CN191" s="751">
        <v>0</v>
      </c>
      <c r="CO191" s="751">
        <v>0</v>
      </c>
      <c r="CP191" s="751">
        <v>0</v>
      </c>
      <c r="CQ191" s="751">
        <v>0</v>
      </c>
      <c r="CR191" s="751">
        <v>0</v>
      </c>
      <c r="CS191" s="751">
        <v>789</v>
      </c>
      <c r="CT191" s="751">
        <v>0</v>
      </c>
      <c r="CU191" s="751">
        <v>0</v>
      </c>
      <c r="CV191" s="751">
        <v>789</v>
      </c>
      <c r="CW191" s="751">
        <v>7915654</v>
      </c>
      <c r="CX191" s="751">
        <v>0</v>
      </c>
      <c r="CY191" s="751">
        <v>0</v>
      </c>
      <c r="CZ191" s="751">
        <v>7915654</v>
      </c>
      <c r="DA191" s="662" t="s">
        <v>248</v>
      </c>
      <c r="DB191" s="324" t="s">
        <v>486</v>
      </c>
      <c r="DC191" s="663" t="s">
        <v>512</v>
      </c>
      <c r="DD191" s="529" t="s">
        <v>1397</v>
      </c>
    </row>
    <row r="192" spans="1:108" ht="12.75" x14ac:dyDescent="0.2">
      <c r="A192" s="664">
        <v>185</v>
      </c>
      <c r="B192" s="665" t="s">
        <v>251</v>
      </c>
      <c r="C192" s="666" t="s">
        <v>1201</v>
      </c>
      <c r="D192" s="667" t="s">
        <v>1211</v>
      </c>
      <c r="E192" s="668" t="s">
        <v>250</v>
      </c>
      <c r="F192" s="750">
        <v>76546905</v>
      </c>
      <c r="G192" s="751">
        <v>0</v>
      </c>
      <c r="H192" s="751">
        <v>239968</v>
      </c>
      <c r="I192" s="751">
        <v>268473</v>
      </c>
      <c r="J192" s="751">
        <v>0</v>
      </c>
      <c r="K192" s="751">
        <v>268473</v>
      </c>
      <c r="L192" s="751">
        <v>0</v>
      </c>
      <c r="M192" s="751">
        <v>0</v>
      </c>
      <c r="N192" s="751">
        <v>0</v>
      </c>
      <c r="O192" s="751">
        <v>0</v>
      </c>
      <c r="P192" s="751">
        <v>0</v>
      </c>
      <c r="Q192" s="751">
        <v>0</v>
      </c>
      <c r="R192" s="751">
        <v>76038464</v>
      </c>
      <c r="S192" s="749">
        <v>0.5</v>
      </c>
      <c r="T192" s="749">
        <v>0.4</v>
      </c>
      <c r="U192" s="749">
        <v>0.1</v>
      </c>
      <c r="V192" s="749">
        <v>0</v>
      </c>
      <c r="W192" s="749">
        <v>1</v>
      </c>
      <c r="X192" s="751">
        <v>38019232</v>
      </c>
      <c r="Y192" s="751">
        <v>30415386</v>
      </c>
      <c r="Z192" s="751">
        <v>7603846</v>
      </c>
      <c r="AA192" s="751">
        <v>0</v>
      </c>
      <c r="AB192" s="751">
        <v>76038464</v>
      </c>
      <c r="AC192" s="751">
        <v>0</v>
      </c>
      <c r="AD192" s="751">
        <v>0</v>
      </c>
      <c r="AE192" s="751">
        <v>38019232</v>
      </c>
      <c r="AF192" s="751">
        <v>30415386</v>
      </c>
      <c r="AG192" s="751">
        <v>7603846</v>
      </c>
      <c r="AH192" s="751">
        <v>0</v>
      </c>
      <c r="AI192" s="751">
        <v>76038464</v>
      </c>
      <c r="AJ192" s="751">
        <v>268473</v>
      </c>
      <c r="AK192" s="751">
        <v>268473</v>
      </c>
      <c r="AL192" s="751">
        <v>0</v>
      </c>
      <c r="AM192" s="751">
        <v>0</v>
      </c>
      <c r="AN192" s="751">
        <v>0</v>
      </c>
      <c r="AO192" s="751">
        <v>0</v>
      </c>
      <c r="AP192" s="751">
        <v>0</v>
      </c>
      <c r="AQ192" s="751">
        <v>0</v>
      </c>
      <c r="AR192" s="751">
        <v>0</v>
      </c>
      <c r="AS192" s="751">
        <v>0</v>
      </c>
      <c r="AT192" s="751">
        <v>0</v>
      </c>
      <c r="AU192" s="751">
        <v>0</v>
      </c>
      <c r="AV192" s="751">
        <v>0</v>
      </c>
      <c r="AW192" s="751">
        <v>0</v>
      </c>
      <c r="AX192" s="751">
        <v>0</v>
      </c>
      <c r="AY192" s="751">
        <v>0</v>
      </c>
      <c r="AZ192" s="751">
        <v>0</v>
      </c>
      <c r="BA192" s="751">
        <v>0</v>
      </c>
      <c r="BB192" s="751">
        <v>0</v>
      </c>
      <c r="BC192" s="751">
        <v>-21723847</v>
      </c>
      <c r="BD192" s="751">
        <v>-17293229</v>
      </c>
      <c r="BE192" s="751">
        <v>-4239844</v>
      </c>
      <c r="BF192" s="751">
        <v>0</v>
      </c>
      <c r="BG192" s="751">
        <v>-43256920</v>
      </c>
      <c r="BH192" s="751">
        <v>16295385</v>
      </c>
      <c r="BI192" s="751">
        <v>13390630</v>
      </c>
      <c r="BJ192" s="751">
        <v>3364002</v>
      </c>
      <c r="BK192" s="751">
        <v>0</v>
      </c>
      <c r="BL192" s="751">
        <v>33050017</v>
      </c>
      <c r="BM192" s="751">
        <v>1584770</v>
      </c>
      <c r="BN192" s="751">
        <v>396192</v>
      </c>
      <c r="BO192" s="751">
        <v>0</v>
      </c>
      <c r="BP192" s="751">
        <v>1980962</v>
      </c>
      <c r="BQ192" s="751">
        <v>2027825</v>
      </c>
      <c r="BR192" s="751">
        <v>506956</v>
      </c>
      <c r="BS192" s="751">
        <v>0</v>
      </c>
      <c r="BT192" s="751">
        <v>2534781</v>
      </c>
      <c r="BU192" s="751">
        <v>147328</v>
      </c>
      <c r="BV192" s="751">
        <v>36832</v>
      </c>
      <c r="BW192" s="751">
        <v>0</v>
      </c>
      <c r="BX192" s="751">
        <v>184160</v>
      </c>
      <c r="BY192" s="751">
        <v>9749</v>
      </c>
      <c r="BZ192" s="751">
        <v>2437</v>
      </c>
      <c r="CA192" s="751">
        <v>0</v>
      </c>
      <c r="CB192" s="751">
        <v>12186</v>
      </c>
      <c r="CC192" s="751">
        <v>0</v>
      </c>
      <c r="CD192" s="751">
        <v>0</v>
      </c>
      <c r="CE192" s="751">
        <v>0</v>
      </c>
      <c r="CF192" s="751">
        <v>0</v>
      </c>
      <c r="CG192" s="751">
        <v>8439</v>
      </c>
      <c r="CH192" s="751">
        <v>2110</v>
      </c>
      <c r="CI192" s="751">
        <v>0</v>
      </c>
      <c r="CJ192" s="751">
        <v>10549</v>
      </c>
      <c r="CK192" s="751">
        <v>0</v>
      </c>
      <c r="CL192" s="751">
        <v>0</v>
      </c>
      <c r="CM192" s="751">
        <v>0</v>
      </c>
      <c r="CN192" s="751">
        <v>0</v>
      </c>
      <c r="CO192" s="751">
        <v>0</v>
      </c>
      <c r="CP192" s="751">
        <v>0</v>
      </c>
      <c r="CQ192" s="751">
        <v>0</v>
      </c>
      <c r="CR192" s="751">
        <v>0</v>
      </c>
      <c r="CS192" s="751">
        <v>631</v>
      </c>
      <c r="CT192" s="751">
        <v>158</v>
      </c>
      <c r="CU192" s="751">
        <v>0</v>
      </c>
      <c r="CV192" s="751">
        <v>789</v>
      </c>
      <c r="CW192" s="751">
        <v>3778742</v>
      </c>
      <c r="CX192" s="751">
        <v>944685</v>
      </c>
      <c r="CY192" s="751">
        <v>0</v>
      </c>
      <c r="CZ192" s="751">
        <v>4723427</v>
      </c>
      <c r="DA192" s="662" t="s">
        <v>250</v>
      </c>
      <c r="DB192" s="324" t="s">
        <v>553</v>
      </c>
      <c r="DC192" s="663" t="s">
        <v>512</v>
      </c>
      <c r="DD192" s="529" t="s">
        <v>1398</v>
      </c>
    </row>
    <row r="193" spans="1:108" ht="12.75" x14ac:dyDescent="0.2">
      <c r="A193" s="664">
        <v>186</v>
      </c>
      <c r="B193" s="665" t="s">
        <v>253</v>
      </c>
      <c r="C193" s="666" t="s">
        <v>486</v>
      </c>
      <c r="D193" s="667" t="s">
        <v>1206</v>
      </c>
      <c r="E193" s="668" t="s">
        <v>557</v>
      </c>
      <c r="F193" s="750">
        <v>134171449</v>
      </c>
      <c r="G193" s="751">
        <v>1001089</v>
      </c>
      <c r="H193" s="751">
        <v>0</v>
      </c>
      <c r="I193" s="751">
        <v>472938</v>
      </c>
      <c r="J193" s="751">
        <v>0</v>
      </c>
      <c r="K193" s="751">
        <v>472938</v>
      </c>
      <c r="L193" s="751">
        <v>0</v>
      </c>
      <c r="M193" s="751">
        <v>0</v>
      </c>
      <c r="N193" s="751">
        <v>0</v>
      </c>
      <c r="O193" s="751">
        <v>0</v>
      </c>
      <c r="P193" s="751">
        <v>0</v>
      </c>
      <c r="Q193" s="751">
        <v>0</v>
      </c>
      <c r="R193" s="751">
        <v>134699600</v>
      </c>
      <c r="S193" s="749">
        <v>0.5</v>
      </c>
      <c r="T193" s="749">
        <v>0.49</v>
      </c>
      <c r="U193" s="749">
        <v>0</v>
      </c>
      <c r="V193" s="749">
        <v>0.01</v>
      </c>
      <c r="W193" s="749">
        <v>1</v>
      </c>
      <c r="X193" s="751">
        <v>67349800</v>
      </c>
      <c r="Y193" s="751">
        <v>66002804</v>
      </c>
      <c r="Z193" s="751">
        <v>0</v>
      </c>
      <c r="AA193" s="751">
        <v>1346996</v>
      </c>
      <c r="AB193" s="751">
        <v>134699600</v>
      </c>
      <c r="AC193" s="751">
        <v>0</v>
      </c>
      <c r="AD193" s="751">
        <v>0</v>
      </c>
      <c r="AE193" s="751">
        <v>67349800</v>
      </c>
      <c r="AF193" s="751">
        <v>66002804</v>
      </c>
      <c r="AG193" s="751">
        <v>0</v>
      </c>
      <c r="AH193" s="751">
        <v>1346996</v>
      </c>
      <c r="AI193" s="751">
        <v>134699600</v>
      </c>
      <c r="AJ193" s="751">
        <v>472938</v>
      </c>
      <c r="AK193" s="751">
        <v>472938</v>
      </c>
      <c r="AL193" s="751">
        <v>0</v>
      </c>
      <c r="AM193" s="751">
        <v>0</v>
      </c>
      <c r="AN193" s="751">
        <v>0</v>
      </c>
      <c r="AO193" s="751">
        <v>0</v>
      </c>
      <c r="AP193" s="751">
        <v>0</v>
      </c>
      <c r="AQ193" s="751">
        <v>0</v>
      </c>
      <c r="AR193" s="751">
        <v>0</v>
      </c>
      <c r="AS193" s="751">
        <v>0</v>
      </c>
      <c r="AT193" s="751">
        <v>0</v>
      </c>
      <c r="AU193" s="751">
        <v>0</v>
      </c>
      <c r="AV193" s="751">
        <v>0</v>
      </c>
      <c r="AW193" s="751">
        <v>0</v>
      </c>
      <c r="AX193" s="751">
        <v>0</v>
      </c>
      <c r="AY193" s="751">
        <v>0</v>
      </c>
      <c r="AZ193" s="751">
        <v>0</v>
      </c>
      <c r="BA193" s="751">
        <v>0</v>
      </c>
      <c r="BB193" s="751">
        <v>0</v>
      </c>
      <c r="BC193" s="751">
        <v>-33887356</v>
      </c>
      <c r="BD193" s="751">
        <v>-33209609</v>
      </c>
      <c r="BE193" s="751">
        <v>0</v>
      </c>
      <c r="BF193" s="751">
        <v>-677747</v>
      </c>
      <c r="BG193" s="751">
        <v>-67774712</v>
      </c>
      <c r="BH193" s="751">
        <v>33462444</v>
      </c>
      <c r="BI193" s="751">
        <v>33266133</v>
      </c>
      <c r="BJ193" s="751">
        <v>0</v>
      </c>
      <c r="BK193" s="751">
        <v>669249</v>
      </c>
      <c r="BL193" s="751">
        <v>67397826</v>
      </c>
      <c r="BM193" s="751">
        <v>3439024</v>
      </c>
      <c r="BN193" s="751">
        <v>0</v>
      </c>
      <c r="BO193" s="751">
        <v>70184</v>
      </c>
      <c r="BP193" s="751">
        <v>3509208</v>
      </c>
      <c r="BQ193" s="751">
        <v>3528288</v>
      </c>
      <c r="BR193" s="751">
        <v>0</v>
      </c>
      <c r="BS193" s="751">
        <v>67287</v>
      </c>
      <c r="BT193" s="751">
        <v>3595575</v>
      </c>
      <c r="BU193" s="751">
        <v>281015</v>
      </c>
      <c r="BV193" s="751">
        <v>0</v>
      </c>
      <c r="BW193" s="751">
        <v>4903</v>
      </c>
      <c r="BX193" s="751">
        <v>285918</v>
      </c>
      <c r="BY193" s="751">
        <v>38669</v>
      </c>
      <c r="BZ193" s="751">
        <v>0</v>
      </c>
      <c r="CA193" s="751">
        <v>725</v>
      </c>
      <c r="CB193" s="751">
        <v>39394</v>
      </c>
      <c r="CC193" s="751">
        <v>0</v>
      </c>
      <c r="CD193" s="751">
        <v>0</v>
      </c>
      <c r="CE193" s="751">
        <v>0</v>
      </c>
      <c r="CF193" s="751">
        <v>0</v>
      </c>
      <c r="CG193" s="751">
        <v>30458</v>
      </c>
      <c r="CH193" s="751">
        <v>0</v>
      </c>
      <c r="CI193" s="751">
        <v>608</v>
      </c>
      <c r="CJ193" s="751">
        <v>31066</v>
      </c>
      <c r="CK193" s="751">
        <v>0</v>
      </c>
      <c r="CL193" s="751">
        <v>0</v>
      </c>
      <c r="CM193" s="751">
        <v>0</v>
      </c>
      <c r="CN193" s="751">
        <v>0</v>
      </c>
      <c r="CO193" s="751">
        <v>0</v>
      </c>
      <c r="CP193" s="751">
        <v>0</v>
      </c>
      <c r="CQ193" s="751">
        <v>0</v>
      </c>
      <c r="CR193" s="751">
        <v>0</v>
      </c>
      <c r="CS193" s="751">
        <v>773</v>
      </c>
      <c r="CT193" s="751">
        <v>0</v>
      </c>
      <c r="CU193" s="751">
        <v>16</v>
      </c>
      <c r="CV193" s="751">
        <v>789</v>
      </c>
      <c r="CW193" s="751">
        <v>7318227</v>
      </c>
      <c r="CX193" s="751">
        <v>0</v>
      </c>
      <c r="CY193" s="751">
        <v>143723</v>
      </c>
      <c r="CZ193" s="751">
        <v>7461950</v>
      </c>
      <c r="DA193" s="662" t="s">
        <v>557</v>
      </c>
      <c r="DB193" s="324" t="s">
        <v>486</v>
      </c>
      <c r="DC193" s="663" t="s">
        <v>558</v>
      </c>
      <c r="DD193" s="529" t="s">
        <v>1399</v>
      </c>
    </row>
    <row r="194" spans="1:108" ht="12.75" x14ac:dyDescent="0.2">
      <c r="A194" s="664">
        <v>187</v>
      </c>
      <c r="B194" s="665" t="s">
        <v>255</v>
      </c>
      <c r="C194" s="666" t="s">
        <v>1201</v>
      </c>
      <c r="D194" s="667" t="s">
        <v>1228</v>
      </c>
      <c r="E194" s="668" t="s">
        <v>254</v>
      </c>
      <c r="F194" s="750">
        <v>33719284</v>
      </c>
      <c r="G194" s="751">
        <v>0</v>
      </c>
      <c r="H194" s="751">
        <v>45057</v>
      </c>
      <c r="I194" s="751">
        <v>127908</v>
      </c>
      <c r="J194" s="751">
        <v>0</v>
      </c>
      <c r="K194" s="751">
        <v>127908</v>
      </c>
      <c r="L194" s="751">
        <v>0</v>
      </c>
      <c r="M194" s="751">
        <v>0</v>
      </c>
      <c r="N194" s="751">
        <v>0</v>
      </c>
      <c r="O194" s="751">
        <v>0</v>
      </c>
      <c r="P194" s="751">
        <v>0</v>
      </c>
      <c r="Q194" s="751">
        <v>0</v>
      </c>
      <c r="R194" s="751">
        <v>33546319</v>
      </c>
      <c r="S194" s="749">
        <v>0.5</v>
      </c>
      <c r="T194" s="749">
        <v>0.4</v>
      </c>
      <c r="U194" s="749">
        <v>0.1</v>
      </c>
      <c r="V194" s="749">
        <v>0</v>
      </c>
      <c r="W194" s="749">
        <v>1</v>
      </c>
      <c r="X194" s="751">
        <v>16773159</v>
      </c>
      <c r="Y194" s="751">
        <v>13418528</v>
      </c>
      <c r="Z194" s="751">
        <v>3354632</v>
      </c>
      <c r="AA194" s="751">
        <v>0</v>
      </c>
      <c r="AB194" s="751">
        <v>33546319</v>
      </c>
      <c r="AC194" s="751">
        <v>0</v>
      </c>
      <c r="AD194" s="751">
        <v>0</v>
      </c>
      <c r="AE194" s="751">
        <v>16773159</v>
      </c>
      <c r="AF194" s="751">
        <v>13418528</v>
      </c>
      <c r="AG194" s="751">
        <v>3354632</v>
      </c>
      <c r="AH194" s="751">
        <v>0</v>
      </c>
      <c r="AI194" s="751">
        <v>33546319</v>
      </c>
      <c r="AJ194" s="751">
        <v>127908</v>
      </c>
      <c r="AK194" s="751">
        <v>127908</v>
      </c>
      <c r="AL194" s="751">
        <v>0</v>
      </c>
      <c r="AM194" s="751">
        <v>0</v>
      </c>
      <c r="AN194" s="751">
        <v>0</v>
      </c>
      <c r="AO194" s="751">
        <v>0</v>
      </c>
      <c r="AP194" s="751">
        <v>0</v>
      </c>
      <c r="AQ194" s="751">
        <v>0</v>
      </c>
      <c r="AR194" s="751">
        <v>0</v>
      </c>
      <c r="AS194" s="751">
        <v>0</v>
      </c>
      <c r="AT194" s="751">
        <v>0</v>
      </c>
      <c r="AU194" s="751">
        <v>0</v>
      </c>
      <c r="AV194" s="751">
        <v>0</v>
      </c>
      <c r="AW194" s="751">
        <v>0</v>
      </c>
      <c r="AX194" s="751">
        <v>0</v>
      </c>
      <c r="AY194" s="751">
        <v>0</v>
      </c>
      <c r="AZ194" s="751">
        <v>0</v>
      </c>
      <c r="BA194" s="751">
        <v>0</v>
      </c>
      <c r="BB194" s="751">
        <v>0</v>
      </c>
      <c r="BC194" s="751">
        <v>-6200521</v>
      </c>
      <c r="BD194" s="751">
        <v>-4960417</v>
      </c>
      <c r="BE194" s="751">
        <v>-1240104</v>
      </c>
      <c r="BF194" s="751">
        <v>0</v>
      </c>
      <c r="BG194" s="751">
        <v>-12401042</v>
      </c>
      <c r="BH194" s="751">
        <v>10572638</v>
      </c>
      <c r="BI194" s="751">
        <v>8586019</v>
      </c>
      <c r="BJ194" s="751">
        <v>2114528</v>
      </c>
      <c r="BK194" s="751">
        <v>0</v>
      </c>
      <c r="BL194" s="751">
        <v>21273185</v>
      </c>
      <c r="BM194" s="751">
        <v>699162</v>
      </c>
      <c r="BN194" s="751">
        <v>174790</v>
      </c>
      <c r="BO194" s="751">
        <v>0</v>
      </c>
      <c r="BP194" s="751">
        <v>873952</v>
      </c>
      <c r="BQ194" s="751">
        <v>1108485</v>
      </c>
      <c r="BR194" s="751">
        <v>277121</v>
      </c>
      <c r="BS194" s="751">
        <v>0</v>
      </c>
      <c r="BT194" s="751">
        <v>1385606</v>
      </c>
      <c r="BU194" s="751">
        <v>82168</v>
      </c>
      <c r="BV194" s="751">
        <v>20542</v>
      </c>
      <c r="BW194" s="751">
        <v>0</v>
      </c>
      <c r="BX194" s="751">
        <v>102710</v>
      </c>
      <c r="BY194" s="751">
        <v>0</v>
      </c>
      <c r="BZ194" s="751">
        <v>0</v>
      </c>
      <c r="CA194" s="751">
        <v>0</v>
      </c>
      <c r="CB194" s="751">
        <v>0</v>
      </c>
      <c r="CC194" s="751">
        <v>0</v>
      </c>
      <c r="CD194" s="751">
        <v>0</v>
      </c>
      <c r="CE194" s="751">
        <v>0</v>
      </c>
      <c r="CF194" s="751">
        <v>0</v>
      </c>
      <c r="CG194" s="751">
        <v>3193</v>
      </c>
      <c r="CH194" s="751">
        <v>798</v>
      </c>
      <c r="CI194" s="751">
        <v>0</v>
      </c>
      <c r="CJ194" s="751">
        <v>3991</v>
      </c>
      <c r="CK194" s="751">
        <v>0</v>
      </c>
      <c r="CL194" s="751">
        <v>0</v>
      </c>
      <c r="CM194" s="751">
        <v>0</v>
      </c>
      <c r="CN194" s="751">
        <v>0</v>
      </c>
      <c r="CO194" s="751">
        <v>0</v>
      </c>
      <c r="CP194" s="751">
        <v>0</v>
      </c>
      <c r="CQ194" s="751">
        <v>0</v>
      </c>
      <c r="CR194" s="751">
        <v>0</v>
      </c>
      <c r="CS194" s="751">
        <v>0</v>
      </c>
      <c r="CT194" s="751">
        <v>0</v>
      </c>
      <c r="CU194" s="751">
        <v>0</v>
      </c>
      <c r="CV194" s="751">
        <v>0</v>
      </c>
      <c r="CW194" s="751">
        <v>1893008</v>
      </c>
      <c r="CX194" s="751">
        <v>473251</v>
      </c>
      <c r="CY194" s="751">
        <v>0</v>
      </c>
      <c r="CZ194" s="751">
        <v>2366259</v>
      </c>
      <c r="DA194" s="662" t="s">
        <v>254</v>
      </c>
      <c r="DB194" s="324" t="s">
        <v>567</v>
      </c>
      <c r="DC194" s="663" t="s">
        <v>512</v>
      </c>
      <c r="DD194" s="529" t="s">
        <v>1400</v>
      </c>
    </row>
    <row r="195" spans="1:108" ht="12.75" x14ac:dyDescent="0.2">
      <c r="A195" s="664">
        <v>188</v>
      </c>
      <c r="B195" s="665" t="s">
        <v>257</v>
      </c>
      <c r="C195" s="666" t="s">
        <v>1201</v>
      </c>
      <c r="D195" s="667" t="s">
        <v>1206</v>
      </c>
      <c r="E195" s="668" t="s">
        <v>256</v>
      </c>
      <c r="F195" s="750">
        <v>13042745</v>
      </c>
      <c r="G195" s="751">
        <v>27895</v>
      </c>
      <c r="H195" s="751">
        <v>0</v>
      </c>
      <c r="I195" s="751">
        <v>54902</v>
      </c>
      <c r="J195" s="751">
        <v>0</v>
      </c>
      <c r="K195" s="751">
        <v>54902</v>
      </c>
      <c r="L195" s="751">
        <v>0</v>
      </c>
      <c r="M195" s="751">
        <v>0</v>
      </c>
      <c r="N195" s="751">
        <v>8446</v>
      </c>
      <c r="O195" s="751">
        <v>8446</v>
      </c>
      <c r="P195" s="751">
        <v>0</v>
      </c>
      <c r="Q195" s="751">
        <v>0</v>
      </c>
      <c r="R195" s="751">
        <v>13007292</v>
      </c>
      <c r="S195" s="749">
        <v>0.5</v>
      </c>
      <c r="T195" s="749">
        <v>0.4</v>
      </c>
      <c r="U195" s="749">
        <v>0.09</v>
      </c>
      <c r="V195" s="749">
        <v>0.01</v>
      </c>
      <c r="W195" s="749">
        <v>1</v>
      </c>
      <c r="X195" s="751">
        <v>6503646</v>
      </c>
      <c r="Y195" s="751">
        <v>5202917</v>
      </c>
      <c r="Z195" s="751">
        <v>1170656</v>
      </c>
      <c r="AA195" s="751">
        <v>130073</v>
      </c>
      <c r="AB195" s="751">
        <v>13007292</v>
      </c>
      <c r="AC195" s="751">
        <v>0</v>
      </c>
      <c r="AD195" s="751">
        <v>0</v>
      </c>
      <c r="AE195" s="751">
        <v>6503646</v>
      </c>
      <c r="AF195" s="751">
        <v>5202917</v>
      </c>
      <c r="AG195" s="751">
        <v>1170656</v>
      </c>
      <c r="AH195" s="751">
        <v>130073</v>
      </c>
      <c r="AI195" s="751">
        <v>13007292</v>
      </c>
      <c r="AJ195" s="751">
        <v>54902</v>
      </c>
      <c r="AK195" s="751">
        <v>54902</v>
      </c>
      <c r="AL195" s="751">
        <v>0</v>
      </c>
      <c r="AM195" s="751">
        <v>0</v>
      </c>
      <c r="AN195" s="751">
        <v>8446</v>
      </c>
      <c r="AO195" s="751">
        <v>0</v>
      </c>
      <c r="AP195" s="751">
        <v>8446</v>
      </c>
      <c r="AQ195" s="751">
        <v>0</v>
      </c>
      <c r="AR195" s="751">
        <v>0</v>
      </c>
      <c r="AS195" s="751">
        <v>0</v>
      </c>
      <c r="AT195" s="751">
        <v>0</v>
      </c>
      <c r="AU195" s="751">
        <v>0</v>
      </c>
      <c r="AV195" s="751">
        <v>0</v>
      </c>
      <c r="AW195" s="751">
        <v>0</v>
      </c>
      <c r="AX195" s="751">
        <v>0</v>
      </c>
      <c r="AY195" s="751">
        <v>0</v>
      </c>
      <c r="AZ195" s="751">
        <v>0</v>
      </c>
      <c r="BA195" s="751">
        <v>0</v>
      </c>
      <c r="BB195" s="751">
        <v>0</v>
      </c>
      <c r="BC195" s="751">
        <v>-2781389</v>
      </c>
      <c r="BD195" s="751">
        <v>-2178713</v>
      </c>
      <c r="BE195" s="751">
        <v>-415807</v>
      </c>
      <c r="BF195" s="751">
        <v>-54302</v>
      </c>
      <c r="BG195" s="751">
        <v>-5430211</v>
      </c>
      <c r="BH195" s="751">
        <v>3722257</v>
      </c>
      <c r="BI195" s="751">
        <v>3087552</v>
      </c>
      <c r="BJ195" s="751">
        <v>754849</v>
      </c>
      <c r="BK195" s="751">
        <v>75771</v>
      </c>
      <c r="BL195" s="751">
        <v>7640429</v>
      </c>
      <c r="BM195" s="751">
        <v>271534</v>
      </c>
      <c r="BN195" s="751">
        <v>60996</v>
      </c>
      <c r="BO195" s="751">
        <v>6777</v>
      </c>
      <c r="BP195" s="751">
        <v>339307</v>
      </c>
      <c r="BQ195" s="751">
        <v>604622</v>
      </c>
      <c r="BR195" s="751">
        <v>136040</v>
      </c>
      <c r="BS195" s="751">
        <v>15116</v>
      </c>
      <c r="BT195" s="751">
        <v>755778</v>
      </c>
      <c r="BU195" s="751">
        <v>28829</v>
      </c>
      <c r="BV195" s="751">
        <v>6486</v>
      </c>
      <c r="BW195" s="751">
        <v>721</v>
      </c>
      <c r="BX195" s="751">
        <v>36036</v>
      </c>
      <c r="BY195" s="751">
        <v>3633</v>
      </c>
      <c r="BZ195" s="751">
        <v>817</v>
      </c>
      <c r="CA195" s="751">
        <v>91</v>
      </c>
      <c r="CB195" s="751">
        <v>4541</v>
      </c>
      <c r="CC195" s="751">
        <v>0</v>
      </c>
      <c r="CD195" s="751">
        <v>0</v>
      </c>
      <c r="CE195" s="751">
        <v>0</v>
      </c>
      <c r="CF195" s="751">
        <v>0</v>
      </c>
      <c r="CG195" s="751">
        <v>1186</v>
      </c>
      <c r="CH195" s="751">
        <v>267</v>
      </c>
      <c r="CI195" s="751">
        <v>30</v>
      </c>
      <c r="CJ195" s="751">
        <v>1483</v>
      </c>
      <c r="CK195" s="751">
        <v>0</v>
      </c>
      <c r="CL195" s="751">
        <v>0</v>
      </c>
      <c r="CM195" s="751">
        <v>0</v>
      </c>
      <c r="CN195" s="751">
        <v>0</v>
      </c>
      <c r="CO195" s="751">
        <v>0</v>
      </c>
      <c r="CP195" s="751">
        <v>0</v>
      </c>
      <c r="CQ195" s="751">
        <v>0</v>
      </c>
      <c r="CR195" s="751">
        <v>0</v>
      </c>
      <c r="CS195" s="751">
        <v>0</v>
      </c>
      <c r="CT195" s="751">
        <v>0</v>
      </c>
      <c r="CU195" s="751">
        <v>0</v>
      </c>
      <c r="CV195" s="751">
        <v>0</v>
      </c>
      <c r="CW195" s="751">
        <v>909804</v>
      </c>
      <c r="CX195" s="751">
        <v>204606</v>
      </c>
      <c r="CY195" s="751">
        <v>22735</v>
      </c>
      <c r="CZ195" s="751">
        <v>1137145</v>
      </c>
      <c r="DA195" s="662" t="s">
        <v>256</v>
      </c>
      <c r="DB195" s="324" t="s">
        <v>551</v>
      </c>
      <c r="DC195" s="663" t="s">
        <v>549</v>
      </c>
      <c r="DD195" s="529" t="s">
        <v>1401</v>
      </c>
    </row>
    <row r="196" spans="1:108" ht="12.75" x14ac:dyDescent="0.2">
      <c r="A196" s="664">
        <v>189</v>
      </c>
      <c r="B196" s="665" t="s">
        <v>259</v>
      </c>
      <c r="C196" s="666" t="s">
        <v>1217</v>
      </c>
      <c r="D196" s="667" t="s">
        <v>1204</v>
      </c>
      <c r="E196" s="668" t="s">
        <v>258</v>
      </c>
      <c r="F196" s="750">
        <v>52255666</v>
      </c>
      <c r="G196" s="751">
        <v>0</v>
      </c>
      <c r="H196" s="751">
        <v>277987</v>
      </c>
      <c r="I196" s="751">
        <v>294734</v>
      </c>
      <c r="J196" s="751">
        <v>0</v>
      </c>
      <c r="K196" s="751">
        <v>294734</v>
      </c>
      <c r="L196" s="751">
        <v>0</v>
      </c>
      <c r="M196" s="751">
        <v>0</v>
      </c>
      <c r="N196" s="751">
        <v>0</v>
      </c>
      <c r="O196" s="751">
        <v>0</v>
      </c>
      <c r="P196" s="751">
        <v>0</v>
      </c>
      <c r="Q196" s="751">
        <v>0</v>
      </c>
      <c r="R196" s="751">
        <v>51682945</v>
      </c>
      <c r="S196" s="749">
        <v>0</v>
      </c>
      <c r="T196" s="749">
        <v>0.99</v>
      </c>
      <c r="U196" s="749">
        <v>0</v>
      </c>
      <c r="V196" s="749">
        <v>0.01</v>
      </c>
      <c r="W196" s="749">
        <v>1</v>
      </c>
      <c r="X196" s="751">
        <v>0</v>
      </c>
      <c r="Y196" s="751">
        <v>51166116</v>
      </c>
      <c r="Z196" s="751">
        <v>0</v>
      </c>
      <c r="AA196" s="751">
        <v>516829</v>
      </c>
      <c r="AB196" s="751">
        <v>51682945</v>
      </c>
      <c r="AC196" s="751">
        <v>0</v>
      </c>
      <c r="AD196" s="751">
        <v>0</v>
      </c>
      <c r="AE196" s="751">
        <v>0</v>
      </c>
      <c r="AF196" s="751">
        <v>51166116</v>
      </c>
      <c r="AG196" s="751">
        <v>0</v>
      </c>
      <c r="AH196" s="751">
        <v>516829</v>
      </c>
      <c r="AI196" s="751">
        <v>51682945</v>
      </c>
      <c r="AJ196" s="751">
        <v>294734</v>
      </c>
      <c r="AK196" s="751">
        <v>294734</v>
      </c>
      <c r="AL196" s="751">
        <v>0</v>
      </c>
      <c r="AM196" s="751">
        <v>0</v>
      </c>
      <c r="AN196" s="751">
        <v>0</v>
      </c>
      <c r="AO196" s="751">
        <v>0</v>
      </c>
      <c r="AP196" s="751">
        <v>0</v>
      </c>
      <c r="AQ196" s="751">
        <v>0</v>
      </c>
      <c r="AR196" s="751">
        <v>0</v>
      </c>
      <c r="AS196" s="751">
        <v>0</v>
      </c>
      <c r="AT196" s="751">
        <v>0</v>
      </c>
      <c r="AU196" s="751">
        <v>0</v>
      </c>
      <c r="AV196" s="751">
        <v>0</v>
      </c>
      <c r="AW196" s="751">
        <v>0</v>
      </c>
      <c r="AX196" s="751">
        <v>0</v>
      </c>
      <c r="AY196" s="751">
        <v>0</v>
      </c>
      <c r="AZ196" s="751">
        <v>0</v>
      </c>
      <c r="BA196" s="751">
        <v>0</v>
      </c>
      <c r="BB196" s="751">
        <v>0</v>
      </c>
      <c r="BC196" s="751">
        <v>0</v>
      </c>
      <c r="BD196" s="751">
        <v>-23202954</v>
      </c>
      <c r="BE196" s="751">
        <v>0</v>
      </c>
      <c r="BF196" s="751">
        <v>-234373</v>
      </c>
      <c r="BG196" s="751">
        <v>-23437327</v>
      </c>
      <c r="BH196" s="751">
        <v>0</v>
      </c>
      <c r="BI196" s="751">
        <v>28257896</v>
      </c>
      <c r="BJ196" s="751">
        <v>0</v>
      </c>
      <c r="BK196" s="751">
        <v>282456</v>
      </c>
      <c r="BL196" s="751">
        <v>28540352</v>
      </c>
      <c r="BM196" s="751">
        <v>2665970</v>
      </c>
      <c r="BN196" s="751">
        <v>0</v>
      </c>
      <c r="BO196" s="751">
        <v>26929</v>
      </c>
      <c r="BP196" s="751">
        <v>2692899</v>
      </c>
      <c r="BQ196" s="751">
        <v>7483243</v>
      </c>
      <c r="BR196" s="751">
        <v>0</v>
      </c>
      <c r="BS196" s="751">
        <v>75588</v>
      </c>
      <c r="BT196" s="751">
        <v>7558831</v>
      </c>
      <c r="BU196" s="751">
        <v>285511</v>
      </c>
      <c r="BV196" s="751">
        <v>0</v>
      </c>
      <c r="BW196" s="751">
        <v>2884</v>
      </c>
      <c r="BX196" s="751">
        <v>288395</v>
      </c>
      <c r="BY196" s="751">
        <v>0</v>
      </c>
      <c r="BZ196" s="751">
        <v>0</v>
      </c>
      <c r="CA196" s="751">
        <v>0</v>
      </c>
      <c r="CB196" s="751">
        <v>0</v>
      </c>
      <c r="CC196" s="751">
        <v>16078</v>
      </c>
      <c r="CD196" s="751">
        <v>0</v>
      </c>
      <c r="CE196" s="751">
        <v>162</v>
      </c>
      <c r="CF196" s="751">
        <v>16240</v>
      </c>
      <c r="CG196" s="751">
        <v>0</v>
      </c>
      <c r="CH196" s="751">
        <v>0</v>
      </c>
      <c r="CI196" s="751">
        <v>0</v>
      </c>
      <c r="CJ196" s="751">
        <v>0</v>
      </c>
      <c r="CK196" s="751">
        <v>0</v>
      </c>
      <c r="CL196" s="751">
        <v>0</v>
      </c>
      <c r="CM196" s="751">
        <v>0</v>
      </c>
      <c r="CN196" s="751">
        <v>0</v>
      </c>
      <c r="CO196" s="751">
        <v>0</v>
      </c>
      <c r="CP196" s="751">
        <v>0</v>
      </c>
      <c r="CQ196" s="751">
        <v>0</v>
      </c>
      <c r="CR196" s="751">
        <v>0</v>
      </c>
      <c r="CS196" s="751">
        <v>0</v>
      </c>
      <c r="CT196" s="751">
        <v>0</v>
      </c>
      <c r="CU196" s="751">
        <v>0</v>
      </c>
      <c r="CV196" s="751">
        <v>0</v>
      </c>
      <c r="CW196" s="751">
        <v>10450802</v>
      </c>
      <c r="CX196" s="751">
        <v>0</v>
      </c>
      <c r="CY196" s="751">
        <v>105563</v>
      </c>
      <c r="CZ196" s="751">
        <v>10556365</v>
      </c>
      <c r="DA196" s="662" t="s">
        <v>258</v>
      </c>
      <c r="DB196" s="324" t="s">
        <v>570</v>
      </c>
      <c r="DC196" s="663" t="s">
        <v>1915</v>
      </c>
      <c r="DD196" s="529" t="s">
        <v>1402</v>
      </c>
    </row>
    <row r="197" spans="1:108" ht="12.75" x14ac:dyDescent="0.2">
      <c r="A197" s="664">
        <v>190</v>
      </c>
      <c r="B197" s="665" t="s">
        <v>261</v>
      </c>
      <c r="C197" s="666" t="s">
        <v>1201</v>
      </c>
      <c r="D197" s="667" t="s">
        <v>1202</v>
      </c>
      <c r="E197" s="668" t="s">
        <v>260</v>
      </c>
      <c r="F197" s="750">
        <v>101202639</v>
      </c>
      <c r="G197" s="751">
        <v>0</v>
      </c>
      <c r="H197" s="751">
        <v>33516</v>
      </c>
      <c r="I197" s="751">
        <v>236651</v>
      </c>
      <c r="J197" s="751">
        <v>0</v>
      </c>
      <c r="K197" s="751">
        <v>236651</v>
      </c>
      <c r="L197" s="751">
        <v>0</v>
      </c>
      <c r="M197" s="751">
        <v>0</v>
      </c>
      <c r="N197" s="751">
        <v>10913</v>
      </c>
      <c r="O197" s="751">
        <v>9905</v>
      </c>
      <c r="P197" s="751">
        <v>1008</v>
      </c>
      <c r="Q197" s="751">
        <v>0</v>
      </c>
      <c r="R197" s="751">
        <v>100921559</v>
      </c>
      <c r="S197" s="749">
        <v>0.5</v>
      </c>
      <c r="T197" s="749">
        <v>0.4</v>
      </c>
      <c r="U197" s="749">
        <v>0.1</v>
      </c>
      <c r="V197" s="749">
        <v>0</v>
      </c>
      <c r="W197" s="749">
        <v>1</v>
      </c>
      <c r="X197" s="751">
        <v>50460779</v>
      </c>
      <c r="Y197" s="751">
        <v>40368624</v>
      </c>
      <c r="Z197" s="751">
        <v>10092156</v>
      </c>
      <c r="AA197" s="751">
        <v>0</v>
      </c>
      <c r="AB197" s="751">
        <v>100921559</v>
      </c>
      <c r="AC197" s="751">
        <v>0</v>
      </c>
      <c r="AD197" s="751">
        <v>0</v>
      </c>
      <c r="AE197" s="751">
        <v>50460779</v>
      </c>
      <c r="AF197" s="751">
        <v>40368624</v>
      </c>
      <c r="AG197" s="751">
        <v>10092156</v>
      </c>
      <c r="AH197" s="751">
        <v>0</v>
      </c>
      <c r="AI197" s="751">
        <v>100921559</v>
      </c>
      <c r="AJ197" s="751">
        <v>236651</v>
      </c>
      <c r="AK197" s="751">
        <v>236651</v>
      </c>
      <c r="AL197" s="751">
        <v>0</v>
      </c>
      <c r="AM197" s="751">
        <v>0</v>
      </c>
      <c r="AN197" s="751">
        <v>9905</v>
      </c>
      <c r="AO197" s="751">
        <v>1008</v>
      </c>
      <c r="AP197" s="751">
        <v>10913</v>
      </c>
      <c r="AQ197" s="751">
        <v>0</v>
      </c>
      <c r="AR197" s="751">
        <v>0</v>
      </c>
      <c r="AS197" s="751">
        <v>0</v>
      </c>
      <c r="AT197" s="751">
        <v>0</v>
      </c>
      <c r="AU197" s="751">
        <v>0</v>
      </c>
      <c r="AV197" s="751">
        <v>0</v>
      </c>
      <c r="AW197" s="751">
        <v>0</v>
      </c>
      <c r="AX197" s="751">
        <v>0</v>
      </c>
      <c r="AY197" s="751">
        <v>0</v>
      </c>
      <c r="AZ197" s="751">
        <v>0</v>
      </c>
      <c r="BA197" s="751">
        <v>0</v>
      </c>
      <c r="BB197" s="751">
        <v>0</v>
      </c>
      <c r="BC197" s="751">
        <v>-28996185</v>
      </c>
      <c r="BD197" s="751">
        <v>-23196948</v>
      </c>
      <c r="BE197" s="751">
        <v>-5799237</v>
      </c>
      <c r="BF197" s="751">
        <v>0</v>
      </c>
      <c r="BG197" s="751">
        <v>-57992369</v>
      </c>
      <c r="BH197" s="751">
        <v>21464595</v>
      </c>
      <c r="BI197" s="751">
        <v>17418232</v>
      </c>
      <c r="BJ197" s="751">
        <v>4293927</v>
      </c>
      <c r="BK197" s="751">
        <v>0</v>
      </c>
      <c r="BL197" s="751">
        <v>43176754</v>
      </c>
      <c r="BM197" s="751">
        <v>2103891</v>
      </c>
      <c r="BN197" s="751">
        <v>525896</v>
      </c>
      <c r="BO197" s="751">
        <v>0</v>
      </c>
      <c r="BP197" s="751">
        <v>2629787</v>
      </c>
      <c r="BQ197" s="751">
        <v>804267</v>
      </c>
      <c r="BR197" s="751">
        <v>201067</v>
      </c>
      <c r="BS197" s="751">
        <v>0</v>
      </c>
      <c r="BT197" s="751">
        <v>1005334</v>
      </c>
      <c r="BU197" s="751">
        <v>143725</v>
      </c>
      <c r="BV197" s="751">
        <v>35931</v>
      </c>
      <c r="BW197" s="751">
        <v>0</v>
      </c>
      <c r="BX197" s="751">
        <v>179656</v>
      </c>
      <c r="BY197" s="751">
        <v>2206</v>
      </c>
      <c r="BZ197" s="751">
        <v>551</v>
      </c>
      <c r="CA197" s="751">
        <v>0</v>
      </c>
      <c r="CB197" s="751">
        <v>2757</v>
      </c>
      <c r="CC197" s="751">
        <v>0</v>
      </c>
      <c r="CD197" s="751">
        <v>0</v>
      </c>
      <c r="CE197" s="751">
        <v>0</v>
      </c>
      <c r="CF197" s="751">
        <v>0</v>
      </c>
      <c r="CG197" s="751">
        <v>570</v>
      </c>
      <c r="CH197" s="751">
        <v>142</v>
      </c>
      <c r="CI197" s="751">
        <v>0</v>
      </c>
      <c r="CJ197" s="751">
        <v>712</v>
      </c>
      <c r="CK197" s="751">
        <v>0</v>
      </c>
      <c r="CL197" s="751">
        <v>0</v>
      </c>
      <c r="CM197" s="751">
        <v>0</v>
      </c>
      <c r="CN197" s="751">
        <v>0</v>
      </c>
      <c r="CO197" s="751">
        <v>0</v>
      </c>
      <c r="CP197" s="751">
        <v>0</v>
      </c>
      <c r="CQ197" s="751">
        <v>0</v>
      </c>
      <c r="CR197" s="751">
        <v>0</v>
      </c>
      <c r="CS197" s="751">
        <v>631</v>
      </c>
      <c r="CT197" s="751">
        <v>158</v>
      </c>
      <c r="CU197" s="751">
        <v>0</v>
      </c>
      <c r="CV197" s="751">
        <v>789</v>
      </c>
      <c r="CW197" s="751">
        <v>3055290</v>
      </c>
      <c r="CX197" s="751">
        <v>763745</v>
      </c>
      <c r="CY197" s="751">
        <v>0</v>
      </c>
      <c r="CZ197" s="751">
        <v>3819035</v>
      </c>
      <c r="DA197" s="662" t="s">
        <v>260</v>
      </c>
      <c r="DB197" s="324" t="s">
        <v>560</v>
      </c>
      <c r="DC197" s="663" t="s">
        <v>512</v>
      </c>
      <c r="DD197" s="529" t="s">
        <v>1403</v>
      </c>
    </row>
    <row r="198" spans="1:108" ht="12.75" x14ac:dyDescent="0.2">
      <c r="A198" s="664">
        <v>191</v>
      </c>
      <c r="B198" s="665" t="s">
        <v>263</v>
      </c>
      <c r="C198" s="666" t="s">
        <v>1201</v>
      </c>
      <c r="D198" s="667" t="s">
        <v>1204</v>
      </c>
      <c r="E198" s="668" t="s">
        <v>262</v>
      </c>
      <c r="F198" s="750">
        <v>18785055</v>
      </c>
      <c r="G198" s="751">
        <v>51898</v>
      </c>
      <c r="H198" s="751">
        <v>0</v>
      </c>
      <c r="I198" s="751">
        <v>131973</v>
      </c>
      <c r="J198" s="751">
        <v>0</v>
      </c>
      <c r="K198" s="751">
        <v>131973</v>
      </c>
      <c r="L198" s="751">
        <v>0</v>
      </c>
      <c r="M198" s="751">
        <v>0</v>
      </c>
      <c r="N198" s="751">
        <v>0</v>
      </c>
      <c r="O198" s="751">
        <v>0</v>
      </c>
      <c r="P198" s="751">
        <v>0</v>
      </c>
      <c r="Q198" s="751">
        <v>0</v>
      </c>
      <c r="R198" s="751">
        <v>18704980</v>
      </c>
      <c r="S198" s="749">
        <v>0.5</v>
      </c>
      <c r="T198" s="749">
        <v>0.4</v>
      </c>
      <c r="U198" s="749">
        <v>0.09</v>
      </c>
      <c r="V198" s="749">
        <v>0.01</v>
      </c>
      <c r="W198" s="749">
        <v>1</v>
      </c>
      <c r="X198" s="751">
        <v>9352490</v>
      </c>
      <c r="Y198" s="751">
        <v>7481992</v>
      </c>
      <c r="Z198" s="751">
        <v>1683448</v>
      </c>
      <c r="AA198" s="751">
        <v>187050</v>
      </c>
      <c r="AB198" s="751">
        <v>18704980</v>
      </c>
      <c r="AC198" s="751">
        <v>0</v>
      </c>
      <c r="AD198" s="751">
        <v>0</v>
      </c>
      <c r="AE198" s="751">
        <v>9352490</v>
      </c>
      <c r="AF198" s="751">
        <v>7481992</v>
      </c>
      <c r="AG198" s="751">
        <v>1683448</v>
      </c>
      <c r="AH198" s="751">
        <v>187050</v>
      </c>
      <c r="AI198" s="751">
        <v>18704980</v>
      </c>
      <c r="AJ198" s="751">
        <v>131973</v>
      </c>
      <c r="AK198" s="751">
        <v>131973</v>
      </c>
      <c r="AL198" s="751">
        <v>0</v>
      </c>
      <c r="AM198" s="751">
        <v>0</v>
      </c>
      <c r="AN198" s="751">
        <v>0</v>
      </c>
      <c r="AO198" s="751">
        <v>0</v>
      </c>
      <c r="AP198" s="751">
        <v>0</v>
      </c>
      <c r="AQ198" s="751">
        <v>0</v>
      </c>
      <c r="AR198" s="751">
        <v>0</v>
      </c>
      <c r="AS198" s="751">
        <v>0</v>
      </c>
      <c r="AT198" s="751">
        <v>0</v>
      </c>
      <c r="AU198" s="751">
        <v>0</v>
      </c>
      <c r="AV198" s="751">
        <v>0</v>
      </c>
      <c r="AW198" s="751">
        <v>0</v>
      </c>
      <c r="AX198" s="751">
        <v>0</v>
      </c>
      <c r="AY198" s="751">
        <v>0</v>
      </c>
      <c r="AZ198" s="751">
        <v>0</v>
      </c>
      <c r="BA198" s="751">
        <v>0</v>
      </c>
      <c r="BB198" s="751">
        <v>0</v>
      </c>
      <c r="BC198" s="751">
        <v>-4623798</v>
      </c>
      <c r="BD198" s="751">
        <v>-3453782</v>
      </c>
      <c r="BE198" s="751">
        <v>-743719</v>
      </c>
      <c r="BF198" s="751">
        <v>-85663</v>
      </c>
      <c r="BG198" s="751">
        <v>-8906963</v>
      </c>
      <c r="BH198" s="751">
        <v>4728692</v>
      </c>
      <c r="BI198" s="751">
        <v>4160183</v>
      </c>
      <c r="BJ198" s="751">
        <v>939729</v>
      </c>
      <c r="BK198" s="751">
        <v>101387</v>
      </c>
      <c r="BL198" s="751">
        <v>9929990</v>
      </c>
      <c r="BM198" s="751">
        <v>389843</v>
      </c>
      <c r="BN198" s="751">
        <v>87715</v>
      </c>
      <c r="BO198" s="751">
        <v>9746</v>
      </c>
      <c r="BP198" s="751">
        <v>487304</v>
      </c>
      <c r="BQ198" s="751">
        <v>1075529</v>
      </c>
      <c r="BR198" s="751">
        <v>241994</v>
      </c>
      <c r="BS198" s="751">
        <v>26888</v>
      </c>
      <c r="BT198" s="751">
        <v>1344411</v>
      </c>
      <c r="BU198" s="751">
        <v>37504</v>
      </c>
      <c r="BV198" s="751">
        <v>8439</v>
      </c>
      <c r="BW198" s="751">
        <v>938</v>
      </c>
      <c r="BX198" s="751">
        <v>46881</v>
      </c>
      <c r="BY198" s="751">
        <v>0</v>
      </c>
      <c r="BZ198" s="751">
        <v>0</v>
      </c>
      <c r="CA198" s="751">
        <v>0</v>
      </c>
      <c r="CB198" s="751">
        <v>0</v>
      </c>
      <c r="CC198" s="751">
        <v>0</v>
      </c>
      <c r="CD198" s="751">
        <v>0</v>
      </c>
      <c r="CE198" s="751">
        <v>0</v>
      </c>
      <c r="CF198" s="751">
        <v>0</v>
      </c>
      <c r="CG198" s="751">
        <v>0</v>
      </c>
      <c r="CH198" s="751">
        <v>0</v>
      </c>
      <c r="CI198" s="751">
        <v>0</v>
      </c>
      <c r="CJ198" s="751">
        <v>0</v>
      </c>
      <c r="CK198" s="751">
        <v>0</v>
      </c>
      <c r="CL198" s="751">
        <v>0</v>
      </c>
      <c r="CM198" s="751">
        <v>0</v>
      </c>
      <c r="CN198" s="751">
        <v>0</v>
      </c>
      <c r="CO198" s="751">
        <v>0</v>
      </c>
      <c r="CP198" s="751">
        <v>0</v>
      </c>
      <c r="CQ198" s="751">
        <v>0</v>
      </c>
      <c r="CR198" s="751">
        <v>0</v>
      </c>
      <c r="CS198" s="751">
        <v>0</v>
      </c>
      <c r="CT198" s="751">
        <v>0</v>
      </c>
      <c r="CU198" s="751">
        <v>0</v>
      </c>
      <c r="CV198" s="751">
        <v>0</v>
      </c>
      <c r="CW198" s="751">
        <v>1502876</v>
      </c>
      <c r="CX198" s="751">
        <v>338148</v>
      </c>
      <c r="CY198" s="751">
        <v>37572</v>
      </c>
      <c r="CZ198" s="751">
        <v>1878596</v>
      </c>
      <c r="DA198" s="662" t="s">
        <v>262</v>
      </c>
      <c r="DB198" s="324" t="s">
        <v>547</v>
      </c>
      <c r="DC198" s="663" t="s">
        <v>545</v>
      </c>
      <c r="DD198" s="529" t="s">
        <v>1404</v>
      </c>
    </row>
    <row r="199" spans="1:108" ht="12.75" x14ac:dyDescent="0.2">
      <c r="A199" s="664">
        <v>192</v>
      </c>
      <c r="B199" s="665" t="s">
        <v>264</v>
      </c>
      <c r="C199" s="666" t="s">
        <v>486</v>
      </c>
      <c r="D199" s="667" t="s">
        <v>1211</v>
      </c>
      <c r="E199" s="668" t="s">
        <v>501</v>
      </c>
      <c r="F199" s="750">
        <v>100849741</v>
      </c>
      <c r="G199" s="751">
        <v>0</v>
      </c>
      <c r="H199" s="751">
        <v>575519</v>
      </c>
      <c r="I199" s="751">
        <v>268264</v>
      </c>
      <c r="J199" s="751">
        <v>0</v>
      </c>
      <c r="K199" s="751">
        <v>268264</v>
      </c>
      <c r="L199" s="751">
        <v>0</v>
      </c>
      <c r="M199" s="751">
        <v>0</v>
      </c>
      <c r="N199" s="751">
        <v>348685</v>
      </c>
      <c r="O199" s="751">
        <v>348685</v>
      </c>
      <c r="P199" s="751">
        <v>0</v>
      </c>
      <c r="Q199" s="751">
        <v>0</v>
      </c>
      <c r="R199" s="751">
        <v>99657273</v>
      </c>
      <c r="S199" s="749">
        <v>0.5</v>
      </c>
      <c r="T199" s="749">
        <v>0.49</v>
      </c>
      <c r="U199" s="749">
        <v>0</v>
      </c>
      <c r="V199" s="749">
        <v>0.01</v>
      </c>
      <c r="W199" s="749">
        <v>1</v>
      </c>
      <c r="X199" s="751">
        <v>49828636</v>
      </c>
      <c r="Y199" s="751">
        <v>48832064</v>
      </c>
      <c r="Z199" s="751">
        <v>0</v>
      </c>
      <c r="AA199" s="751">
        <v>996573</v>
      </c>
      <c r="AB199" s="751">
        <v>99657273</v>
      </c>
      <c r="AC199" s="751">
        <v>0</v>
      </c>
      <c r="AD199" s="751">
        <v>0</v>
      </c>
      <c r="AE199" s="751">
        <v>49828636</v>
      </c>
      <c r="AF199" s="751">
        <v>48832064</v>
      </c>
      <c r="AG199" s="751">
        <v>0</v>
      </c>
      <c r="AH199" s="751">
        <v>996573</v>
      </c>
      <c r="AI199" s="751">
        <v>99657273</v>
      </c>
      <c r="AJ199" s="751">
        <v>268264</v>
      </c>
      <c r="AK199" s="751">
        <v>268264</v>
      </c>
      <c r="AL199" s="751">
        <v>0</v>
      </c>
      <c r="AM199" s="751">
        <v>0</v>
      </c>
      <c r="AN199" s="751">
        <v>348685</v>
      </c>
      <c r="AO199" s="751">
        <v>0</v>
      </c>
      <c r="AP199" s="751">
        <v>348685</v>
      </c>
      <c r="AQ199" s="751">
        <v>0</v>
      </c>
      <c r="AR199" s="751">
        <v>0</v>
      </c>
      <c r="AS199" s="751">
        <v>0</v>
      </c>
      <c r="AT199" s="751">
        <v>0</v>
      </c>
      <c r="AU199" s="751">
        <v>0</v>
      </c>
      <c r="AV199" s="751">
        <v>0</v>
      </c>
      <c r="AW199" s="751">
        <v>0</v>
      </c>
      <c r="AX199" s="751">
        <v>0</v>
      </c>
      <c r="AY199" s="751">
        <v>0</v>
      </c>
      <c r="AZ199" s="751">
        <v>0</v>
      </c>
      <c r="BA199" s="751">
        <v>0</v>
      </c>
      <c r="BB199" s="751">
        <v>0</v>
      </c>
      <c r="BC199" s="751">
        <v>-21529123</v>
      </c>
      <c r="BD199" s="751">
        <v>-21098541</v>
      </c>
      <c r="BE199" s="751">
        <v>0</v>
      </c>
      <c r="BF199" s="751">
        <v>-430582</v>
      </c>
      <c r="BG199" s="751">
        <v>-43058246</v>
      </c>
      <c r="BH199" s="751">
        <v>28299513</v>
      </c>
      <c r="BI199" s="751">
        <v>28350472</v>
      </c>
      <c r="BJ199" s="751">
        <v>0</v>
      </c>
      <c r="BK199" s="751">
        <v>565991</v>
      </c>
      <c r="BL199" s="751">
        <v>57215976</v>
      </c>
      <c r="BM199" s="751">
        <v>2562524</v>
      </c>
      <c r="BN199" s="751">
        <v>0</v>
      </c>
      <c r="BO199" s="751">
        <v>51926</v>
      </c>
      <c r="BP199" s="751">
        <v>2614450</v>
      </c>
      <c r="BQ199" s="751">
        <v>2478080</v>
      </c>
      <c r="BR199" s="751">
        <v>0</v>
      </c>
      <c r="BS199" s="751">
        <v>50573</v>
      </c>
      <c r="BT199" s="751">
        <v>2528653</v>
      </c>
      <c r="BU199" s="751">
        <v>181392</v>
      </c>
      <c r="BV199" s="751">
        <v>0</v>
      </c>
      <c r="BW199" s="751">
        <v>3702</v>
      </c>
      <c r="BX199" s="751">
        <v>185094</v>
      </c>
      <c r="BY199" s="751">
        <v>2766</v>
      </c>
      <c r="BZ199" s="751">
        <v>0</v>
      </c>
      <c r="CA199" s="751">
        <v>56</v>
      </c>
      <c r="CB199" s="751">
        <v>2822</v>
      </c>
      <c r="CC199" s="751">
        <v>7070</v>
      </c>
      <c r="CD199" s="751">
        <v>0</v>
      </c>
      <c r="CE199" s="751">
        <v>144</v>
      </c>
      <c r="CF199" s="751">
        <v>7214</v>
      </c>
      <c r="CG199" s="751">
        <v>327</v>
      </c>
      <c r="CH199" s="751">
        <v>0</v>
      </c>
      <c r="CI199" s="751">
        <v>7</v>
      </c>
      <c r="CJ199" s="751">
        <v>334</v>
      </c>
      <c r="CK199" s="751">
        <v>0</v>
      </c>
      <c r="CL199" s="751">
        <v>0</v>
      </c>
      <c r="CM199" s="751">
        <v>0</v>
      </c>
      <c r="CN199" s="751">
        <v>0</v>
      </c>
      <c r="CO199" s="751">
        <v>0</v>
      </c>
      <c r="CP199" s="751">
        <v>0</v>
      </c>
      <c r="CQ199" s="751">
        <v>0</v>
      </c>
      <c r="CR199" s="751">
        <v>0</v>
      </c>
      <c r="CS199" s="751">
        <v>0</v>
      </c>
      <c r="CT199" s="751">
        <v>0</v>
      </c>
      <c r="CU199" s="751">
        <v>0</v>
      </c>
      <c r="CV199" s="751">
        <v>0</v>
      </c>
      <c r="CW199" s="751">
        <v>5232159</v>
      </c>
      <c r="CX199" s="751">
        <v>0</v>
      </c>
      <c r="CY199" s="751">
        <v>106408</v>
      </c>
      <c r="CZ199" s="751">
        <v>5338567</v>
      </c>
      <c r="DA199" s="662" t="s">
        <v>501</v>
      </c>
      <c r="DB199" s="324" t="s">
        <v>486</v>
      </c>
      <c r="DC199" s="663" t="s">
        <v>502</v>
      </c>
      <c r="DD199" s="529" t="s">
        <v>1405</v>
      </c>
    </row>
    <row r="200" spans="1:108" ht="12.75" x14ac:dyDescent="0.2">
      <c r="A200" s="664">
        <v>193</v>
      </c>
      <c r="B200" s="665" t="s">
        <v>266</v>
      </c>
      <c r="C200" s="666" t="s">
        <v>486</v>
      </c>
      <c r="D200" s="667" t="s">
        <v>1224</v>
      </c>
      <c r="E200" s="668" t="s">
        <v>518</v>
      </c>
      <c r="F200" s="750">
        <v>89722944</v>
      </c>
      <c r="G200" s="751">
        <v>0</v>
      </c>
      <c r="H200" s="751">
        <v>806921</v>
      </c>
      <c r="I200" s="751">
        <v>309439</v>
      </c>
      <c r="J200" s="751">
        <v>0</v>
      </c>
      <c r="K200" s="751">
        <v>309439</v>
      </c>
      <c r="L200" s="751">
        <v>0</v>
      </c>
      <c r="M200" s="751">
        <v>0</v>
      </c>
      <c r="N200" s="751">
        <v>210228</v>
      </c>
      <c r="O200" s="751">
        <v>210228</v>
      </c>
      <c r="P200" s="751">
        <v>0</v>
      </c>
      <c r="Q200" s="751">
        <v>0</v>
      </c>
      <c r="R200" s="751">
        <v>88396356</v>
      </c>
      <c r="S200" s="749">
        <v>0.5</v>
      </c>
      <c r="T200" s="749">
        <v>0.49</v>
      </c>
      <c r="U200" s="749">
        <v>0</v>
      </c>
      <c r="V200" s="749">
        <v>0.01</v>
      </c>
      <c r="W200" s="749">
        <v>1</v>
      </c>
      <c r="X200" s="751">
        <v>44198178</v>
      </c>
      <c r="Y200" s="751">
        <v>43314214</v>
      </c>
      <c r="Z200" s="751">
        <v>0</v>
      </c>
      <c r="AA200" s="751">
        <v>883964</v>
      </c>
      <c r="AB200" s="751">
        <v>88396356</v>
      </c>
      <c r="AC200" s="751">
        <v>15469</v>
      </c>
      <c r="AD200" s="751">
        <v>15469</v>
      </c>
      <c r="AE200" s="751">
        <v>44182709</v>
      </c>
      <c r="AF200" s="751">
        <v>43314214</v>
      </c>
      <c r="AG200" s="751">
        <v>0</v>
      </c>
      <c r="AH200" s="751">
        <v>883964</v>
      </c>
      <c r="AI200" s="751">
        <v>88380887</v>
      </c>
      <c r="AJ200" s="751">
        <v>309439</v>
      </c>
      <c r="AK200" s="751">
        <v>309439</v>
      </c>
      <c r="AL200" s="751">
        <v>0</v>
      </c>
      <c r="AM200" s="751">
        <v>0</v>
      </c>
      <c r="AN200" s="751">
        <v>210228</v>
      </c>
      <c r="AO200" s="751">
        <v>0</v>
      </c>
      <c r="AP200" s="751">
        <v>210228</v>
      </c>
      <c r="AQ200" s="751">
        <v>0</v>
      </c>
      <c r="AR200" s="751">
        <v>0</v>
      </c>
      <c r="AS200" s="751">
        <v>0</v>
      </c>
      <c r="AT200" s="751">
        <v>0</v>
      </c>
      <c r="AU200" s="751">
        <v>15469</v>
      </c>
      <c r="AV200" s="751">
        <v>0</v>
      </c>
      <c r="AW200" s="751">
        <v>0</v>
      </c>
      <c r="AX200" s="751">
        <v>15469</v>
      </c>
      <c r="AY200" s="751">
        <v>0</v>
      </c>
      <c r="AZ200" s="751">
        <v>0</v>
      </c>
      <c r="BA200" s="751">
        <v>0</v>
      </c>
      <c r="BB200" s="751">
        <v>0</v>
      </c>
      <c r="BC200" s="751">
        <v>-24290552</v>
      </c>
      <c r="BD200" s="751">
        <v>-23804741</v>
      </c>
      <c r="BE200" s="751">
        <v>0</v>
      </c>
      <c r="BF200" s="751">
        <v>-485811</v>
      </c>
      <c r="BG200" s="751">
        <v>-48581103</v>
      </c>
      <c r="BH200" s="751">
        <v>19892157</v>
      </c>
      <c r="BI200" s="751">
        <v>20044609</v>
      </c>
      <c r="BJ200" s="751">
        <v>0</v>
      </c>
      <c r="BK200" s="751">
        <v>398153</v>
      </c>
      <c r="BL200" s="751">
        <v>40334920</v>
      </c>
      <c r="BM200" s="751">
        <v>2268613</v>
      </c>
      <c r="BN200" s="751">
        <v>0</v>
      </c>
      <c r="BO200" s="751">
        <v>46058</v>
      </c>
      <c r="BP200" s="751">
        <v>2314671</v>
      </c>
      <c r="BQ200" s="751">
        <v>3145572</v>
      </c>
      <c r="BR200" s="751">
        <v>0</v>
      </c>
      <c r="BS200" s="751">
        <v>64043</v>
      </c>
      <c r="BT200" s="751">
        <v>3209615</v>
      </c>
      <c r="BU200" s="751">
        <v>185592</v>
      </c>
      <c r="BV200" s="751">
        <v>0</v>
      </c>
      <c r="BW200" s="751">
        <v>3788</v>
      </c>
      <c r="BX200" s="751">
        <v>189380</v>
      </c>
      <c r="BY200" s="751">
        <v>12104</v>
      </c>
      <c r="BZ200" s="751">
        <v>0</v>
      </c>
      <c r="CA200" s="751">
        <v>247</v>
      </c>
      <c r="CB200" s="751">
        <v>12351</v>
      </c>
      <c r="CC200" s="751">
        <v>0</v>
      </c>
      <c r="CD200" s="751">
        <v>0</v>
      </c>
      <c r="CE200" s="751">
        <v>0</v>
      </c>
      <c r="CF200" s="751">
        <v>0</v>
      </c>
      <c r="CG200" s="751">
        <v>0</v>
      </c>
      <c r="CH200" s="751">
        <v>0</v>
      </c>
      <c r="CI200" s="751">
        <v>0</v>
      </c>
      <c r="CJ200" s="751">
        <v>0</v>
      </c>
      <c r="CK200" s="751">
        <v>0</v>
      </c>
      <c r="CL200" s="751">
        <v>0</v>
      </c>
      <c r="CM200" s="751">
        <v>0</v>
      </c>
      <c r="CN200" s="751">
        <v>0</v>
      </c>
      <c r="CO200" s="751">
        <v>0</v>
      </c>
      <c r="CP200" s="751">
        <v>0</v>
      </c>
      <c r="CQ200" s="751">
        <v>0</v>
      </c>
      <c r="CR200" s="751">
        <v>0</v>
      </c>
      <c r="CS200" s="751">
        <v>773</v>
      </c>
      <c r="CT200" s="751">
        <v>0</v>
      </c>
      <c r="CU200" s="751">
        <v>16</v>
      </c>
      <c r="CV200" s="751">
        <v>789</v>
      </c>
      <c r="CW200" s="751">
        <v>5612654</v>
      </c>
      <c r="CX200" s="751">
        <v>0</v>
      </c>
      <c r="CY200" s="751">
        <v>114152</v>
      </c>
      <c r="CZ200" s="751">
        <v>5726806</v>
      </c>
      <c r="DA200" s="662" t="s">
        <v>518</v>
      </c>
      <c r="DB200" s="324" t="s">
        <v>486</v>
      </c>
      <c r="DC200" s="663" t="s">
        <v>519</v>
      </c>
      <c r="DD200" s="529" t="s">
        <v>1406</v>
      </c>
    </row>
    <row r="201" spans="1:108" ht="12.75" x14ac:dyDescent="0.2">
      <c r="A201" s="664">
        <v>194</v>
      </c>
      <c r="B201" s="665" t="s">
        <v>267</v>
      </c>
      <c r="C201" s="666" t="s">
        <v>486</v>
      </c>
      <c r="D201" s="667" t="s">
        <v>1202</v>
      </c>
      <c r="E201" s="668" t="s">
        <v>530</v>
      </c>
      <c r="F201" s="750">
        <v>84024170</v>
      </c>
      <c r="G201" s="751">
        <v>0</v>
      </c>
      <c r="H201" s="751">
        <v>0</v>
      </c>
      <c r="I201" s="751">
        <v>270853</v>
      </c>
      <c r="J201" s="751">
        <v>0</v>
      </c>
      <c r="K201" s="751">
        <v>270853</v>
      </c>
      <c r="L201" s="751">
        <v>0</v>
      </c>
      <c r="M201" s="751">
        <v>0</v>
      </c>
      <c r="N201" s="751">
        <v>0</v>
      </c>
      <c r="O201" s="751">
        <v>0</v>
      </c>
      <c r="P201" s="751">
        <v>0</v>
      </c>
      <c r="Q201" s="751">
        <v>0</v>
      </c>
      <c r="R201" s="751">
        <v>83753317</v>
      </c>
      <c r="S201" s="749">
        <v>0.5</v>
      </c>
      <c r="T201" s="749">
        <v>0.49</v>
      </c>
      <c r="U201" s="749">
        <v>0</v>
      </c>
      <c r="V201" s="749">
        <v>0.01</v>
      </c>
      <c r="W201" s="749">
        <v>1</v>
      </c>
      <c r="X201" s="751">
        <v>41876659</v>
      </c>
      <c r="Y201" s="751">
        <v>41039125</v>
      </c>
      <c r="Z201" s="751">
        <v>0</v>
      </c>
      <c r="AA201" s="751">
        <v>837533</v>
      </c>
      <c r="AB201" s="751">
        <v>83753317</v>
      </c>
      <c r="AC201" s="751">
        <v>0</v>
      </c>
      <c r="AD201" s="751">
        <v>0</v>
      </c>
      <c r="AE201" s="751">
        <v>41876659</v>
      </c>
      <c r="AF201" s="751">
        <v>41039125</v>
      </c>
      <c r="AG201" s="751">
        <v>0</v>
      </c>
      <c r="AH201" s="751">
        <v>837533</v>
      </c>
      <c r="AI201" s="751">
        <v>83753317</v>
      </c>
      <c r="AJ201" s="751">
        <v>270853</v>
      </c>
      <c r="AK201" s="751">
        <v>270853</v>
      </c>
      <c r="AL201" s="751">
        <v>0</v>
      </c>
      <c r="AM201" s="751">
        <v>0</v>
      </c>
      <c r="AN201" s="751">
        <v>0</v>
      </c>
      <c r="AO201" s="751">
        <v>0</v>
      </c>
      <c r="AP201" s="751">
        <v>0</v>
      </c>
      <c r="AQ201" s="751">
        <v>0</v>
      </c>
      <c r="AR201" s="751">
        <v>0</v>
      </c>
      <c r="AS201" s="751">
        <v>0</v>
      </c>
      <c r="AT201" s="751">
        <v>0</v>
      </c>
      <c r="AU201" s="751">
        <v>0</v>
      </c>
      <c r="AV201" s="751">
        <v>0</v>
      </c>
      <c r="AW201" s="751">
        <v>0</v>
      </c>
      <c r="AX201" s="751">
        <v>0</v>
      </c>
      <c r="AY201" s="751">
        <v>0</v>
      </c>
      <c r="AZ201" s="751">
        <v>0</v>
      </c>
      <c r="BA201" s="751">
        <v>0</v>
      </c>
      <c r="BB201" s="751">
        <v>0</v>
      </c>
      <c r="BC201" s="751">
        <v>-23334673</v>
      </c>
      <c r="BD201" s="751">
        <v>-22553169</v>
      </c>
      <c r="BE201" s="751">
        <v>0</v>
      </c>
      <c r="BF201" s="751">
        <v>-463514</v>
      </c>
      <c r="BG201" s="751">
        <v>-46351356</v>
      </c>
      <c r="BH201" s="751">
        <v>18541986</v>
      </c>
      <c r="BI201" s="751">
        <v>18756809</v>
      </c>
      <c r="BJ201" s="751">
        <v>0</v>
      </c>
      <c r="BK201" s="751">
        <v>374019</v>
      </c>
      <c r="BL201" s="751">
        <v>37672814</v>
      </c>
      <c r="BM201" s="751">
        <v>2138311</v>
      </c>
      <c r="BN201" s="751">
        <v>0</v>
      </c>
      <c r="BO201" s="751">
        <v>43639</v>
      </c>
      <c r="BP201" s="751">
        <v>2181950</v>
      </c>
      <c r="BQ201" s="751">
        <v>2601408</v>
      </c>
      <c r="BR201" s="751">
        <v>0</v>
      </c>
      <c r="BS201" s="751">
        <v>53090</v>
      </c>
      <c r="BT201" s="751">
        <v>2654498</v>
      </c>
      <c r="BU201" s="751">
        <v>179059</v>
      </c>
      <c r="BV201" s="751">
        <v>0</v>
      </c>
      <c r="BW201" s="751">
        <v>3654</v>
      </c>
      <c r="BX201" s="751">
        <v>182713</v>
      </c>
      <c r="BY201" s="751">
        <v>0</v>
      </c>
      <c r="BZ201" s="751">
        <v>0</v>
      </c>
      <c r="CA201" s="751">
        <v>0</v>
      </c>
      <c r="CB201" s="751">
        <v>0</v>
      </c>
      <c r="CC201" s="751">
        <v>0</v>
      </c>
      <c r="CD201" s="751">
        <v>0</v>
      </c>
      <c r="CE201" s="751">
        <v>0</v>
      </c>
      <c r="CF201" s="751">
        <v>0</v>
      </c>
      <c r="CG201" s="751">
        <v>10930</v>
      </c>
      <c r="CH201" s="751">
        <v>0</v>
      </c>
      <c r="CI201" s="751">
        <v>223</v>
      </c>
      <c r="CJ201" s="751">
        <v>11153</v>
      </c>
      <c r="CK201" s="751">
        <v>0</v>
      </c>
      <c r="CL201" s="751">
        <v>0</v>
      </c>
      <c r="CM201" s="751">
        <v>0</v>
      </c>
      <c r="CN201" s="751">
        <v>0</v>
      </c>
      <c r="CO201" s="751">
        <v>0</v>
      </c>
      <c r="CP201" s="751">
        <v>0</v>
      </c>
      <c r="CQ201" s="751">
        <v>0</v>
      </c>
      <c r="CR201" s="751">
        <v>0</v>
      </c>
      <c r="CS201" s="751">
        <v>0</v>
      </c>
      <c r="CT201" s="751">
        <v>0</v>
      </c>
      <c r="CU201" s="751">
        <v>0</v>
      </c>
      <c r="CV201" s="751">
        <v>0</v>
      </c>
      <c r="CW201" s="751">
        <v>4929708</v>
      </c>
      <c r="CX201" s="751">
        <v>0</v>
      </c>
      <c r="CY201" s="751">
        <v>100606</v>
      </c>
      <c r="CZ201" s="751">
        <v>5030314</v>
      </c>
      <c r="DA201" s="662" t="s">
        <v>530</v>
      </c>
      <c r="DB201" s="324" t="s">
        <v>486</v>
      </c>
      <c r="DC201" s="663" t="s">
        <v>1914</v>
      </c>
      <c r="DD201" s="529" t="s">
        <v>1407</v>
      </c>
    </row>
    <row r="202" spans="1:108" ht="12.75" x14ac:dyDescent="0.2">
      <c r="A202" s="664">
        <v>195</v>
      </c>
      <c r="B202" s="665" t="s">
        <v>269</v>
      </c>
      <c r="C202" s="666" t="s">
        <v>1201</v>
      </c>
      <c r="D202" s="667" t="s">
        <v>1204</v>
      </c>
      <c r="E202" s="668" t="s">
        <v>268</v>
      </c>
      <c r="F202" s="750">
        <v>52238667</v>
      </c>
      <c r="G202" s="751">
        <v>0</v>
      </c>
      <c r="H202" s="751">
        <v>1652922</v>
      </c>
      <c r="I202" s="751">
        <v>239419</v>
      </c>
      <c r="J202" s="751">
        <v>0</v>
      </c>
      <c r="K202" s="751">
        <v>239419</v>
      </c>
      <c r="L202" s="751">
        <v>0</v>
      </c>
      <c r="M202" s="751">
        <v>0</v>
      </c>
      <c r="N202" s="751">
        <v>22286</v>
      </c>
      <c r="O202" s="751">
        <v>22286</v>
      </c>
      <c r="P202" s="751">
        <v>0</v>
      </c>
      <c r="Q202" s="751">
        <v>0</v>
      </c>
      <c r="R202" s="751">
        <v>50324040</v>
      </c>
      <c r="S202" s="749">
        <v>0.5</v>
      </c>
      <c r="T202" s="749">
        <v>0.4</v>
      </c>
      <c r="U202" s="749">
        <v>0.09</v>
      </c>
      <c r="V202" s="749">
        <v>0.01</v>
      </c>
      <c r="W202" s="749">
        <v>1</v>
      </c>
      <c r="X202" s="751">
        <v>25162020</v>
      </c>
      <c r="Y202" s="751">
        <v>20129616</v>
      </c>
      <c r="Z202" s="751">
        <v>4529164</v>
      </c>
      <c r="AA202" s="751">
        <v>503240</v>
      </c>
      <c r="AB202" s="751">
        <v>50324040</v>
      </c>
      <c r="AC202" s="751">
        <v>0</v>
      </c>
      <c r="AD202" s="751">
        <v>0</v>
      </c>
      <c r="AE202" s="751">
        <v>25162020</v>
      </c>
      <c r="AF202" s="751">
        <v>20129616</v>
      </c>
      <c r="AG202" s="751">
        <v>4529164</v>
      </c>
      <c r="AH202" s="751">
        <v>503240</v>
      </c>
      <c r="AI202" s="751">
        <v>50324040</v>
      </c>
      <c r="AJ202" s="751">
        <v>239419</v>
      </c>
      <c r="AK202" s="751">
        <v>239419</v>
      </c>
      <c r="AL202" s="751">
        <v>0</v>
      </c>
      <c r="AM202" s="751">
        <v>0</v>
      </c>
      <c r="AN202" s="751">
        <v>22286</v>
      </c>
      <c r="AO202" s="751">
        <v>0</v>
      </c>
      <c r="AP202" s="751">
        <v>22286</v>
      </c>
      <c r="AQ202" s="751">
        <v>0</v>
      </c>
      <c r="AR202" s="751">
        <v>0</v>
      </c>
      <c r="AS202" s="751">
        <v>0</v>
      </c>
      <c r="AT202" s="751">
        <v>0</v>
      </c>
      <c r="AU202" s="751">
        <v>0</v>
      </c>
      <c r="AV202" s="751">
        <v>0</v>
      </c>
      <c r="AW202" s="751">
        <v>0</v>
      </c>
      <c r="AX202" s="751">
        <v>0</v>
      </c>
      <c r="AY202" s="751">
        <v>0</v>
      </c>
      <c r="AZ202" s="751">
        <v>0</v>
      </c>
      <c r="BA202" s="751">
        <v>0</v>
      </c>
      <c r="BB202" s="751">
        <v>0</v>
      </c>
      <c r="BC202" s="751">
        <v>-15680962</v>
      </c>
      <c r="BD202" s="751">
        <v>-12093115</v>
      </c>
      <c r="BE202" s="751">
        <v>-2659476</v>
      </c>
      <c r="BF202" s="751">
        <v>-301073</v>
      </c>
      <c r="BG202" s="751">
        <v>-30734625</v>
      </c>
      <c r="BH202" s="751">
        <v>9481058</v>
      </c>
      <c r="BI202" s="751">
        <v>8298206</v>
      </c>
      <c r="BJ202" s="751">
        <v>1869688</v>
      </c>
      <c r="BK202" s="751">
        <v>202167</v>
      </c>
      <c r="BL202" s="751">
        <v>19851120</v>
      </c>
      <c r="BM202" s="751">
        <v>1049999</v>
      </c>
      <c r="BN202" s="751">
        <v>235988</v>
      </c>
      <c r="BO202" s="751">
        <v>26221</v>
      </c>
      <c r="BP202" s="751">
        <v>1312208</v>
      </c>
      <c r="BQ202" s="751">
        <v>1738317</v>
      </c>
      <c r="BR202" s="751">
        <v>391121</v>
      </c>
      <c r="BS202" s="751">
        <v>43458</v>
      </c>
      <c r="BT202" s="751">
        <v>2172896</v>
      </c>
      <c r="BU202" s="751">
        <v>102102</v>
      </c>
      <c r="BV202" s="751">
        <v>22973</v>
      </c>
      <c r="BW202" s="751">
        <v>2553</v>
      </c>
      <c r="BX202" s="751">
        <v>127628</v>
      </c>
      <c r="BY202" s="751">
        <v>1344</v>
      </c>
      <c r="BZ202" s="751">
        <v>302</v>
      </c>
      <c r="CA202" s="751">
        <v>34</v>
      </c>
      <c r="CB202" s="751">
        <v>1680</v>
      </c>
      <c r="CC202" s="751">
        <v>2133</v>
      </c>
      <c r="CD202" s="751">
        <v>480</v>
      </c>
      <c r="CE202" s="751">
        <v>53</v>
      </c>
      <c r="CF202" s="751">
        <v>2666</v>
      </c>
      <c r="CG202" s="751">
        <v>750</v>
      </c>
      <c r="CH202" s="751">
        <v>169</v>
      </c>
      <c r="CI202" s="751">
        <v>19</v>
      </c>
      <c r="CJ202" s="751">
        <v>938</v>
      </c>
      <c r="CK202" s="751">
        <v>0</v>
      </c>
      <c r="CL202" s="751">
        <v>0</v>
      </c>
      <c r="CM202" s="751">
        <v>0</v>
      </c>
      <c r="CN202" s="751">
        <v>0</v>
      </c>
      <c r="CO202" s="751">
        <v>0</v>
      </c>
      <c r="CP202" s="751">
        <v>0</v>
      </c>
      <c r="CQ202" s="751">
        <v>0</v>
      </c>
      <c r="CR202" s="751">
        <v>0</v>
      </c>
      <c r="CS202" s="751">
        <v>0</v>
      </c>
      <c r="CT202" s="751">
        <v>0</v>
      </c>
      <c r="CU202" s="751">
        <v>0</v>
      </c>
      <c r="CV202" s="751">
        <v>0</v>
      </c>
      <c r="CW202" s="751">
        <v>2894645</v>
      </c>
      <c r="CX202" s="751">
        <v>651033</v>
      </c>
      <c r="CY202" s="751">
        <v>72338</v>
      </c>
      <c r="CZ202" s="751">
        <v>3618016</v>
      </c>
      <c r="DA202" s="662" t="s">
        <v>268</v>
      </c>
      <c r="DB202" s="324" t="s">
        <v>547</v>
      </c>
      <c r="DC202" s="663" t="s">
        <v>545</v>
      </c>
      <c r="DD202" s="529" t="s">
        <v>1408</v>
      </c>
    </row>
    <row r="203" spans="1:108" ht="12.75" x14ac:dyDescent="0.2">
      <c r="A203" s="664">
        <v>196</v>
      </c>
      <c r="B203" s="665" t="s">
        <v>270</v>
      </c>
      <c r="C203" s="666" t="s">
        <v>486</v>
      </c>
      <c r="D203" s="667" t="s">
        <v>1202</v>
      </c>
      <c r="E203" s="668" t="s">
        <v>496</v>
      </c>
      <c r="F203" s="750">
        <v>131674081</v>
      </c>
      <c r="G203" s="751">
        <v>31968</v>
      </c>
      <c r="H203" s="751">
        <v>0</v>
      </c>
      <c r="I203" s="751">
        <v>289263</v>
      </c>
      <c r="J203" s="751">
        <v>0</v>
      </c>
      <c r="K203" s="751">
        <v>289263</v>
      </c>
      <c r="L203" s="751">
        <v>0</v>
      </c>
      <c r="M203" s="751">
        <v>0</v>
      </c>
      <c r="N203" s="751">
        <v>0</v>
      </c>
      <c r="O203" s="751">
        <v>0</v>
      </c>
      <c r="P203" s="751">
        <v>0</v>
      </c>
      <c r="Q203" s="751">
        <v>0</v>
      </c>
      <c r="R203" s="751">
        <v>131416786</v>
      </c>
      <c r="S203" s="749">
        <v>0.5</v>
      </c>
      <c r="T203" s="749">
        <v>0.49</v>
      </c>
      <c r="U203" s="749">
        <v>0</v>
      </c>
      <c r="V203" s="749">
        <v>0.01</v>
      </c>
      <c r="W203" s="749">
        <v>1</v>
      </c>
      <c r="X203" s="751">
        <v>65708393</v>
      </c>
      <c r="Y203" s="751">
        <v>64394225</v>
      </c>
      <c r="Z203" s="751">
        <v>0</v>
      </c>
      <c r="AA203" s="751">
        <v>1314168</v>
      </c>
      <c r="AB203" s="751">
        <v>131416786</v>
      </c>
      <c r="AC203" s="751">
        <v>0</v>
      </c>
      <c r="AD203" s="751">
        <v>0</v>
      </c>
      <c r="AE203" s="751">
        <v>65708393</v>
      </c>
      <c r="AF203" s="751">
        <v>64394225</v>
      </c>
      <c r="AG203" s="751">
        <v>0</v>
      </c>
      <c r="AH203" s="751">
        <v>1314168</v>
      </c>
      <c r="AI203" s="751">
        <v>131416786</v>
      </c>
      <c r="AJ203" s="751">
        <v>289263</v>
      </c>
      <c r="AK203" s="751">
        <v>289263</v>
      </c>
      <c r="AL203" s="751">
        <v>0</v>
      </c>
      <c r="AM203" s="751">
        <v>0</v>
      </c>
      <c r="AN203" s="751">
        <v>0</v>
      </c>
      <c r="AO203" s="751">
        <v>0</v>
      </c>
      <c r="AP203" s="751">
        <v>0</v>
      </c>
      <c r="AQ203" s="751">
        <v>0</v>
      </c>
      <c r="AR203" s="751">
        <v>0</v>
      </c>
      <c r="AS203" s="751">
        <v>0</v>
      </c>
      <c r="AT203" s="751">
        <v>0</v>
      </c>
      <c r="AU203" s="751">
        <v>0</v>
      </c>
      <c r="AV203" s="751">
        <v>0</v>
      </c>
      <c r="AW203" s="751">
        <v>0</v>
      </c>
      <c r="AX203" s="751">
        <v>0</v>
      </c>
      <c r="AY203" s="751">
        <v>0</v>
      </c>
      <c r="AZ203" s="751">
        <v>0</v>
      </c>
      <c r="BA203" s="751">
        <v>0</v>
      </c>
      <c r="BB203" s="751">
        <v>0</v>
      </c>
      <c r="BC203" s="751">
        <v>-28383494</v>
      </c>
      <c r="BD203" s="751">
        <v>-25893743</v>
      </c>
      <c r="BE203" s="751">
        <v>0</v>
      </c>
      <c r="BF203" s="751">
        <v>-548255</v>
      </c>
      <c r="BG203" s="751">
        <v>-54825493</v>
      </c>
      <c r="BH203" s="751">
        <v>37324899</v>
      </c>
      <c r="BI203" s="751">
        <v>38789745</v>
      </c>
      <c r="BJ203" s="751">
        <v>0</v>
      </c>
      <c r="BK203" s="751">
        <v>765913</v>
      </c>
      <c r="BL203" s="751">
        <v>76880556</v>
      </c>
      <c r="BM203" s="751">
        <v>3355210</v>
      </c>
      <c r="BN203" s="751">
        <v>0</v>
      </c>
      <c r="BO203" s="751">
        <v>68474</v>
      </c>
      <c r="BP203" s="751">
        <v>3423684</v>
      </c>
      <c r="BQ203" s="751">
        <v>1526476</v>
      </c>
      <c r="BR203" s="751">
        <v>0</v>
      </c>
      <c r="BS203" s="751">
        <v>31153</v>
      </c>
      <c r="BT203" s="751">
        <v>1557629</v>
      </c>
      <c r="BU203" s="751">
        <v>170794</v>
      </c>
      <c r="BV203" s="751">
        <v>0</v>
      </c>
      <c r="BW203" s="751">
        <v>3486</v>
      </c>
      <c r="BX203" s="751">
        <v>174280</v>
      </c>
      <c r="BY203" s="751">
        <v>2782</v>
      </c>
      <c r="BZ203" s="751">
        <v>0</v>
      </c>
      <c r="CA203" s="751">
        <v>57</v>
      </c>
      <c r="CB203" s="751">
        <v>2839</v>
      </c>
      <c r="CC203" s="751">
        <v>0</v>
      </c>
      <c r="CD203" s="751">
        <v>0</v>
      </c>
      <c r="CE203" s="751">
        <v>0</v>
      </c>
      <c r="CF203" s="751">
        <v>0</v>
      </c>
      <c r="CG203" s="751">
        <v>25180</v>
      </c>
      <c r="CH203" s="751">
        <v>0</v>
      </c>
      <c r="CI203" s="751">
        <v>514</v>
      </c>
      <c r="CJ203" s="751">
        <v>25694</v>
      </c>
      <c r="CK203" s="751">
        <v>0</v>
      </c>
      <c r="CL203" s="751">
        <v>0</v>
      </c>
      <c r="CM203" s="751">
        <v>0</v>
      </c>
      <c r="CN203" s="751">
        <v>0</v>
      </c>
      <c r="CO203" s="751">
        <v>0</v>
      </c>
      <c r="CP203" s="751">
        <v>0</v>
      </c>
      <c r="CQ203" s="751">
        <v>0</v>
      </c>
      <c r="CR203" s="751">
        <v>0</v>
      </c>
      <c r="CS203" s="751">
        <v>0</v>
      </c>
      <c r="CT203" s="751">
        <v>0</v>
      </c>
      <c r="CU203" s="751">
        <v>0</v>
      </c>
      <c r="CV203" s="751">
        <v>0</v>
      </c>
      <c r="CW203" s="751">
        <v>5080442</v>
      </c>
      <c r="CX203" s="751">
        <v>0</v>
      </c>
      <c r="CY203" s="751">
        <v>103684</v>
      </c>
      <c r="CZ203" s="751">
        <v>5184126</v>
      </c>
      <c r="DA203" s="662" t="s">
        <v>496</v>
      </c>
      <c r="DB203" s="324" t="s">
        <v>486</v>
      </c>
      <c r="DC203" s="663" t="s">
        <v>494</v>
      </c>
      <c r="DD203" s="529" t="s">
        <v>1409</v>
      </c>
    </row>
    <row r="204" spans="1:108" ht="12.75" x14ac:dyDescent="0.2">
      <c r="A204" s="664">
        <v>197</v>
      </c>
      <c r="B204" s="665" t="s">
        <v>272</v>
      </c>
      <c r="C204" s="666" t="s">
        <v>1213</v>
      </c>
      <c r="D204" s="667" t="s">
        <v>1214</v>
      </c>
      <c r="E204" s="668" t="s">
        <v>271</v>
      </c>
      <c r="F204" s="750">
        <v>58180097</v>
      </c>
      <c r="G204" s="751">
        <v>420919</v>
      </c>
      <c r="H204" s="751">
        <v>0</v>
      </c>
      <c r="I204" s="751">
        <v>270017</v>
      </c>
      <c r="J204" s="751">
        <v>0</v>
      </c>
      <c r="K204" s="751">
        <v>270017</v>
      </c>
      <c r="L204" s="751">
        <v>0</v>
      </c>
      <c r="M204" s="751">
        <v>0</v>
      </c>
      <c r="N204" s="751">
        <v>0</v>
      </c>
      <c r="O204" s="751">
        <v>0</v>
      </c>
      <c r="P204" s="751">
        <v>0</v>
      </c>
      <c r="Q204" s="751">
        <v>0</v>
      </c>
      <c r="R204" s="751">
        <v>58330999</v>
      </c>
      <c r="S204" s="749">
        <v>0.33</v>
      </c>
      <c r="T204" s="749">
        <v>0.3</v>
      </c>
      <c r="U204" s="749">
        <v>0.37</v>
      </c>
      <c r="V204" s="749">
        <v>0</v>
      </c>
      <c r="W204" s="749">
        <v>1</v>
      </c>
      <c r="X204" s="751">
        <v>19249229</v>
      </c>
      <c r="Y204" s="751">
        <v>17499300</v>
      </c>
      <c r="Z204" s="751">
        <v>21582470</v>
      </c>
      <c r="AA204" s="751">
        <v>0</v>
      </c>
      <c r="AB204" s="751">
        <v>58330999</v>
      </c>
      <c r="AC204" s="751">
        <v>0</v>
      </c>
      <c r="AD204" s="751">
        <v>0</v>
      </c>
      <c r="AE204" s="751">
        <v>19249229</v>
      </c>
      <c r="AF204" s="751">
        <v>17499300</v>
      </c>
      <c r="AG204" s="751">
        <v>21582470</v>
      </c>
      <c r="AH204" s="751">
        <v>0</v>
      </c>
      <c r="AI204" s="751">
        <v>58330999</v>
      </c>
      <c r="AJ204" s="751">
        <v>270017</v>
      </c>
      <c r="AK204" s="751">
        <v>270017</v>
      </c>
      <c r="AL204" s="751">
        <v>0</v>
      </c>
      <c r="AM204" s="751">
        <v>0</v>
      </c>
      <c r="AN204" s="751">
        <v>0</v>
      </c>
      <c r="AO204" s="751">
        <v>0</v>
      </c>
      <c r="AP204" s="751">
        <v>0</v>
      </c>
      <c r="AQ204" s="751">
        <v>0</v>
      </c>
      <c r="AR204" s="751">
        <v>0</v>
      </c>
      <c r="AS204" s="751">
        <v>0</v>
      </c>
      <c r="AT204" s="751">
        <v>0</v>
      </c>
      <c r="AU204" s="751">
        <v>0</v>
      </c>
      <c r="AV204" s="751">
        <v>0</v>
      </c>
      <c r="AW204" s="751">
        <v>0</v>
      </c>
      <c r="AX204" s="751">
        <v>0</v>
      </c>
      <c r="AY204" s="751">
        <v>0</v>
      </c>
      <c r="AZ204" s="751">
        <v>0</v>
      </c>
      <c r="BA204" s="751">
        <v>0</v>
      </c>
      <c r="BB204" s="751">
        <v>0</v>
      </c>
      <c r="BC204" s="751">
        <v>-10357747</v>
      </c>
      <c r="BD204" s="751">
        <v>-9030911</v>
      </c>
      <c r="BE204" s="751">
        <v>-11628936</v>
      </c>
      <c r="BF204" s="751">
        <v>0</v>
      </c>
      <c r="BG204" s="751">
        <v>-31017593</v>
      </c>
      <c r="BH204" s="751">
        <v>8891482</v>
      </c>
      <c r="BI204" s="751">
        <v>8738406</v>
      </c>
      <c r="BJ204" s="751">
        <v>9953534</v>
      </c>
      <c r="BK204" s="751">
        <v>0</v>
      </c>
      <c r="BL204" s="751">
        <v>27583423</v>
      </c>
      <c r="BM204" s="751">
        <v>911787</v>
      </c>
      <c r="BN204" s="751">
        <v>1124538</v>
      </c>
      <c r="BO204" s="751">
        <v>0</v>
      </c>
      <c r="BP204" s="751">
        <v>2036325</v>
      </c>
      <c r="BQ204" s="751">
        <v>1973774</v>
      </c>
      <c r="BR204" s="751">
        <v>2434321</v>
      </c>
      <c r="BS204" s="751">
        <v>0</v>
      </c>
      <c r="BT204" s="751">
        <v>4408095</v>
      </c>
      <c r="BU204" s="751">
        <v>85663</v>
      </c>
      <c r="BV204" s="751">
        <v>105651</v>
      </c>
      <c r="BW204" s="751">
        <v>0</v>
      </c>
      <c r="BX204" s="751">
        <v>191314</v>
      </c>
      <c r="BY204" s="751">
        <v>6370</v>
      </c>
      <c r="BZ204" s="751">
        <v>7856</v>
      </c>
      <c r="CA204" s="751">
        <v>0</v>
      </c>
      <c r="CB204" s="751">
        <v>14226</v>
      </c>
      <c r="CC204" s="751">
        <v>0</v>
      </c>
      <c r="CD204" s="751">
        <v>0</v>
      </c>
      <c r="CE204" s="751">
        <v>0</v>
      </c>
      <c r="CF204" s="751">
        <v>0</v>
      </c>
      <c r="CG204" s="751">
        <v>28210</v>
      </c>
      <c r="CH204" s="751">
        <v>34791</v>
      </c>
      <c r="CI204" s="751">
        <v>0</v>
      </c>
      <c r="CJ204" s="751">
        <v>63001</v>
      </c>
      <c r="CK204" s="751">
        <v>0</v>
      </c>
      <c r="CL204" s="751">
        <v>0</v>
      </c>
      <c r="CM204" s="751">
        <v>0</v>
      </c>
      <c r="CN204" s="751">
        <v>0</v>
      </c>
      <c r="CO204" s="751">
        <v>0</v>
      </c>
      <c r="CP204" s="751">
        <v>0</v>
      </c>
      <c r="CQ204" s="751">
        <v>0</v>
      </c>
      <c r="CR204" s="751">
        <v>0</v>
      </c>
      <c r="CS204" s="751">
        <v>0</v>
      </c>
      <c r="CT204" s="751">
        <v>0</v>
      </c>
      <c r="CU204" s="751">
        <v>0</v>
      </c>
      <c r="CV204" s="751">
        <v>0</v>
      </c>
      <c r="CW204" s="751">
        <v>3005804</v>
      </c>
      <c r="CX204" s="751">
        <v>3707157</v>
      </c>
      <c r="CY204" s="751">
        <v>0</v>
      </c>
      <c r="CZ204" s="751">
        <v>6712961</v>
      </c>
      <c r="DA204" s="662" t="s">
        <v>271</v>
      </c>
      <c r="DB204" s="324" t="s">
        <v>576</v>
      </c>
      <c r="DC204" s="669" t="s">
        <v>485</v>
      </c>
      <c r="DD204" s="529" t="s">
        <v>1410</v>
      </c>
    </row>
    <row r="205" spans="1:108" ht="12.75" x14ac:dyDescent="0.2">
      <c r="A205" s="664">
        <v>198</v>
      </c>
      <c r="B205" s="665" t="s">
        <v>274</v>
      </c>
      <c r="C205" s="666" t="s">
        <v>486</v>
      </c>
      <c r="D205" s="667" t="s">
        <v>1283</v>
      </c>
      <c r="E205" s="668" t="s">
        <v>818</v>
      </c>
      <c r="F205" s="750">
        <v>40404497</v>
      </c>
      <c r="G205" s="751">
        <v>0</v>
      </c>
      <c r="H205" s="751">
        <v>375785</v>
      </c>
      <c r="I205" s="751">
        <v>159145</v>
      </c>
      <c r="J205" s="751">
        <v>0</v>
      </c>
      <c r="K205" s="751">
        <v>159145</v>
      </c>
      <c r="L205" s="751">
        <v>0</v>
      </c>
      <c r="M205" s="751">
        <v>1846532</v>
      </c>
      <c r="N205" s="751">
        <v>320000</v>
      </c>
      <c r="O205" s="751">
        <v>320000</v>
      </c>
      <c r="P205" s="751">
        <v>0</v>
      </c>
      <c r="Q205" s="751">
        <v>0</v>
      </c>
      <c r="R205" s="751">
        <v>37703035</v>
      </c>
      <c r="S205" s="749">
        <v>0.5</v>
      </c>
      <c r="T205" s="749">
        <v>0.49</v>
      </c>
      <c r="U205" s="749">
        <v>0</v>
      </c>
      <c r="V205" s="749">
        <v>0.01</v>
      </c>
      <c r="W205" s="749">
        <v>1</v>
      </c>
      <c r="X205" s="751">
        <v>18851518</v>
      </c>
      <c r="Y205" s="751">
        <v>18474487</v>
      </c>
      <c r="Z205" s="751">
        <v>0</v>
      </c>
      <c r="AA205" s="751">
        <v>377030</v>
      </c>
      <c r="AB205" s="751">
        <v>37703035</v>
      </c>
      <c r="AC205" s="751">
        <v>0</v>
      </c>
      <c r="AD205" s="751">
        <v>0</v>
      </c>
      <c r="AE205" s="751">
        <v>18851518</v>
      </c>
      <c r="AF205" s="751">
        <v>18474487</v>
      </c>
      <c r="AG205" s="751">
        <v>0</v>
      </c>
      <c r="AH205" s="751">
        <v>377030</v>
      </c>
      <c r="AI205" s="751">
        <v>37703035</v>
      </c>
      <c r="AJ205" s="751">
        <v>159145</v>
      </c>
      <c r="AK205" s="751">
        <v>159145</v>
      </c>
      <c r="AL205" s="751">
        <v>1846532</v>
      </c>
      <c r="AM205" s="751">
        <v>1846532</v>
      </c>
      <c r="AN205" s="751">
        <v>320000</v>
      </c>
      <c r="AO205" s="751">
        <v>0</v>
      </c>
      <c r="AP205" s="751">
        <v>320000</v>
      </c>
      <c r="AQ205" s="751">
        <v>0</v>
      </c>
      <c r="AR205" s="751">
        <v>0</v>
      </c>
      <c r="AS205" s="751">
        <v>0</v>
      </c>
      <c r="AT205" s="751">
        <v>0</v>
      </c>
      <c r="AU205" s="751">
        <v>0</v>
      </c>
      <c r="AV205" s="751">
        <v>0</v>
      </c>
      <c r="AW205" s="751">
        <v>0</v>
      </c>
      <c r="AX205" s="751">
        <v>0</v>
      </c>
      <c r="AY205" s="751">
        <v>0</v>
      </c>
      <c r="AZ205" s="751">
        <v>0</v>
      </c>
      <c r="BA205" s="751">
        <v>0</v>
      </c>
      <c r="BB205" s="751">
        <v>0</v>
      </c>
      <c r="BC205" s="751">
        <v>-7179827</v>
      </c>
      <c r="BD205" s="751">
        <v>-7036230</v>
      </c>
      <c r="BE205" s="751">
        <v>0</v>
      </c>
      <c r="BF205" s="751">
        <v>-143597</v>
      </c>
      <c r="BG205" s="751">
        <v>-14359654</v>
      </c>
      <c r="BH205" s="751">
        <v>11671691</v>
      </c>
      <c r="BI205" s="751">
        <v>13763934</v>
      </c>
      <c r="BJ205" s="751">
        <v>0</v>
      </c>
      <c r="BK205" s="751">
        <v>233433</v>
      </c>
      <c r="BL205" s="751">
        <v>25669058</v>
      </c>
      <c r="BM205" s="751">
        <v>1075484</v>
      </c>
      <c r="BN205" s="751">
        <v>0</v>
      </c>
      <c r="BO205" s="751">
        <v>19645</v>
      </c>
      <c r="BP205" s="751">
        <v>1095129</v>
      </c>
      <c r="BQ205" s="751">
        <v>1419601</v>
      </c>
      <c r="BR205" s="751">
        <v>0</v>
      </c>
      <c r="BS205" s="751">
        <v>28971</v>
      </c>
      <c r="BT205" s="751">
        <v>1448572</v>
      </c>
      <c r="BU205" s="751">
        <v>62278</v>
      </c>
      <c r="BV205" s="751">
        <v>0</v>
      </c>
      <c r="BW205" s="751">
        <v>1271</v>
      </c>
      <c r="BX205" s="751">
        <v>63549</v>
      </c>
      <c r="BY205" s="751">
        <v>18573</v>
      </c>
      <c r="BZ205" s="751">
        <v>0</v>
      </c>
      <c r="CA205" s="751">
        <v>379</v>
      </c>
      <c r="CB205" s="751">
        <v>18952</v>
      </c>
      <c r="CC205" s="751">
        <v>629</v>
      </c>
      <c r="CD205" s="751">
        <v>0</v>
      </c>
      <c r="CE205" s="751">
        <v>13</v>
      </c>
      <c r="CF205" s="751">
        <v>642</v>
      </c>
      <c r="CG205" s="751">
        <v>7257</v>
      </c>
      <c r="CH205" s="751">
        <v>0</v>
      </c>
      <c r="CI205" s="751">
        <v>148</v>
      </c>
      <c r="CJ205" s="751">
        <v>7405</v>
      </c>
      <c r="CK205" s="751">
        <v>0</v>
      </c>
      <c r="CL205" s="751">
        <v>0</v>
      </c>
      <c r="CM205" s="751">
        <v>0</v>
      </c>
      <c r="CN205" s="751">
        <v>0</v>
      </c>
      <c r="CO205" s="751">
        <v>0</v>
      </c>
      <c r="CP205" s="751">
        <v>0</v>
      </c>
      <c r="CQ205" s="751">
        <v>0</v>
      </c>
      <c r="CR205" s="751">
        <v>0</v>
      </c>
      <c r="CS205" s="751">
        <v>0</v>
      </c>
      <c r="CT205" s="751">
        <v>0</v>
      </c>
      <c r="CU205" s="751">
        <v>0</v>
      </c>
      <c r="CV205" s="751">
        <v>0</v>
      </c>
      <c r="CW205" s="751">
        <v>2583822</v>
      </c>
      <c r="CX205" s="751">
        <v>0</v>
      </c>
      <c r="CY205" s="751">
        <v>50427</v>
      </c>
      <c r="CZ205" s="751">
        <v>2634249</v>
      </c>
      <c r="DA205" s="662" t="s">
        <v>818</v>
      </c>
      <c r="DB205" s="324" t="s">
        <v>486</v>
      </c>
      <c r="DC205" s="663" t="s">
        <v>509</v>
      </c>
      <c r="DD205" s="529" t="s">
        <v>1411</v>
      </c>
    </row>
    <row r="206" spans="1:108" ht="12.75" x14ac:dyDescent="0.2">
      <c r="A206" s="664">
        <v>199</v>
      </c>
      <c r="B206" s="665" t="s">
        <v>276</v>
      </c>
      <c r="C206" s="666" t="s">
        <v>1201</v>
      </c>
      <c r="D206" s="667" t="s">
        <v>1228</v>
      </c>
      <c r="E206" s="668" t="s">
        <v>275</v>
      </c>
      <c r="F206" s="750">
        <v>33733213</v>
      </c>
      <c r="G206" s="751">
        <v>0</v>
      </c>
      <c r="H206" s="751">
        <v>233384</v>
      </c>
      <c r="I206" s="751">
        <v>105083</v>
      </c>
      <c r="J206" s="751">
        <v>0</v>
      </c>
      <c r="K206" s="751">
        <v>105083</v>
      </c>
      <c r="L206" s="751">
        <v>0</v>
      </c>
      <c r="M206" s="751">
        <v>0</v>
      </c>
      <c r="N206" s="751">
        <v>0</v>
      </c>
      <c r="O206" s="751">
        <v>0</v>
      </c>
      <c r="P206" s="751">
        <v>0</v>
      </c>
      <c r="Q206" s="751">
        <v>0</v>
      </c>
      <c r="R206" s="751">
        <v>33394745</v>
      </c>
      <c r="S206" s="749">
        <v>0.5</v>
      </c>
      <c r="T206" s="749">
        <v>0.4</v>
      </c>
      <c r="U206" s="749">
        <v>0.09</v>
      </c>
      <c r="V206" s="749">
        <v>0.01</v>
      </c>
      <c r="W206" s="749">
        <v>1</v>
      </c>
      <c r="X206" s="751">
        <v>16697373</v>
      </c>
      <c r="Y206" s="751">
        <v>13357898</v>
      </c>
      <c r="Z206" s="751">
        <v>3005527</v>
      </c>
      <c r="AA206" s="751">
        <v>333947</v>
      </c>
      <c r="AB206" s="751">
        <v>33394745</v>
      </c>
      <c r="AC206" s="751">
        <v>0</v>
      </c>
      <c r="AD206" s="751">
        <v>0</v>
      </c>
      <c r="AE206" s="751">
        <v>16697373</v>
      </c>
      <c r="AF206" s="751">
        <v>13357898</v>
      </c>
      <c r="AG206" s="751">
        <v>3005527</v>
      </c>
      <c r="AH206" s="751">
        <v>333947</v>
      </c>
      <c r="AI206" s="751">
        <v>33394745</v>
      </c>
      <c r="AJ206" s="751">
        <v>105083</v>
      </c>
      <c r="AK206" s="751">
        <v>105083</v>
      </c>
      <c r="AL206" s="751">
        <v>0</v>
      </c>
      <c r="AM206" s="751">
        <v>0</v>
      </c>
      <c r="AN206" s="751">
        <v>0</v>
      </c>
      <c r="AO206" s="751">
        <v>0</v>
      </c>
      <c r="AP206" s="751">
        <v>0</v>
      </c>
      <c r="AQ206" s="751">
        <v>0</v>
      </c>
      <c r="AR206" s="751">
        <v>0</v>
      </c>
      <c r="AS206" s="751">
        <v>0</v>
      </c>
      <c r="AT206" s="751">
        <v>0</v>
      </c>
      <c r="AU206" s="751">
        <v>0</v>
      </c>
      <c r="AV206" s="751">
        <v>0</v>
      </c>
      <c r="AW206" s="751">
        <v>0</v>
      </c>
      <c r="AX206" s="751">
        <v>0</v>
      </c>
      <c r="AY206" s="751">
        <v>0</v>
      </c>
      <c r="AZ206" s="751">
        <v>0</v>
      </c>
      <c r="BA206" s="751">
        <v>0</v>
      </c>
      <c r="BB206" s="751">
        <v>0</v>
      </c>
      <c r="BC206" s="751">
        <v>-7025439</v>
      </c>
      <c r="BD206" s="751">
        <v>-6122856</v>
      </c>
      <c r="BE206" s="751">
        <v>481625</v>
      </c>
      <c r="BF206" s="751">
        <v>-127946</v>
      </c>
      <c r="BG206" s="751">
        <v>-12794616</v>
      </c>
      <c r="BH206" s="751">
        <v>9671934</v>
      </c>
      <c r="BI206" s="751">
        <v>7340125</v>
      </c>
      <c r="BJ206" s="751">
        <v>3487152</v>
      </c>
      <c r="BK206" s="751">
        <v>206001</v>
      </c>
      <c r="BL206" s="751">
        <v>20705212</v>
      </c>
      <c r="BM206" s="751">
        <v>696003</v>
      </c>
      <c r="BN206" s="751">
        <v>156601</v>
      </c>
      <c r="BO206" s="751">
        <v>17400</v>
      </c>
      <c r="BP206" s="751">
        <v>870004</v>
      </c>
      <c r="BQ206" s="751">
        <v>844241</v>
      </c>
      <c r="BR206" s="751">
        <v>189954</v>
      </c>
      <c r="BS206" s="751">
        <v>21106</v>
      </c>
      <c r="BT206" s="751">
        <v>1055301</v>
      </c>
      <c r="BU206" s="751">
        <v>68576</v>
      </c>
      <c r="BV206" s="751">
        <v>15430</v>
      </c>
      <c r="BW206" s="751">
        <v>1714</v>
      </c>
      <c r="BX206" s="751">
        <v>85720</v>
      </c>
      <c r="BY206" s="751">
        <v>0</v>
      </c>
      <c r="BZ206" s="751">
        <v>0</v>
      </c>
      <c r="CA206" s="751">
        <v>0</v>
      </c>
      <c r="CB206" s="751">
        <v>0</v>
      </c>
      <c r="CC206" s="751">
        <v>711</v>
      </c>
      <c r="CD206" s="751">
        <v>160</v>
      </c>
      <c r="CE206" s="751">
        <v>18</v>
      </c>
      <c r="CF206" s="751">
        <v>889</v>
      </c>
      <c r="CG206" s="751">
        <v>1478</v>
      </c>
      <c r="CH206" s="751">
        <v>332</v>
      </c>
      <c r="CI206" s="751">
        <v>37</v>
      </c>
      <c r="CJ206" s="751">
        <v>1847</v>
      </c>
      <c r="CK206" s="751">
        <v>0</v>
      </c>
      <c r="CL206" s="751">
        <v>0</v>
      </c>
      <c r="CM206" s="751">
        <v>0</v>
      </c>
      <c r="CN206" s="751">
        <v>0</v>
      </c>
      <c r="CO206" s="751">
        <v>0</v>
      </c>
      <c r="CP206" s="751">
        <v>0</v>
      </c>
      <c r="CQ206" s="751">
        <v>0</v>
      </c>
      <c r="CR206" s="751">
        <v>0</v>
      </c>
      <c r="CS206" s="751">
        <v>631</v>
      </c>
      <c r="CT206" s="751">
        <v>142</v>
      </c>
      <c r="CU206" s="751">
        <v>16</v>
      </c>
      <c r="CV206" s="751">
        <v>789</v>
      </c>
      <c r="CW206" s="751">
        <v>1611640</v>
      </c>
      <c r="CX206" s="751">
        <v>362619</v>
      </c>
      <c r="CY206" s="751">
        <v>40291</v>
      </c>
      <c r="CZ206" s="751">
        <v>2014550</v>
      </c>
      <c r="DA206" s="662" t="s">
        <v>275</v>
      </c>
      <c r="DB206" s="324" t="s">
        <v>535</v>
      </c>
      <c r="DC206" s="663" t="s">
        <v>534</v>
      </c>
      <c r="DD206" s="529" t="s">
        <v>1412</v>
      </c>
    </row>
    <row r="207" spans="1:108" ht="12.75" x14ac:dyDescent="0.2">
      <c r="A207" s="664">
        <v>200</v>
      </c>
      <c r="B207" s="665" t="s">
        <v>278</v>
      </c>
      <c r="C207" s="666" t="s">
        <v>1201</v>
      </c>
      <c r="D207" s="667" t="s">
        <v>1202</v>
      </c>
      <c r="E207" s="668" t="s">
        <v>277</v>
      </c>
      <c r="F207" s="750">
        <v>52332365</v>
      </c>
      <c r="G207" s="751">
        <v>4410</v>
      </c>
      <c r="H207" s="751">
        <v>0</v>
      </c>
      <c r="I207" s="751">
        <v>171043</v>
      </c>
      <c r="J207" s="751">
        <v>0</v>
      </c>
      <c r="K207" s="751">
        <v>171043</v>
      </c>
      <c r="L207" s="751">
        <v>0</v>
      </c>
      <c r="M207" s="751">
        <v>0</v>
      </c>
      <c r="N207" s="751">
        <v>0</v>
      </c>
      <c r="O207" s="751">
        <v>0</v>
      </c>
      <c r="P207" s="751">
        <v>0</v>
      </c>
      <c r="Q207" s="751">
        <v>0</v>
      </c>
      <c r="R207" s="751">
        <v>52165732</v>
      </c>
      <c r="S207" s="749">
        <v>0.5</v>
      </c>
      <c r="T207" s="749">
        <v>0.4</v>
      </c>
      <c r="U207" s="749">
        <v>0.1</v>
      </c>
      <c r="V207" s="749">
        <v>0</v>
      </c>
      <c r="W207" s="749">
        <v>1</v>
      </c>
      <c r="X207" s="751">
        <v>26082866</v>
      </c>
      <c r="Y207" s="751">
        <v>20866293</v>
      </c>
      <c r="Z207" s="751">
        <v>5216573</v>
      </c>
      <c r="AA207" s="751">
        <v>0</v>
      </c>
      <c r="AB207" s="751">
        <v>52165732</v>
      </c>
      <c r="AC207" s="751">
        <v>0</v>
      </c>
      <c r="AD207" s="751">
        <v>0</v>
      </c>
      <c r="AE207" s="751">
        <v>26082866</v>
      </c>
      <c r="AF207" s="751">
        <v>20866293</v>
      </c>
      <c r="AG207" s="751">
        <v>5216573</v>
      </c>
      <c r="AH207" s="751">
        <v>0</v>
      </c>
      <c r="AI207" s="751">
        <v>52165732</v>
      </c>
      <c r="AJ207" s="751">
        <v>171043</v>
      </c>
      <c r="AK207" s="751">
        <v>171043</v>
      </c>
      <c r="AL207" s="751">
        <v>0</v>
      </c>
      <c r="AM207" s="751">
        <v>0</v>
      </c>
      <c r="AN207" s="751">
        <v>0</v>
      </c>
      <c r="AO207" s="751">
        <v>0</v>
      </c>
      <c r="AP207" s="751">
        <v>0</v>
      </c>
      <c r="AQ207" s="751">
        <v>0</v>
      </c>
      <c r="AR207" s="751">
        <v>0</v>
      </c>
      <c r="AS207" s="751">
        <v>0</v>
      </c>
      <c r="AT207" s="751">
        <v>0</v>
      </c>
      <c r="AU207" s="751">
        <v>0</v>
      </c>
      <c r="AV207" s="751">
        <v>0</v>
      </c>
      <c r="AW207" s="751">
        <v>0</v>
      </c>
      <c r="AX207" s="751">
        <v>0</v>
      </c>
      <c r="AY207" s="751">
        <v>0</v>
      </c>
      <c r="AZ207" s="751">
        <v>0</v>
      </c>
      <c r="BA207" s="751">
        <v>0</v>
      </c>
      <c r="BB207" s="751">
        <v>0</v>
      </c>
      <c r="BC207" s="751">
        <v>-10844404</v>
      </c>
      <c r="BD207" s="751">
        <v>-8675523</v>
      </c>
      <c r="BE207" s="751">
        <v>-2168881</v>
      </c>
      <c r="BF207" s="751">
        <v>0</v>
      </c>
      <c r="BG207" s="751">
        <v>-21688808</v>
      </c>
      <c r="BH207" s="751">
        <v>15238462</v>
      </c>
      <c r="BI207" s="751">
        <v>12361813</v>
      </c>
      <c r="BJ207" s="751">
        <v>3047692</v>
      </c>
      <c r="BK207" s="751">
        <v>0</v>
      </c>
      <c r="BL207" s="751">
        <v>30647968</v>
      </c>
      <c r="BM207" s="751">
        <v>1087222</v>
      </c>
      <c r="BN207" s="751">
        <v>271805</v>
      </c>
      <c r="BO207" s="751">
        <v>0</v>
      </c>
      <c r="BP207" s="751">
        <v>1359027</v>
      </c>
      <c r="BQ207" s="751">
        <v>1107281</v>
      </c>
      <c r="BR207" s="751">
        <v>276820</v>
      </c>
      <c r="BS207" s="751">
        <v>0</v>
      </c>
      <c r="BT207" s="751">
        <v>1384101</v>
      </c>
      <c r="BU207" s="751">
        <v>97559</v>
      </c>
      <c r="BV207" s="751">
        <v>24390</v>
      </c>
      <c r="BW207" s="751">
        <v>0</v>
      </c>
      <c r="BX207" s="751">
        <v>121949</v>
      </c>
      <c r="BY207" s="751">
        <v>2604</v>
      </c>
      <c r="BZ207" s="751">
        <v>651</v>
      </c>
      <c r="CA207" s="751">
        <v>0</v>
      </c>
      <c r="CB207" s="751">
        <v>3255</v>
      </c>
      <c r="CC207" s="751">
        <v>0</v>
      </c>
      <c r="CD207" s="751">
        <v>0</v>
      </c>
      <c r="CE207" s="751">
        <v>0</v>
      </c>
      <c r="CF207" s="751">
        <v>0</v>
      </c>
      <c r="CG207" s="751">
        <v>6522</v>
      </c>
      <c r="CH207" s="751">
        <v>1631</v>
      </c>
      <c r="CI207" s="751">
        <v>0</v>
      </c>
      <c r="CJ207" s="751">
        <v>8153</v>
      </c>
      <c r="CK207" s="751">
        <v>0</v>
      </c>
      <c r="CL207" s="751">
        <v>0</v>
      </c>
      <c r="CM207" s="751">
        <v>0</v>
      </c>
      <c r="CN207" s="751">
        <v>0</v>
      </c>
      <c r="CO207" s="751">
        <v>0</v>
      </c>
      <c r="CP207" s="751">
        <v>0</v>
      </c>
      <c r="CQ207" s="751">
        <v>0</v>
      </c>
      <c r="CR207" s="751">
        <v>0</v>
      </c>
      <c r="CS207" s="751">
        <v>0</v>
      </c>
      <c r="CT207" s="751">
        <v>0</v>
      </c>
      <c r="CU207" s="751">
        <v>0</v>
      </c>
      <c r="CV207" s="751">
        <v>0</v>
      </c>
      <c r="CW207" s="751">
        <v>2301188</v>
      </c>
      <c r="CX207" s="751">
        <v>575297</v>
      </c>
      <c r="CY207" s="751">
        <v>0</v>
      </c>
      <c r="CZ207" s="751">
        <v>2876485</v>
      </c>
      <c r="DA207" s="662" t="s">
        <v>277</v>
      </c>
      <c r="DB207" s="324" t="s">
        <v>566</v>
      </c>
      <c r="DC207" s="663" t="s">
        <v>512</v>
      </c>
      <c r="DD207" s="529" t="s">
        <v>1413</v>
      </c>
    </row>
    <row r="208" spans="1:108" ht="12.75" x14ac:dyDescent="0.2">
      <c r="A208" s="664">
        <v>201</v>
      </c>
      <c r="B208" s="665" t="s">
        <v>280</v>
      </c>
      <c r="C208" s="666" t="s">
        <v>1201</v>
      </c>
      <c r="D208" s="667" t="s">
        <v>1204</v>
      </c>
      <c r="E208" s="668" t="s">
        <v>279</v>
      </c>
      <c r="F208" s="750">
        <v>15366851</v>
      </c>
      <c r="G208" s="751">
        <v>58571</v>
      </c>
      <c r="H208" s="751">
        <v>0</v>
      </c>
      <c r="I208" s="751">
        <v>92240</v>
      </c>
      <c r="J208" s="751">
        <v>0</v>
      </c>
      <c r="K208" s="751">
        <v>92240</v>
      </c>
      <c r="L208" s="751">
        <v>0</v>
      </c>
      <c r="M208" s="751">
        <v>123112</v>
      </c>
      <c r="N208" s="751">
        <v>95687</v>
      </c>
      <c r="O208" s="751">
        <v>95687</v>
      </c>
      <c r="P208" s="751">
        <v>0</v>
      </c>
      <c r="Q208" s="751">
        <v>0</v>
      </c>
      <c r="R208" s="751">
        <v>15114383</v>
      </c>
      <c r="S208" s="749">
        <v>0.5</v>
      </c>
      <c r="T208" s="749">
        <v>0.4</v>
      </c>
      <c r="U208" s="749">
        <v>0.09</v>
      </c>
      <c r="V208" s="749">
        <v>0.01</v>
      </c>
      <c r="W208" s="749">
        <v>1</v>
      </c>
      <c r="X208" s="751">
        <v>7557192</v>
      </c>
      <c r="Y208" s="751">
        <v>6045753</v>
      </c>
      <c r="Z208" s="751">
        <v>1360294</v>
      </c>
      <c r="AA208" s="751">
        <v>151144</v>
      </c>
      <c r="AB208" s="751">
        <v>15114383</v>
      </c>
      <c r="AC208" s="751">
        <v>0</v>
      </c>
      <c r="AD208" s="751">
        <v>0</v>
      </c>
      <c r="AE208" s="751">
        <v>7557192</v>
      </c>
      <c r="AF208" s="751">
        <v>6045753</v>
      </c>
      <c r="AG208" s="751">
        <v>1360294</v>
      </c>
      <c r="AH208" s="751">
        <v>151144</v>
      </c>
      <c r="AI208" s="751">
        <v>15114383</v>
      </c>
      <c r="AJ208" s="751">
        <v>92240</v>
      </c>
      <c r="AK208" s="751">
        <v>92240</v>
      </c>
      <c r="AL208" s="751">
        <v>123112</v>
      </c>
      <c r="AM208" s="751">
        <v>123112</v>
      </c>
      <c r="AN208" s="751">
        <v>95687</v>
      </c>
      <c r="AO208" s="751">
        <v>0</v>
      </c>
      <c r="AP208" s="751">
        <v>95687</v>
      </c>
      <c r="AQ208" s="751">
        <v>0</v>
      </c>
      <c r="AR208" s="751">
        <v>0</v>
      </c>
      <c r="AS208" s="751">
        <v>0</v>
      </c>
      <c r="AT208" s="751">
        <v>0</v>
      </c>
      <c r="AU208" s="751">
        <v>0</v>
      </c>
      <c r="AV208" s="751">
        <v>0</v>
      </c>
      <c r="AW208" s="751">
        <v>0</v>
      </c>
      <c r="AX208" s="751">
        <v>0</v>
      </c>
      <c r="AY208" s="751">
        <v>0</v>
      </c>
      <c r="AZ208" s="751">
        <v>0</v>
      </c>
      <c r="BA208" s="751">
        <v>0</v>
      </c>
      <c r="BB208" s="751">
        <v>0</v>
      </c>
      <c r="BC208" s="751">
        <v>-3346042</v>
      </c>
      <c r="BD208" s="751">
        <v>-2725770</v>
      </c>
      <c r="BE208" s="751">
        <v>-619959</v>
      </c>
      <c r="BF208" s="751">
        <v>-68280</v>
      </c>
      <c r="BG208" s="751">
        <v>-6760051</v>
      </c>
      <c r="BH208" s="751">
        <v>4211151</v>
      </c>
      <c r="BI208" s="751">
        <v>3631022</v>
      </c>
      <c r="BJ208" s="751">
        <v>740335</v>
      </c>
      <c r="BK208" s="751">
        <v>82864</v>
      </c>
      <c r="BL208" s="751">
        <v>8665371</v>
      </c>
      <c r="BM208" s="751">
        <v>326410</v>
      </c>
      <c r="BN208" s="751">
        <v>70877</v>
      </c>
      <c r="BO208" s="751">
        <v>7875</v>
      </c>
      <c r="BP208" s="751">
        <v>405162</v>
      </c>
      <c r="BQ208" s="751">
        <v>1043122</v>
      </c>
      <c r="BR208" s="751">
        <v>234703</v>
      </c>
      <c r="BS208" s="751">
        <v>26078</v>
      </c>
      <c r="BT208" s="751">
        <v>1303903</v>
      </c>
      <c r="BU208" s="751">
        <v>29192</v>
      </c>
      <c r="BV208" s="751">
        <v>6568</v>
      </c>
      <c r="BW208" s="751">
        <v>730</v>
      </c>
      <c r="BX208" s="751">
        <v>36490</v>
      </c>
      <c r="BY208" s="751">
        <v>7535</v>
      </c>
      <c r="BZ208" s="751">
        <v>1695</v>
      </c>
      <c r="CA208" s="751">
        <v>188</v>
      </c>
      <c r="CB208" s="751">
        <v>9418</v>
      </c>
      <c r="CC208" s="751">
        <v>9078</v>
      </c>
      <c r="CD208" s="751">
        <v>2043</v>
      </c>
      <c r="CE208" s="751">
        <v>227</v>
      </c>
      <c r="CF208" s="751">
        <v>11348</v>
      </c>
      <c r="CG208" s="751">
        <v>5808</v>
      </c>
      <c r="CH208" s="751">
        <v>1307</v>
      </c>
      <c r="CI208" s="751">
        <v>145</v>
      </c>
      <c r="CJ208" s="751">
        <v>7260</v>
      </c>
      <c r="CK208" s="751">
        <v>0</v>
      </c>
      <c r="CL208" s="751">
        <v>0</v>
      </c>
      <c r="CM208" s="751">
        <v>0</v>
      </c>
      <c r="CN208" s="751">
        <v>0</v>
      </c>
      <c r="CO208" s="751">
        <v>0</v>
      </c>
      <c r="CP208" s="751">
        <v>0</v>
      </c>
      <c r="CQ208" s="751">
        <v>0</v>
      </c>
      <c r="CR208" s="751">
        <v>0</v>
      </c>
      <c r="CS208" s="751">
        <v>0</v>
      </c>
      <c r="CT208" s="751">
        <v>0</v>
      </c>
      <c r="CU208" s="751">
        <v>0</v>
      </c>
      <c r="CV208" s="751">
        <v>0</v>
      </c>
      <c r="CW208" s="751">
        <v>1421145</v>
      </c>
      <c r="CX208" s="751">
        <v>317193</v>
      </c>
      <c r="CY208" s="751">
        <v>35243</v>
      </c>
      <c r="CZ208" s="751">
        <v>1773581</v>
      </c>
      <c r="DA208" s="662" t="s">
        <v>279</v>
      </c>
      <c r="DB208" s="324" t="s">
        <v>547</v>
      </c>
      <c r="DC208" s="663" t="s">
        <v>545</v>
      </c>
      <c r="DD208" s="529" t="s">
        <v>1414</v>
      </c>
    </row>
    <row r="209" spans="1:108" ht="12.75" x14ac:dyDescent="0.2">
      <c r="A209" s="664">
        <v>202</v>
      </c>
      <c r="B209" s="665" t="s">
        <v>282</v>
      </c>
      <c r="C209" s="666" t="s">
        <v>1213</v>
      </c>
      <c r="D209" s="667" t="s">
        <v>1214</v>
      </c>
      <c r="E209" s="668" t="s">
        <v>281</v>
      </c>
      <c r="F209" s="750">
        <v>83937353</v>
      </c>
      <c r="G209" s="751">
        <v>25137</v>
      </c>
      <c r="H209" s="751">
        <v>0</v>
      </c>
      <c r="I209" s="751">
        <v>272398</v>
      </c>
      <c r="J209" s="751">
        <v>0</v>
      </c>
      <c r="K209" s="751">
        <v>272398</v>
      </c>
      <c r="L209" s="751">
        <v>0</v>
      </c>
      <c r="M209" s="751">
        <v>0</v>
      </c>
      <c r="N209" s="751">
        <v>0</v>
      </c>
      <c r="O209" s="751">
        <v>0</v>
      </c>
      <c r="P209" s="751">
        <v>0</v>
      </c>
      <c r="Q209" s="751">
        <v>0</v>
      </c>
      <c r="R209" s="751">
        <v>83690092</v>
      </c>
      <c r="S209" s="749">
        <v>0.33</v>
      </c>
      <c r="T209" s="749">
        <v>0.3</v>
      </c>
      <c r="U209" s="749">
        <v>0.37</v>
      </c>
      <c r="V209" s="749">
        <v>0</v>
      </c>
      <c r="W209" s="749">
        <v>1</v>
      </c>
      <c r="X209" s="751">
        <v>27617730</v>
      </c>
      <c r="Y209" s="751">
        <v>25107028</v>
      </c>
      <c r="Z209" s="751">
        <v>30965334</v>
      </c>
      <c r="AA209" s="751">
        <v>0</v>
      </c>
      <c r="AB209" s="751">
        <v>83690092</v>
      </c>
      <c r="AC209" s="751">
        <v>0</v>
      </c>
      <c r="AD209" s="751">
        <v>0</v>
      </c>
      <c r="AE209" s="751">
        <v>27617730</v>
      </c>
      <c r="AF209" s="751">
        <v>25107028</v>
      </c>
      <c r="AG209" s="751">
        <v>30965334</v>
      </c>
      <c r="AH209" s="751">
        <v>0</v>
      </c>
      <c r="AI209" s="751">
        <v>83690092</v>
      </c>
      <c r="AJ209" s="751">
        <v>272398</v>
      </c>
      <c r="AK209" s="751">
        <v>272398</v>
      </c>
      <c r="AL209" s="751">
        <v>0</v>
      </c>
      <c r="AM209" s="751">
        <v>0</v>
      </c>
      <c r="AN209" s="751">
        <v>0</v>
      </c>
      <c r="AO209" s="751">
        <v>0</v>
      </c>
      <c r="AP209" s="751">
        <v>0</v>
      </c>
      <c r="AQ209" s="751">
        <v>0</v>
      </c>
      <c r="AR209" s="751">
        <v>0</v>
      </c>
      <c r="AS209" s="751">
        <v>0</v>
      </c>
      <c r="AT209" s="751">
        <v>0</v>
      </c>
      <c r="AU209" s="751">
        <v>0</v>
      </c>
      <c r="AV209" s="751">
        <v>0</v>
      </c>
      <c r="AW209" s="751">
        <v>0</v>
      </c>
      <c r="AX209" s="751">
        <v>0</v>
      </c>
      <c r="AY209" s="751">
        <v>0</v>
      </c>
      <c r="AZ209" s="751">
        <v>0</v>
      </c>
      <c r="BA209" s="751">
        <v>0</v>
      </c>
      <c r="BB209" s="751">
        <v>0</v>
      </c>
      <c r="BC209" s="751">
        <v>-17166059</v>
      </c>
      <c r="BD209" s="751">
        <v>-16205617</v>
      </c>
      <c r="BE209" s="751">
        <v>-19222329</v>
      </c>
      <c r="BF209" s="751">
        <v>0</v>
      </c>
      <c r="BG209" s="751">
        <v>-52594005</v>
      </c>
      <c r="BH209" s="751">
        <v>10451671</v>
      </c>
      <c r="BI209" s="751">
        <v>9173809</v>
      </c>
      <c r="BJ209" s="751">
        <v>11743005</v>
      </c>
      <c r="BK209" s="751">
        <v>0</v>
      </c>
      <c r="BL209" s="751">
        <v>31368485</v>
      </c>
      <c r="BM209" s="751">
        <v>1308182</v>
      </c>
      <c r="BN209" s="751">
        <v>1613424</v>
      </c>
      <c r="BO209" s="751">
        <v>0</v>
      </c>
      <c r="BP209" s="751">
        <v>2921606</v>
      </c>
      <c r="BQ209" s="751">
        <v>1313937</v>
      </c>
      <c r="BR209" s="751">
        <v>1620523</v>
      </c>
      <c r="BS209" s="751">
        <v>0</v>
      </c>
      <c r="BT209" s="751">
        <v>2934460</v>
      </c>
      <c r="BU209" s="751">
        <v>94730</v>
      </c>
      <c r="BV209" s="751">
        <v>116833</v>
      </c>
      <c r="BW209" s="751">
        <v>0</v>
      </c>
      <c r="BX209" s="751">
        <v>211563</v>
      </c>
      <c r="BY209" s="751">
        <v>0</v>
      </c>
      <c r="BZ209" s="751">
        <v>0</v>
      </c>
      <c r="CA209" s="751">
        <v>0</v>
      </c>
      <c r="CB209" s="751">
        <v>0</v>
      </c>
      <c r="CC209" s="751">
        <v>0</v>
      </c>
      <c r="CD209" s="751">
        <v>0</v>
      </c>
      <c r="CE209" s="751">
        <v>0</v>
      </c>
      <c r="CF209" s="751">
        <v>0</v>
      </c>
      <c r="CG209" s="751">
        <v>625</v>
      </c>
      <c r="CH209" s="751">
        <v>770</v>
      </c>
      <c r="CI209" s="751">
        <v>0</v>
      </c>
      <c r="CJ209" s="751">
        <v>1395</v>
      </c>
      <c r="CK209" s="751">
        <v>0</v>
      </c>
      <c r="CL209" s="751">
        <v>0</v>
      </c>
      <c r="CM209" s="751">
        <v>0</v>
      </c>
      <c r="CN209" s="751">
        <v>0</v>
      </c>
      <c r="CO209" s="751">
        <v>0</v>
      </c>
      <c r="CP209" s="751">
        <v>0</v>
      </c>
      <c r="CQ209" s="751">
        <v>0</v>
      </c>
      <c r="CR209" s="751">
        <v>0</v>
      </c>
      <c r="CS209" s="751">
        <v>0</v>
      </c>
      <c r="CT209" s="751">
        <v>0</v>
      </c>
      <c r="CU209" s="751">
        <v>0</v>
      </c>
      <c r="CV209" s="751">
        <v>0</v>
      </c>
      <c r="CW209" s="751">
        <v>2717474</v>
      </c>
      <c r="CX209" s="751">
        <v>3351550</v>
      </c>
      <c r="CY209" s="751">
        <v>0</v>
      </c>
      <c r="CZ209" s="751">
        <v>6069024</v>
      </c>
      <c r="DA209" s="662" t="s">
        <v>281</v>
      </c>
      <c r="DB209" s="324" t="s">
        <v>576</v>
      </c>
      <c r="DC209" s="669" t="s">
        <v>485</v>
      </c>
      <c r="DD209" s="529" t="s">
        <v>1415</v>
      </c>
    </row>
    <row r="210" spans="1:108" ht="12.75" x14ac:dyDescent="0.2">
      <c r="A210" s="664">
        <v>203</v>
      </c>
      <c r="B210" s="665" t="s">
        <v>284</v>
      </c>
      <c r="C210" s="666" t="s">
        <v>1201</v>
      </c>
      <c r="D210" s="667" t="s">
        <v>1218</v>
      </c>
      <c r="E210" s="668" t="s">
        <v>283</v>
      </c>
      <c r="F210" s="750">
        <v>14012926</v>
      </c>
      <c r="G210" s="751">
        <v>132391</v>
      </c>
      <c r="H210" s="751">
        <v>0</v>
      </c>
      <c r="I210" s="751">
        <v>100361</v>
      </c>
      <c r="J210" s="751">
        <v>0</v>
      </c>
      <c r="K210" s="751">
        <v>100361</v>
      </c>
      <c r="L210" s="751">
        <v>0</v>
      </c>
      <c r="M210" s="751">
        <v>0</v>
      </c>
      <c r="N210" s="751">
        <v>0</v>
      </c>
      <c r="O210" s="751">
        <v>0</v>
      </c>
      <c r="P210" s="751">
        <v>0</v>
      </c>
      <c r="Q210" s="751">
        <v>0</v>
      </c>
      <c r="R210" s="751">
        <v>14044956</v>
      </c>
      <c r="S210" s="749">
        <v>0.5</v>
      </c>
      <c r="T210" s="749">
        <v>0.4</v>
      </c>
      <c r="U210" s="749">
        <v>0.09</v>
      </c>
      <c r="V210" s="749">
        <v>0.01</v>
      </c>
      <c r="W210" s="749">
        <v>1</v>
      </c>
      <c r="X210" s="751">
        <v>7022478</v>
      </c>
      <c r="Y210" s="751">
        <v>5617982</v>
      </c>
      <c r="Z210" s="751">
        <v>1264046</v>
      </c>
      <c r="AA210" s="751">
        <v>140450</v>
      </c>
      <c r="AB210" s="751">
        <v>14044956</v>
      </c>
      <c r="AC210" s="751">
        <v>0</v>
      </c>
      <c r="AD210" s="751">
        <v>0</v>
      </c>
      <c r="AE210" s="751">
        <v>7022478</v>
      </c>
      <c r="AF210" s="751">
        <v>5617982</v>
      </c>
      <c r="AG210" s="751">
        <v>1264046</v>
      </c>
      <c r="AH210" s="751">
        <v>140450</v>
      </c>
      <c r="AI210" s="751">
        <v>14044956</v>
      </c>
      <c r="AJ210" s="751">
        <v>100361</v>
      </c>
      <c r="AK210" s="751">
        <v>100361</v>
      </c>
      <c r="AL210" s="751">
        <v>0</v>
      </c>
      <c r="AM210" s="751">
        <v>0</v>
      </c>
      <c r="AN210" s="751">
        <v>0</v>
      </c>
      <c r="AO210" s="751">
        <v>0</v>
      </c>
      <c r="AP210" s="751">
        <v>0</v>
      </c>
      <c r="AQ210" s="751">
        <v>0</v>
      </c>
      <c r="AR210" s="751">
        <v>0</v>
      </c>
      <c r="AS210" s="751">
        <v>0</v>
      </c>
      <c r="AT210" s="751">
        <v>0</v>
      </c>
      <c r="AU210" s="751">
        <v>0</v>
      </c>
      <c r="AV210" s="751">
        <v>0</v>
      </c>
      <c r="AW210" s="751">
        <v>0</v>
      </c>
      <c r="AX210" s="751">
        <v>0</v>
      </c>
      <c r="AY210" s="751">
        <v>0</v>
      </c>
      <c r="AZ210" s="751">
        <v>0</v>
      </c>
      <c r="BA210" s="751">
        <v>0</v>
      </c>
      <c r="BB210" s="751">
        <v>0</v>
      </c>
      <c r="BC210" s="751">
        <v>-3456220</v>
      </c>
      <c r="BD210" s="751">
        <v>-2624678</v>
      </c>
      <c r="BE210" s="751">
        <v>-548733</v>
      </c>
      <c r="BF210" s="751">
        <v>-66966</v>
      </c>
      <c r="BG210" s="751">
        <v>-6696596</v>
      </c>
      <c r="BH210" s="751">
        <v>3566258</v>
      </c>
      <c r="BI210" s="751">
        <v>3093665</v>
      </c>
      <c r="BJ210" s="751">
        <v>715313</v>
      </c>
      <c r="BK210" s="751">
        <v>73484</v>
      </c>
      <c r="BL210" s="751">
        <v>7448721</v>
      </c>
      <c r="BM210" s="751">
        <v>292720</v>
      </c>
      <c r="BN210" s="751">
        <v>65862</v>
      </c>
      <c r="BO210" s="751">
        <v>7318</v>
      </c>
      <c r="BP210" s="751">
        <v>365900</v>
      </c>
      <c r="BQ210" s="751">
        <v>948060</v>
      </c>
      <c r="BR210" s="751">
        <v>213313</v>
      </c>
      <c r="BS210" s="751">
        <v>23701</v>
      </c>
      <c r="BT210" s="751">
        <v>1185074</v>
      </c>
      <c r="BU210" s="751">
        <v>9133</v>
      </c>
      <c r="BV210" s="751">
        <v>2055</v>
      </c>
      <c r="BW210" s="751">
        <v>228</v>
      </c>
      <c r="BX210" s="751">
        <v>11416</v>
      </c>
      <c r="BY210" s="751">
        <v>45513</v>
      </c>
      <c r="BZ210" s="751">
        <v>10240</v>
      </c>
      <c r="CA210" s="751">
        <v>1138</v>
      </c>
      <c r="CB210" s="751">
        <v>56891</v>
      </c>
      <c r="CC210" s="751">
        <v>17290</v>
      </c>
      <c r="CD210" s="751">
        <v>3890</v>
      </c>
      <c r="CE210" s="751">
        <v>432</v>
      </c>
      <c r="CF210" s="751">
        <v>21612</v>
      </c>
      <c r="CG210" s="751">
        <v>12603</v>
      </c>
      <c r="CH210" s="751">
        <v>2835</v>
      </c>
      <c r="CI210" s="751">
        <v>315</v>
      </c>
      <c r="CJ210" s="751">
        <v>15753</v>
      </c>
      <c r="CK210" s="751">
        <v>0</v>
      </c>
      <c r="CL210" s="751">
        <v>0</v>
      </c>
      <c r="CM210" s="751">
        <v>0</v>
      </c>
      <c r="CN210" s="751">
        <v>0</v>
      </c>
      <c r="CO210" s="751">
        <v>5471</v>
      </c>
      <c r="CP210" s="751">
        <v>1231</v>
      </c>
      <c r="CQ210" s="751">
        <v>137</v>
      </c>
      <c r="CR210" s="751">
        <v>6839</v>
      </c>
      <c r="CS210" s="751">
        <v>0</v>
      </c>
      <c r="CT210" s="751">
        <v>0</v>
      </c>
      <c r="CU210" s="751">
        <v>0</v>
      </c>
      <c r="CV210" s="751">
        <v>0</v>
      </c>
      <c r="CW210" s="751">
        <v>1330790</v>
      </c>
      <c r="CX210" s="751">
        <v>299426</v>
      </c>
      <c r="CY210" s="751">
        <v>33269</v>
      </c>
      <c r="CZ210" s="751">
        <v>1663485</v>
      </c>
      <c r="DA210" s="662" t="s">
        <v>283</v>
      </c>
      <c r="DB210" s="324" t="s">
        <v>556</v>
      </c>
      <c r="DC210" s="663" t="s">
        <v>555</v>
      </c>
      <c r="DD210" s="529" t="s">
        <v>1416</v>
      </c>
    </row>
    <row r="211" spans="1:108" ht="12.75" x14ac:dyDescent="0.2">
      <c r="A211" s="664">
        <v>204</v>
      </c>
      <c r="B211" s="665" t="s">
        <v>286</v>
      </c>
      <c r="C211" s="666" t="s">
        <v>1217</v>
      </c>
      <c r="D211" s="667" t="s">
        <v>1204</v>
      </c>
      <c r="E211" s="668" t="s">
        <v>285</v>
      </c>
      <c r="F211" s="750">
        <v>62586114</v>
      </c>
      <c r="G211" s="751">
        <v>0</v>
      </c>
      <c r="H211" s="751">
        <v>80954</v>
      </c>
      <c r="I211" s="751">
        <v>325516</v>
      </c>
      <c r="J211" s="751">
        <v>0</v>
      </c>
      <c r="K211" s="751">
        <v>325516</v>
      </c>
      <c r="L211" s="751">
        <v>0</v>
      </c>
      <c r="M211" s="751">
        <v>0</v>
      </c>
      <c r="N211" s="751">
        <v>582838</v>
      </c>
      <c r="O211" s="751">
        <v>582838</v>
      </c>
      <c r="P211" s="751">
        <v>0</v>
      </c>
      <c r="Q211" s="751">
        <v>0</v>
      </c>
      <c r="R211" s="751">
        <v>61596806</v>
      </c>
      <c r="S211" s="749">
        <v>0</v>
      </c>
      <c r="T211" s="749">
        <v>0.99</v>
      </c>
      <c r="U211" s="749">
        <v>0</v>
      </c>
      <c r="V211" s="749">
        <v>0.01</v>
      </c>
      <c r="W211" s="749">
        <v>1</v>
      </c>
      <c r="X211" s="751">
        <v>0</v>
      </c>
      <c r="Y211" s="751">
        <v>60980838</v>
      </c>
      <c r="Z211" s="751">
        <v>0</v>
      </c>
      <c r="AA211" s="751">
        <v>615968</v>
      </c>
      <c r="AB211" s="751">
        <v>61596806</v>
      </c>
      <c r="AC211" s="751">
        <v>0</v>
      </c>
      <c r="AD211" s="751">
        <v>0</v>
      </c>
      <c r="AE211" s="751">
        <v>0</v>
      </c>
      <c r="AF211" s="751">
        <v>60980838</v>
      </c>
      <c r="AG211" s="751">
        <v>0</v>
      </c>
      <c r="AH211" s="751">
        <v>615968</v>
      </c>
      <c r="AI211" s="751">
        <v>61596806</v>
      </c>
      <c r="AJ211" s="751">
        <v>325516</v>
      </c>
      <c r="AK211" s="751">
        <v>325516</v>
      </c>
      <c r="AL211" s="751">
        <v>0</v>
      </c>
      <c r="AM211" s="751">
        <v>0</v>
      </c>
      <c r="AN211" s="751">
        <v>582838</v>
      </c>
      <c r="AO211" s="751">
        <v>0</v>
      </c>
      <c r="AP211" s="751">
        <v>582838</v>
      </c>
      <c r="AQ211" s="751">
        <v>0</v>
      </c>
      <c r="AR211" s="751">
        <v>0</v>
      </c>
      <c r="AS211" s="751">
        <v>0</v>
      </c>
      <c r="AT211" s="751">
        <v>0</v>
      </c>
      <c r="AU211" s="751">
        <v>0</v>
      </c>
      <c r="AV211" s="751">
        <v>0</v>
      </c>
      <c r="AW211" s="751">
        <v>0</v>
      </c>
      <c r="AX211" s="751">
        <v>0</v>
      </c>
      <c r="AY211" s="751">
        <v>0</v>
      </c>
      <c r="AZ211" s="751">
        <v>0</v>
      </c>
      <c r="BA211" s="751">
        <v>0</v>
      </c>
      <c r="BB211" s="751">
        <v>0</v>
      </c>
      <c r="BC211" s="751">
        <v>0</v>
      </c>
      <c r="BD211" s="751">
        <v>-21576030</v>
      </c>
      <c r="BE211" s="751">
        <v>0</v>
      </c>
      <c r="BF211" s="751">
        <v>-217940</v>
      </c>
      <c r="BG211" s="751">
        <v>-21793970</v>
      </c>
      <c r="BH211" s="751">
        <v>0</v>
      </c>
      <c r="BI211" s="751">
        <v>40313162</v>
      </c>
      <c r="BJ211" s="751">
        <v>0</v>
      </c>
      <c r="BK211" s="751">
        <v>398028</v>
      </c>
      <c r="BL211" s="751">
        <v>40711190</v>
      </c>
      <c r="BM211" s="751">
        <v>3207727</v>
      </c>
      <c r="BN211" s="751">
        <v>0</v>
      </c>
      <c r="BO211" s="751">
        <v>32095</v>
      </c>
      <c r="BP211" s="751">
        <v>3239822</v>
      </c>
      <c r="BQ211" s="751">
        <v>6519075</v>
      </c>
      <c r="BR211" s="751">
        <v>0</v>
      </c>
      <c r="BS211" s="751">
        <v>65849</v>
      </c>
      <c r="BT211" s="751">
        <v>6584924</v>
      </c>
      <c r="BU211" s="751">
        <v>289965</v>
      </c>
      <c r="BV211" s="751">
        <v>0</v>
      </c>
      <c r="BW211" s="751">
        <v>2929</v>
      </c>
      <c r="BX211" s="751">
        <v>292894</v>
      </c>
      <c r="BY211" s="751">
        <v>0</v>
      </c>
      <c r="BZ211" s="751">
        <v>0</v>
      </c>
      <c r="CA211" s="751">
        <v>0</v>
      </c>
      <c r="CB211" s="751">
        <v>0</v>
      </c>
      <c r="CC211" s="751">
        <v>0</v>
      </c>
      <c r="CD211" s="751">
        <v>0</v>
      </c>
      <c r="CE211" s="751">
        <v>0</v>
      </c>
      <c r="CF211" s="751">
        <v>0</v>
      </c>
      <c r="CG211" s="751">
        <v>32985</v>
      </c>
      <c r="CH211" s="751">
        <v>0</v>
      </c>
      <c r="CI211" s="751">
        <v>333</v>
      </c>
      <c r="CJ211" s="751">
        <v>33318</v>
      </c>
      <c r="CK211" s="751">
        <v>0</v>
      </c>
      <c r="CL211" s="751">
        <v>0</v>
      </c>
      <c r="CM211" s="751">
        <v>0</v>
      </c>
      <c r="CN211" s="751">
        <v>0</v>
      </c>
      <c r="CO211" s="751">
        <v>0</v>
      </c>
      <c r="CP211" s="751">
        <v>0</v>
      </c>
      <c r="CQ211" s="751">
        <v>0</v>
      </c>
      <c r="CR211" s="751">
        <v>0</v>
      </c>
      <c r="CS211" s="751">
        <v>0</v>
      </c>
      <c r="CT211" s="751">
        <v>0</v>
      </c>
      <c r="CU211" s="751">
        <v>0</v>
      </c>
      <c r="CV211" s="751">
        <v>0</v>
      </c>
      <c r="CW211" s="751">
        <v>10049752</v>
      </c>
      <c r="CX211" s="751">
        <v>0</v>
      </c>
      <c r="CY211" s="751">
        <v>101206</v>
      </c>
      <c r="CZ211" s="751">
        <v>10150958</v>
      </c>
      <c r="DA211" s="662" t="s">
        <v>285</v>
      </c>
      <c r="DB211" s="324" t="s">
        <v>570</v>
      </c>
      <c r="DC211" s="663" t="s">
        <v>1915</v>
      </c>
      <c r="DD211" s="529" t="s">
        <v>1417</v>
      </c>
    </row>
    <row r="212" spans="1:108" ht="12.75" x14ac:dyDescent="0.2">
      <c r="A212" s="664">
        <v>205</v>
      </c>
      <c r="B212" s="665" t="s">
        <v>288</v>
      </c>
      <c r="C212" s="666" t="s">
        <v>1201</v>
      </c>
      <c r="D212" s="667" t="s">
        <v>1211</v>
      </c>
      <c r="E212" s="668" t="s">
        <v>287</v>
      </c>
      <c r="F212" s="750">
        <v>16137888</v>
      </c>
      <c r="G212" s="751">
        <v>30308</v>
      </c>
      <c r="H212" s="751">
        <v>0</v>
      </c>
      <c r="I212" s="751">
        <v>95618</v>
      </c>
      <c r="J212" s="751">
        <v>0</v>
      </c>
      <c r="K212" s="751">
        <v>95618</v>
      </c>
      <c r="L212" s="751">
        <v>0</v>
      </c>
      <c r="M212" s="751">
        <v>0</v>
      </c>
      <c r="N212" s="751">
        <v>48920</v>
      </c>
      <c r="O212" s="751">
        <v>48920</v>
      </c>
      <c r="P212" s="751">
        <v>0</v>
      </c>
      <c r="Q212" s="751">
        <v>0</v>
      </c>
      <c r="R212" s="751">
        <v>16023658</v>
      </c>
      <c r="S212" s="749">
        <v>0.5</v>
      </c>
      <c r="T212" s="749">
        <v>0.4</v>
      </c>
      <c r="U212" s="749">
        <v>0.09</v>
      </c>
      <c r="V212" s="749">
        <v>0.01</v>
      </c>
      <c r="W212" s="749">
        <v>1</v>
      </c>
      <c r="X212" s="751">
        <v>8011829</v>
      </c>
      <c r="Y212" s="751">
        <v>6409463</v>
      </c>
      <c r="Z212" s="751">
        <v>1442129</v>
      </c>
      <c r="AA212" s="751">
        <v>160237</v>
      </c>
      <c r="AB212" s="751">
        <v>16023658</v>
      </c>
      <c r="AC212" s="751">
        <v>0</v>
      </c>
      <c r="AD212" s="751">
        <v>0</v>
      </c>
      <c r="AE212" s="751">
        <v>8011829</v>
      </c>
      <c r="AF212" s="751">
        <v>6409463</v>
      </c>
      <c r="AG212" s="751">
        <v>1442129</v>
      </c>
      <c r="AH212" s="751">
        <v>160237</v>
      </c>
      <c r="AI212" s="751">
        <v>16023658</v>
      </c>
      <c r="AJ212" s="751">
        <v>95618</v>
      </c>
      <c r="AK212" s="751">
        <v>95618</v>
      </c>
      <c r="AL212" s="751">
        <v>0</v>
      </c>
      <c r="AM212" s="751">
        <v>0</v>
      </c>
      <c r="AN212" s="751">
        <v>48920</v>
      </c>
      <c r="AO212" s="751">
        <v>0</v>
      </c>
      <c r="AP212" s="751">
        <v>48920</v>
      </c>
      <c r="AQ212" s="751">
        <v>0</v>
      </c>
      <c r="AR212" s="751">
        <v>0</v>
      </c>
      <c r="AS212" s="751">
        <v>0</v>
      </c>
      <c r="AT212" s="751">
        <v>0</v>
      </c>
      <c r="AU212" s="751">
        <v>0</v>
      </c>
      <c r="AV212" s="751">
        <v>0</v>
      </c>
      <c r="AW212" s="751">
        <v>0</v>
      </c>
      <c r="AX212" s="751">
        <v>0</v>
      </c>
      <c r="AY212" s="751">
        <v>0</v>
      </c>
      <c r="AZ212" s="751">
        <v>0</v>
      </c>
      <c r="BA212" s="751">
        <v>0</v>
      </c>
      <c r="BB212" s="751">
        <v>0</v>
      </c>
      <c r="BC212" s="751">
        <v>-4263382</v>
      </c>
      <c r="BD212" s="751">
        <v>-3410706</v>
      </c>
      <c r="BE212" s="751">
        <v>-767409</v>
      </c>
      <c r="BF212" s="751">
        <v>-85268</v>
      </c>
      <c r="BG212" s="751">
        <v>-8526765</v>
      </c>
      <c r="BH212" s="751">
        <v>3748447</v>
      </c>
      <c r="BI212" s="751">
        <v>3143295</v>
      </c>
      <c r="BJ212" s="751">
        <v>674720</v>
      </c>
      <c r="BK212" s="751">
        <v>74969</v>
      </c>
      <c r="BL212" s="751">
        <v>7641431</v>
      </c>
      <c r="BM212" s="751">
        <v>336509</v>
      </c>
      <c r="BN212" s="751">
        <v>75141</v>
      </c>
      <c r="BO212" s="751">
        <v>8349</v>
      </c>
      <c r="BP212" s="751">
        <v>419999</v>
      </c>
      <c r="BQ212" s="751">
        <v>1129547</v>
      </c>
      <c r="BR212" s="751">
        <v>254148</v>
      </c>
      <c r="BS212" s="751">
        <v>28239</v>
      </c>
      <c r="BT212" s="751">
        <v>1411934</v>
      </c>
      <c r="BU212" s="751">
        <v>47862</v>
      </c>
      <c r="BV212" s="751">
        <v>10769</v>
      </c>
      <c r="BW212" s="751">
        <v>1197</v>
      </c>
      <c r="BX212" s="751">
        <v>59828</v>
      </c>
      <c r="BY212" s="751">
        <v>2976</v>
      </c>
      <c r="BZ212" s="751">
        <v>669</v>
      </c>
      <c r="CA212" s="751">
        <v>74</v>
      </c>
      <c r="CB212" s="751">
        <v>3719</v>
      </c>
      <c r="CC212" s="751">
        <v>0</v>
      </c>
      <c r="CD212" s="751">
        <v>0</v>
      </c>
      <c r="CE212" s="751">
        <v>0</v>
      </c>
      <c r="CF212" s="751">
        <v>0</v>
      </c>
      <c r="CG212" s="751">
        <v>1505</v>
      </c>
      <c r="CH212" s="751">
        <v>339</v>
      </c>
      <c r="CI212" s="751">
        <v>38</v>
      </c>
      <c r="CJ212" s="751">
        <v>1882</v>
      </c>
      <c r="CK212" s="751">
        <v>0</v>
      </c>
      <c r="CL212" s="751">
        <v>0</v>
      </c>
      <c r="CM212" s="751">
        <v>0</v>
      </c>
      <c r="CN212" s="751">
        <v>0</v>
      </c>
      <c r="CO212" s="751">
        <v>0</v>
      </c>
      <c r="CP212" s="751">
        <v>0</v>
      </c>
      <c r="CQ212" s="751">
        <v>0</v>
      </c>
      <c r="CR212" s="751">
        <v>0</v>
      </c>
      <c r="CS212" s="751">
        <v>0</v>
      </c>
      <c r="CT212" s="751">
        <v>0</v>
      </c>
      <c r="CU212" s="751">
        <v>0</v>
      </c>
      <c r="CV212" s="751">
        <v>0</v>
      </c>
      <c r="CW212" s="751">
        <v>1518399</v>
      </c>
      <c r="CX212" s="751">
        <v>341066</v>
      </c>
      <c r="CY212" s="751">
        <v>37897</v>
      </c>
      <c r="CZ212" s="751">
        <v>1897362</v>
      </c>
      <c r="DA212" s="662" t="s">
        <v>287</v>
      </c>
      <c r="DB212" s="324" t="s">
        <v>528</v>
      </c>
      <c r="DC212" s="663" t="s">
        <v>1913</v>
      </c>
      <c r="DD212" s="529" t="s">
        <v>1418</v>
      </c>
    </row>
    <row r="213" spans="1:108" ht="12.75" x14ac:dyDescent="0.2">
      <c r="A213" s="664">
        <v>206</v>
      </c>
      <c r="B213" s="665" t="s">
        <v>290</v>
      </c>
      <c r="C213" s="666" t="s">
        <v>1201</v>
      </c>
      <c r="D213" s="667" t="s">
        <v>1204</v>
      </c>
      <c r="E213" s="668" t="s">
        <v>289</v>
      </c>
      <c r="F213" s="750">
        <v>12294906</v>
      </c>
      <c r="G213" s="751">
        <v>5384</v>
      </c>
      <c r="H213" s="751">
        <v>0</v>
      </c>
      <c r="I213" s="751">
        <v>96398</v>
      </c>
      <c r="J213" s="751">
        <v>0</v>
      </c>
      <c r="K213" s="751">
        <v>96398</v>
      </c>
      <c r="L213" s="751">
        <v>0</v>
      </c>
      <c r="M213" s="751">
        <v>0</v>
      </c>
      <c r="N213" s="751">
        <v>183341</v>
      </c>
      <c r="O213" s="751">
        <v>183341</v>
      </c>
      <c r="P213" s="751">
        <v>0</v>
      </c>
      <c r="Q213" s="751">
        <v>0</v>
      </c>
      <c r="R213" s="751">
        <v>12020551</v>
      </c>
      <c r="S213" s="749">
        <v>0.5</v>
      </c>
      <c r="T213" s="749">
        <v>0.4</v>
      </c>
      <c r="U213" s="749">
        <v>0.09</v>
      </c>
      <c r="V213" s="749">
        <v>0.01</v>
      </c>
      <c r="W213" s="749">
        <v>1</v>
      </c>
      <c r="X213" s="751">
        <v>6010275</v>
      </c>
      <c r="Y213" s="751">
        <v>4808220</v>
      </c>
      <c r="Z213" s="751">
        <v>1081850</v>
      </c>
      <c r="AA213" s="751">
        <v>120206</v>
      </c>
      <c r="AB213" s="751">
        <v>12020551</v>
      </c>
      <c r="AC213" s="751">
        <v>0</v>
      </c>
      <c r="AD213" s="751">
        <v>0</v>
      </c>
      <c r="AE213" s="751">
        <v>6010275</v>
      </c>
      <c r="AF213" s="751">
        <v>4808220</v>
      </c>
      <c r="AG213" s="751">
        <v>1081850</v>
      </c>
      <c r="AH213" s="751">
        <v>120206</v>
      </c>
      <c r="AI213" s="751">
        <v>12020551</v>
      </c>
      <c r="AJ213" s="751">
        <v>96398</v>
      </c>
      <c r="AK213" s="751">
        <v>96398</v>
      </c>
      <c r="AL213" s="751">
        <v>0</v>
      </c>
      <c r="AM213" s="751">
        <v>0</v>
      </c>
      <c r="AN213" s="751">
        <v>183341</v>
      </c>
      <c r="AO213" s="751">
        <v>0</v>
      </c>
      <c r="AP213" s="751">
        <v>183341</v>
      </c>
      <c r="AQ213" s="751">
        <v>0</v>
      </c>
      <c r="AR213" s="751">
        <v>0</v>
      </c>
      <c r="AS213" s="751">
        <v>0</v>
      </c>
      <c r="AT213" s="751">
        <v>0</v>
      </c>
      <c r="AU213" s="751">
        <v>0</v>
      </c>
      <c r="AV213" s="751">
        <v>0</v>
      </c>
      <c r="AW213" s="751">
        <v>0</v>
      </c>
      <c r="AX213" s="751">
        <v>0</v>
      </c>
      <c r="AY213" s="751">
        <v>0</v>
      </c>
      <c r="AZ213" s="751">
        <v>0</v>
      </c>
      <c r="BA213" s="751">
        <v>0</v>
      </c>
      <c r="BB213" s="751">
        <v>0</v>
      </c>
      <c r="BC213" s="751">
        <v>-2809246</v>
      </c>
      <c r="BD213" s="751">
        <v>-2047850</v>
      </c>
      <c r="BE213" s="751">
        <v>-433606</v>
      </c>
      <c r="BF213" s="751">
        <v>-50642</v>
      </c>
      <c r="BG213" s="751">
        <v>-5341343</v>
      </c>
      <c r="BH213" s="751">
        <v>3201029</v>
      </c>
      <c r="BI213" s="751">
        <v>3040109</v>
      </c>
      <c r="BJ213" s="751">
        <v>648244</v>
      </c>
      <c r="BK213" s="751">
        <v>69564</v>
      </c>
      <c r="BL213" s="751">
        <v>6958947</v>
      </c>
      <c r="BM213" s="751">
        <v>260081</v>
      </c>
      <c r="BN213" s="751">
        <v>56369</v>
      </c>
      <c r="BO213" s="751">
        <v>6263</v>
      </c>
      <c r="BP213" s="751">
        <v>322713</v>
      </c>
      <c r="BQ213" s="751">
        <v>943254</v>
      </c>
      <c r="BR213" s="751">
        <v>212232</v>
      </c>
      <c r="BS213" s="751">
        <v>23581</v>
      </c>
      <c r="BT213" s="751">
        <v>1179067</v>
      </c>
      <c r="BU213" s="751">
        <v>25574</v>
      </c>
      <c r="BV213" s="751">
        <v>5754</v>
      </c>
      <c r="BW213" s="751">
        <v>639</v>
      </c>
      <c r="BX213" s="751">
        <v>31967</v>
      </c>
      <c r="BY213" s="751">
        <v>767</v>
      </c>
      <c r="BZ213" s="751">
        <v>172</v>
      </c>
      <c r="CA213" s="751">
        <v>19</v>
      </c>
      <c r="CB213" s="751">
        <v>958</v>
      </c>
      <c r="CC213" s="751">
        <v>0</v>
      </c>
      <c r="CD213" s="751">
        <v>0</v>
      </c>
      <c r="CE213" s="751">
        <v>0</v>
      </c>
      <c r="CF213" s="751">
        <v>0</v>
      </c>
      <c r="CG213" s="751">
        <v>2299</v>
      </c>
      <c r="CH213" s="751">
        <v>518</v>
      </c>
      <c r="CI213" s="751">
        <v>58</v>
      </c>
      <c r="CJ213" s="751">
        <v>2875</v>
      </c>
      <c r="CK213" s="751">
        <v>0</v>
      </c>
      <c r="CL213" s="751">
        <v>0</v>
      </c>
      <c r="CM213" s="751">
        <v>0</v>
      </c>
      <c r="CN213" s="751">
        <v>0</v>
      </c>
      <c r="CO213" s="751">
        <v>0</v>
      </c>
      <c r="CP213" s="751">
        <v>0</v>
      </c>
      <c r="CQ213" s="751">
        <v>0</v>
      </c>
      <c r="CR213" s="751">
        <v>0</v>
      </c>
      <c r="CS213" s="751">
        <v>0</v>
      </c>
      <c r="CT213" s="751">
        <v>0</v>
      </c>
      <c r="CU213" s="751">
        <v>0</v>
      </c>
      <c r="CV213" s="751">
        <v>0</v>
      </c>
      <c r="CW213" s="751">
        <v>1231975</v>
      </c>
      <c r="CX213" s="751">
        <v>275045</v>
      </c>
      <c r="CY213" s="751">
        <v>30560</v>
      </c>
      <c r="CZ213" s="751">
        <v>1537580</v>
      </c>
      <c r="DA213" s="662" t="s">
        <v>289</v>
      </c>
      <c r="DB213" s="324" t="s">
        <v>547</v>
      </c>
      <c r="DC213" s="663" t="s">
        <v>545</v>
      </c>
      <c r="DD213" s="529" t="s">
        <v>1419</v>
      </c>
    </row>
    <row r="214" spans="1:108" ht="12.75" x14ac:dyDescent="0.2">
      <c r="A214" s="664">
        <v>207</v>
      </c>
      <c r="B214" s="665" t="s">
        <v>292</v>
      </c>
      <c r="C214" s="666" t="s">
        <v>1201</v>
      </c>
      <c r="D214" s="667" t="s">
        <v>1202</v>
      </c>
      <c r="E214" s="668" t="s">
        <v>291</v>
      </c>
      <c r="F214" s="750">
        <v>18158439</v>
      </c>
      <c r="G214" s="751">
        <v>93279</v>
      </c>
      <c r="H214" s="751">
        <v>0</v>
      </c>
      <c r="I214" s="751">
        <v>155448</v>
      </c>
      <c r="J214" s="751">
        <v>0</v>
      </c>
      <c r="K214" s="751">
        <v>155448</v>
      </c>
      <c r="L214" s="751">
        <v>0</v>
      </c>
      <c r="M214" s="751">
        <v>0</v>
      </c>
      <c r="N214" s="751">
        <v>0</v>
      </c>
      <c r="O214" s="751">
        <v>0</v>
      </c>
      <c r="P214" s="751">
        <v>0</v>
      </c>
      <c r="Q214" s="751">
        <v>0</v>
      </c>
      <c r="R214" s="751">
        <v>18096270</v>
      </c>
      <c r="S214" s="749">
        <v>0.5</v>
      </c>
      <c r="T214" s="749">
        <v>0.4</v>
      </c>
      <c r="U214" s="749">
        <v>0.09</v>
      </c>
      <c r="V214" s="749">
        <v>0.01</v>
      </c>
      <c r="W214" s="749">
        <v>1</v>
      </c>
      <c r="X214" s="751">
        <v>9048135</v>
      </c>
      <c r="Y214" s="751">
        <v>7238508</v>
      </c>
      <c r="Z214" s="751">
        <v>1628664</v>
      </c>
      <c r="AA214" s="751">
        <v>180963</v>
      </c>
      <c r="AB214" s="751">
        <v>18096270</v>
      </c>
      <c r="AC214" s="751">
        <v>0</v>
      </c>
      <c r="AD214" s="751">
        <v>0</v>
      </c>
      <c r="AE214" s="751">
        <v>9048135</v>
      </c>
      <c r="AF214" s="751">
        <v>7238508</v>
      </c>
      <c r="AG214" s="751">
        <v>1628664</v>
      </c>
      <c r="AH214" s="751">
        <v>180963</v>
      </c>
      <c r="AI214" s="751">
        <v>18096270</v>
      </c>
      <c r="AJ214" s="751">
        <v>155448</v>
      </c>
      <c r="AK214" s="751">
        <v>155448</v>
      </c>
      <c r="AL214" s="751">
        <v>0</v>
      </c>
      <c r="AM214" s="751">
        <v>0</v>
      </c>
      <c r="AN214" s="751">
        <v>0</v>
      </c>
      <c r="AO214" s="751">
        <v>0</v>
      </c>
      <c r="AP214" s="751">
        <v>0</v>
      </c>
      <c r="AQ214" s="751">
        <v>0</v>
      </c>
      <c r="AR214" s="751">
        <v>0</v>
      </c>
      <c r="AS214" s="751">
        <v>0</v>
      </c>
      <c r="AT214" s="751">
        <v>0</v>
      </c>
      <c r="AU214" s="751">
        <v>0</v>
      </c>
      <c r="AV214" s="751">
        <v>0</v>
      </c>
      <c r="AW214" s="751">
        <v>0</v>
      </c>
      <c r="AX214" s="751">
        <v>0</v>
      </c>
      <c r="AY214" s="751">
        <v>0</v>
      </c>
      <c r="AZ214" s="751">
        <v>0</v>
      </c>
      <c r="BA214" s="751">
        <v>0</v>
      </c>
      <c r="BB214" s="751">
        <v>0</v>
      </c>
      <c r="BC214" s="751">
        <v>-5528798</v>
      </c>
      <c r="BD214" s="751">
        <v>-4515526</v>
      </c>
      <c r="BE214" s="751">
        <v>-1078037</v>
      </c>
      <c r="BF214" s="751">
        <v>-127917</v>
      </c>
      <c r="BG214" s="751">
        <v>-11250279</v>
      </c>
      <c r="BH214" s="751">
        <v>3519337</v>
      </c>
      <c r="BI214" s="751">
        <v>2878430</v>
      </c>
      <c r="BJ214" s="751">
        <v>550627</v>
      </c>
      <c r="BK214" s="751">
        <v>53046</v>
      </c>
      <c r="BL214" s="751">
        <v>7001439</v>
      </c>
      <c r="BM214" s="751">
        <v>377157</v>
      </c>
      <c r="BN214" s="751">
        <v>84860</v>
      </c>
      <c r="BO214" s="751">
        <v>9429</v>
      </c>
      <c r="BP214" s="751">
        <v>471446</v>
      </c>
      <c r="BQ214" s="751">
        <v>1468881</v>
      </c>
      <c r="BR214" s="751">
        <v>330498</v>
      </c>
      <c r="BS214" s="751">
        <v>36722</v>
      </c>
      <c r="BT214" s="751">
        <v>1836101</v>
      </c>
      <c r="BU214" s="751">
        <v>47537</v>
      </c>
      <c r="BV214" s="751">
        <v>10696</v>
      </c>
      <c r="BW214" s="751">
        <v>1188</v>
      </c>
      <c r="BX214" s="751">
        <v>59421</v>
      </c>
      <c r="BY214" s="751">
        <v>0</v>
      </c>
      <c r="BZ214" s="751">
        <v>0</v>
      </c>
      <c r="CA214" s="751">
        <v>0</v>
      </c>
      <c r="CB214" s="751">
        <v>0</v>
      </c>
      <c r="CC214" s="751">
        <v>12981</v>
      </c>
      <c r="CD214" s="751">
        <v>2921</v>
      </c>
      <c r="CE214" s="751">
        <v>325</v>
      </c>
      <c r="CF214" s="751">
        <v>16227</v>
      </c>
      <c r="CG214" s="751">
        <v>18559</v>
      </c>
      <c r="CH214" s="751">
        <v>4176</v>
      </c>
      <c r="CI214" s="751">
        <v>464</v>
      </c>
      <c r="CJ214" s="751">
        <v>23199</v>
      </c>
      <c r="CK214" s="751">
        <v>0</v>
      </c>
      <c r="CL214" s="751">
        <v>0</v>
      </c>
      <c r="CM214" s="751">
        <v>0</v>
      </c>
      <c r="CN214" s="751">
        <v>0</v>
      </c>
      <c r="CO214" s="751">
        <v>0</v>
      </c>
      <c r="CP214" s="751">
        <v>0</v>
      </c>
      <c r="CQ214" s="751">
        <v>0</v>
      </c>
      <c r="CR214" s="751">
        <v>0</v>
      </c>
      <c r="CS214" s="751">
        <v>0</v>
      </c>
      <c r="CT214" s="751">
        <v>0</v>
      </c>
      <c r="CU214" s="751">
        <v>0</v>
      </c>
      <c r="CV214" s="751">
        <v>0</v>
      </c>
      <c r="CW214" s="751">
        <v>1925115</v>
      </c>
      <c r="CX214" s="751">
        <v>433151</v>
      </c>
      <c r="CY214" s="751">
        <v>48128</v>
      </c>
      <c r="CZ214" s="751">
        <v>2406394</v>
      </c>
      <c r="DA214" s="662" t="s">
        <v>291</v>
      </c>
      <c r="DB214" s="324" t="s">
        <v>525</v>
      </c>
      <c r="DC214" s="663" t="s">
        <v>524</v>
      </c>
      <c r="DD214" s="529" t="s">
        <v>1420</v>
      </c>
    </row>
    <row r="215" spans="1:108" ht="12.75" x14ac:dyDescent="0.2">
      <c r="A215" s="664">
        <v>208</v>
      </c>
      <c r="B215" s="665" t="s">
        <v>294</v>
      </c>
      <c r="C215" s="666" t="s">
        <v>1217</v>
      </c>
      <c r="D215" s="667" t="s">
        <v>1218</v>
      </c>
      <c r="E215" s="668" t="s">
        <v>293</v>
      </c>
      <c r="F215" s="750">
        <v>72610140</v>
      </c>
      <c r="G215" s="751">
        <v>0</v>
      </c>
      <c r="H215" s="751">
        <v>981553</v>
      </c>
      <c r="I215" s="751">
        <v>290781</v>
      </c>
      <c r="J215" s="751">
        <v>0</v>
      </c>
      <c r="K215" s="751">
        <v>290781</v>
      </c>
      <c r="L215" s="751">
        <v>0</v>
      </c>
      <c r="M215" s="751">
        <v>616385</v>
      </c>
      <c r="N215" s="751">
        <v>367423</v>
      </c>
      <c r="O215" s="751">
        <v>367423</v>
      </c>
      <c r="P215" s="751">
        <v>0</v>
      </c>
      <c r="Q215" s="751">
        <v>0</v>
      </c>
      <c r="R215" s="751">
        <v>70353998</v>
      </c>
      <c r="S215" s="749">
        <v>0.5</v>
      </c>
      <c r="T215" s="749">
        <v>0.49</v>
      </c>
      <c r="U215" s="749">
        <v>0</v>
      </c>
      <c r="V215" s="749">
        <v>0.01</v>
      </c>
      <c r="W215" s="749">
        <v>1</v>
      </c>
      <c r="X215" s="751">
        <v>35176999</v>
      </c>
      <c r="Y215" s="751">
        <v>34473459</v>
      </c>
      <c r="Z215" s="751">
        <v>0</v>
      </c>
      <c r="AA215" s="751">
        <v>703540</v>
      </c>
      <c r="AB215" s="751">
        <v>70353998</v>
      </c>
      <c r="AC215" s="751">
        <v>104809</v>
      </c>
      <c r="AD215" s="751">
        <v>104809</v>
      </c>
      <c r="AE215" s="751">
        <v>35072190</v>
      </c>
      <c r="AF215" s="751">
        <v>34473459</v>
      </c>
      <c r="AG215" s="751">
        <v>0</v>
      </c>
      <c r="AH215" s="751">
        <v>703540</v>
      </c>
      <c r="AI215" s="751">
        <v>70249189</v>
      </c>
      <c r="AJ215" s="751">
        <v>290781</v>
      </c>
      <c r="AK215" s="751">
        <v>290781</v>
      </c>
      <c r="AL215" s="751">
        <v>616385</v>
      </c>
      <c r="AM215" s="751">
        <v>616385</v>
      </c>
      <c r="AN215" s="751">
        <v>367423</v>
      </c>
      <c r="AO215" s="751">
        <v>0</v>
      </c>
      <c r="AP215" s="751">
        <v>367423</v>
      </c>
      <c r="AQ215" s="751">
        <v>0</v>
      </c>
      <c r="AR215" s="751">
        <v>0</v>
      </c>
      <c r="AS215" s="751">
        <v>0</v>
      </c>
      <c r="AT215" s="751">
        <v>0</v>
      </c>
      <c r="AU215" s="751">
        <v>104809</v>
      </c>
      <c r="AV215" s="751">
        <v>0</v>
      </c>
      <c r="AW215" s="751">
        <v>0</v>
      </c>
      <c r="AX215" s="751">
        <v>104809</v>
      </c>
      <c r="AY215" s="751">
        <v>0</v>
      </c>
      <c r="AZ215" s="751">
        <v>0</v>
      </c>
      <c r="BA215" s="751">
        <v>0</v>
      </c>
      <c r="BB215" s="751">
        <v>0</v>
      </c>
      <c r="BC215" s="751">
        <v>-16786042</v>
      </c>
      <c r="BD215" s="751">
        <v>-16450321</v>
      </c>
      <c r="BE215" s="751">
        <v>0</v>
      </c>
      <c r="BF215" s="751">
        <v>-335721</v>
      </c>
      <c r="BG215" s="751">
        <v>-33572084</v>
      </c>
      <c r="BH215" s="751">
        <v>18286148</v>
      </c>
      <c r="BI215" s="751">
        <v>19402536</v>
      </c>
      <c r="BJ215" s="751">
        <v>0</v>
      </c>
      <c r="BK215" s="751">
        <v>367819</v>
      </c>
      <c r="BL215" s="751">
        <v>38056503</v>
      </c>
      <c r="BM215" s="751">
        <v>1852934</v>
      </c>
      <c r="BN215" s="751">
        <v>0</v>
      </c>
      <c r="BO215" s="751">
        <v>36657</v>
      </c>
      <c r="BP215" s="751">
        <v>1889591</v>
      </c>
      <c r="BQ215" s="751">
        <v>3254786</v>
      </c>
      <c r="BR215" s="751">
        <v>0</v>
      </c>
      <c r="BS215" s="751">
        <v>66055</v>
      </c>
      <c r="BT215" s="751">
        <v>3320841</v>
      </c>
      <c r="BU215" s="751">
        <v>131901</v>
      </c>
      <c r="BV215" s="751">
        <v>0</v>
      </c>
      <c r="BW215" s="751">
        <v>2530</v>
      </c>
      <c r="BX215" s="751">
        <v>134431</v>
      </c>
      <c r="BY215" s="751">
        <v>12978</v>
      </c>
      <c r="BZ215" s="751">
        <v>0</v>
      </c>
      <c r="CA215" s="751">
        <v>265</v>
      </c>
      <c r="CB215" s="751">
        <v>13243</v>
      </c>
      <c r="CC215" s="751">
        <v>5240</v>
      </c>
      <c r="CD215" s="751">
        <v>0</v>
      </c>
      <c r="CE215" s="751">
        <v>107</v>
      </c>
      <c r="CF215" s="751">
        <v>5347</v>
      </c>
      <c r="CG215" s="751">
        <v>11053</v>
      </c>
      <c r="CH215" s="751">
        <v>0</v>
      </c>
      <c r="CI215" s="751">
        <v>226</v>
      </c>
      <c r="CJ215" s="751">
        <v>11279</v>
      </c>
      <c r="CK215" s="751">
        <v>0</v>
      </c>
      <c r="CL215" s="751">
        <v>0</v>
      </c>
      <c r="CM215" s="751">
        <v>0</v>
      </c>
      <c r="CN215" s="751">
        <v>0</v>
      </c>
      <c r="CO215" s="751">
        <v>0</v>
      </c>
      <c r="CP215" s="751">
        <v>0</v>
      </c>
      <c r="CQ215" s="751">
        <v>0</v>
      </c>
      <c r="CR215" s="751">
        <v>0</v>
      </c>
      <c r="CS215" s="751">
        <v>0</v>
      </c>
      <c r="CT215" s="751">
        <v>0</v>
      </c>
      <c r="CU215" s="751">
        <v>0</v>
      </c>
      <c r="CV215" s="751">
        <v>0</v>
      </c>
      <c r="CW215" s="751">
        <v>5268892</v>
      </c>
      <c r="CX215" s="751">
        <v>0</v>
      </c>
      <c r="CY215" s="751">
        <v>105840</v>
      </c>
      <c r="CZ215" s="751">
        <v>5374732</v>
      </c>
      <c r="DA215" s="662" t="s">
        <v>293</v>
      </c>
      <c r="DB215" s="324" t="s">
        <v>570</v>
      </c>
      <c r="DC215" s="663" t="s">
        <v>572</v>
      </c>
      <c r="DD215" s="529" t="s">
        <v>1421</v>
      </c>
    </row>
    <row r="216" spans="1:108" ht="12.75" x14ac:dyDescent="0.2">
      <c r="A216" s="664">
        <v>209</v>
      </c>
      <c r="B216" s="665" t="s">
        <v>296</v>
      </c>
      <c r="C216" s="666" t="s">
        <v>1201</v>
      </c>
      <c r="D216" s="667" t="s">
        <v>1228</v>
      </c>
      <c r="E216" s="668" t="s">
        <v>295</v>
      </c>
      <c r="F216" s="750">
        <v>52273403</v>
      </c>
      <c r="G216" s="751">
        <v>0</v>
      </c>
      <c r="H216" s="751">
        <v>133932</v>
      </c>
      <c r="I216" s="751">
        <v>131528</v>
      </c>
      <c r="J216" s="751">
        <v>0</v>
      </c>
      <c r="K216" s="751">
        <v>131528</v>
      </c>
      <c r="L216" s="751">
        <v>0</v>
      </c>
      <c r="M216" s="751">
        <v>0</v>
      </c>
      <c r="N216" s="751">
        <v>0</v>
      </c>
      <c r="O216" s="751">
        <v>0</v>
      </c>
      <c r="P216" s="751">
        <v>0</v>
      </c>
      <c r="Q216" s="751">
        <v>0</v>
      </c>
      <c r="R216" s="751">
        <v>52007943</v>
      </c>
      <c r="S216" s="749">
        <v>0.5</v>
      </c>
      <c r="T216" s="749">
        <v>0.4</v>
      </c>
      <c r="U216" s="749">
        <v>0.1</v>
      </c>
      <c r="V216" s="749">
        <v>0</v>
      </c>
      <c r="W216" s="749">
        <v>1</v>
      </c>
      <c r="X216" s="751">
        <v>26003972</v>
      </c>
      <c r="Y216" s="751">
        <v>20803177</v>
      </c>
      <c r="Z216" s="751">
        <v>5200794</v>
      </c>
      <c r="AA216" s="751">
        <v>0</v>
      </c>
      <c r="AB216" s="751">
        <v>52007943</v>
      </c>
      <c r="AC216" s="751">
        <v>0</v>
      </c>
      <c r="AD216" s="751">
        <v>0</v>
      </c>
      <c r="AE216" s="751">
        <v>26003972</v>
      </c>
      <c r="AF216" s="751">
        <v>20803177</v>
      </c>
      <c r="AG216" s="751">
        <v>5200794</v>
      </c>
      <c r="AH216" s="751">
        <v>0</v>
      </c>
      <c r="AI216" s="751">
        <v>52007943</v>
      </c>
      <c r="AJ216" s="751">
        <v>131528</v>
      </c>
      <c r="AK216" s="751">
        <v>131528</v>
      </c>
      <c r="AL216" s="751">
        <v>0</v>
      </c>
      <c r="AM216" s="751">
        <v>0</v>
      </c>
      <c r="AN216" s="751">
        <v>0</v>
      </c>
      <c r="AO216" s="751">
        <v>0</v>
      </c>
      <c r="AP216" s="751">
        <v>0</v>
      </c>
      <c r="AQ216" s="751">
        <v>0</v>
      </c>
      <c r="AR216" s="751">
        <v>0</v>
      </c>
      <c r="AS216" s="751">
        <v>0</v>
      </c>
      <c r="AT216" s="751">
        <v>0</v>
      </c>
      <c r="AU216" s="751">
        <v>0</v>
      </c>
      <c r="AV216" s="751">
        <v>0</v>
      </c>
      <c r="AW216" s="751">
        <v>0</v>
      </c>
      <c r="AX216" s="751">
        <v>0</v>
      </c>
      <c r="AY216" s="751">
        <v>0</v>
      </c>
      <c r="AZ216" s="751">
        <v>0</v>
      </c>
      <c r="BA216" s="751">
        <v>0</v>
      </c>
      <c r="BB216" s="751">
        <v>0</v>
      </c>
      <c r="BC216" s="751">
        <v>-8232165</v>
      </c>
      <c r="BD216" s="751">
        <v>-6585732</v>
      </c>
      <c r="BE216" s="751">
        <v>-1646433</v>
      </c>
      <c r="BF216" s="751">
        <v>0</v>
      </c>
      <c r="BG216" s="751">
        <v>-16464330</v>
      </c>
      <c r="BH216" s="751">
        <v>17771807</v>
      </c>
      <c r="BI216" s="751">
        <v>14348973</v>
      </c>
      <c r="BJ216" s="751">
        <v>3554361</v>
      </c>
      <c r="BK216" s="751">
        <v>0</v>
      </c>
      <c r="BL216" s="751">
        <v>35675141</v>
      </c>
      <c r="BM216" s="751">
        <v>1083933</v>
      </c>
      <c r="BN216" s="751">
        <v>270983</v>
      </c>
      <c r="BO216" s="751">
        <v>0</v>
      </c>
      <c r="BP216" s="751">
        <v>1354916</v>
      </c>
      <c r="BQ216" s="751">
        <v>1008599</v>
      </c>
      <c r="BR216" s="751">
        <v>252150</v>
      </c>
      <c r="BS216" s="751">
        <v>0</v>
      </c>
      <c r="BT216" s="751">
        <v>1260749</v>
      </c>
      <c r="BU216" s="751">
        <v>78237</v>
      </c>
      <c r="BV216" s="751">
        <v>19559</v>
      </c>
      <c r="BW216" s="751">
        <v>0</v>
      </c>
      <c r="BX216" s="751">
        <v>97796</v>
      </c>
      <c r="BY216" s="751">
        <v>0</v>
      </c>
      <c r="BZ216" s="751">
        <v>0</v>
      </c>
      <c r="CA216" s="751">
        <v>0</v>
      </c>
      <c r="CB216" s="751">
        <v>0</v>
      </c>
      <c r="CC216" s="751">
        <v>0</v>
      </c>
      <c r="CD216" s="751">
        <v>0</v>
      </c>
      <c r="CE216" s="751">
        <v>0</v>
      </c>
      <c r="CF216" s="751">
        <v>0</v>
      </c>
      <c r="CG216" s="751">
        <v>11970</v>
      </c>
      <c r="CH216" s="751">
        <v>2993</v>
      </c>
      <c r="CI216" s="751">
        <v>0</v>
      </c>
      <c r="CJ216" s="751">
        <v>14963</v>
      </c>
      <c r="CK216" s="751">
        <v>0</v>
      </c>
      <c r="CL216" s="751">
        <v>0</v>
      </c>
      <c r="CM216" s="751">
        <v>0</v>
      </c>
      <c r="CN216" s="751">
        <v>0</v>
      </c>
      <c r="CO216" s="751">
        <v>0</v>
      </c>
      <c r="CP216" s="751">
        <v>0</v>
      </c>
      <c r="CQ216" s="751">
        <v>0</v>
      </c>
      <c r="CR216" s="751">
        <v>0</v>
      </c>
      <c r="CS216" s="751">
        <v>0</v>
      </c>
      <c r="CT216" s="751">
        <v>0</v>
      </c>
      <c r="CU216" s="751">
        <v>0</v>
      </c>
      <c r="CV216" s="751">
        <v>0</v>
      </c>
      <c r="CW216" s="751">
        <v>2182739</v>
      </c>
      <c r="CX216" s="751">
        <v>545685</v>
      </c>
      <c r="CY216" s="751">
        <v>0</v>
      </c>
      <c r="CZ216" s="751">
        <v>2728424</v>
      </c>
      <c r="DA216" s="662" t="s">
        <v>295</v>
      </c>
      <c r="DB216" s="324" t="s">
        <v>567</v>
      </c>
      <c r="DC216" s="663" t="s">
        <v>512</v>
      </c>
      <c r="DD216" s="529" t="s">
        <v>1422</v>
      </c>
    </row>
    <row r="217" spans="1:108" ht="14.25" x14ac:dyDescent="0.2">
      <c r="A217" s="664">
        <v>210</v>
      </c>
      <c r="B217" s="665" t="s">
        <v>298</v>
      </c>
      <c r="C217" s="666" t="s">
        <v>1201</v>
      </c>
      <c r="D217" s="667" t="s">
        <v>1202</v>
      </c>
      <c r="E217" s="668" t="s">
        <v>1869</v>
      </c>
      <c r="F217" s="750">
        <v>61705718</v>
      </c>
      <c r="G217" s="751">
        <v>187537</v>
      </c>
      <c r="H217" s="751">
        <v>0</v>
      </c>
      <c r="I217" s="751">
        <v>141205</v>
      </c>
      <c r="J217" s="751">
        <v>0</v>
      </c>
      <c r="K217" s="751">
        <v>141205</v>
      </c>
      <c r="L217" s="751">
        <v>0</v>
      </c>
      <c r="M217" s="751">
        <v>106633</v>
      </c>
      <c r="N217" s="751">
        <v>0</v>
      </c>
      <c r="O217" s="751">
        <v>0</v>
      </c>
      <c r="P217" s="751">
        <v>0</v>
      </c>
      <c r="Q217" s="751">
        <v>0</v>
      </c>
      <c r="R217" s="751">
        <v>61645417</v>
      </c>
      <c r="S217" s="749">
        <v>0.5</v>
      </c>
      <c r="T217" s="749">
        <v>0.4</v>
      </c>
      <c r="U217" s="749">
        <v>0.1</v>
      </c>
      <c r="V217" s="749">
        <v>0</v>
      </c>
      <c r="W217" s="749">
        <v>1</v>
      </c>
      <c r="X217" s="751">
        <v>30822708</v>
      </c>
      <c r="Y217" s="751">
        <v>24658167</v>
      </c>
      <c r="Z217" s="751">
        <v>6164542</v>
      </c>
      <c r="AA217" s="751">
        <v>0</v>
      </c>
      <c r="AB217" s="751">
        <v>61645417</v>
      </c>
      <c r="AC217" s="751">
        <v>0</v>
      </c>
      <c r="AD217" s="751">
        <v>0</v>
      </c>
      <c r="AE217" s="751">
        <v>30822708</v>
      </c>
      <c r="AF217" s="751">
        <v>24658167</v>
      </c>
      <c r="AG217" s="751">
        <v>6164542</v>
      </c>
      <c r="AH217" s="751">
        <v>0</v>
      </c>
      <c r="AI217" s="751">
        <v>61645417</v>
      </c>
      <c r="AJ217" s="751">
        <v>141205</v>
      </c>
      <c r="AK217" s="751">
        <v>141205</v>
      </c>
      <c r="AL217" s="751">
        <v>106633</v>
      </c>
      <c r="AM217" s="751">
        <v>106633</v>
      </c>
      <c r="AN217" s="751">
        <v>0</v>
      </c>
      <c r="AO217" s="751">
        <v>0</v>
      </c>
      <c r="AP217" s="751">
        <v>0</v>
      </c>
      <c r="AQ217" s="751">
        <v>0</v>
      </c>
      <c r="AR217" s="751">
        <v>0</v>
      </c>
      <c r="AS217" s="751">
        <v>0</v>
      </c>
      <c r="AT217" s="751">
        <v>0</v>
      </c>
      <c r="AU217" s="751">
        <v>0</v>
      </c>
      <c r="AV217" s="751">
        <v>0</v>
      </c>
      <c r="AW217" s="751">
        <v>0</v>
      </c>
      <c r="AX217" s="751">
        <v>0</v>
      </c>
      <c r="AY217" s="751">
        <v>0</v>
      </c>
      <c r="AZ217" s="751">
        <v>0</v>
      </c>
      <c r="BA217" s="751">
        <v>0</v>
      </c>
      <c r="BB217" s="751">
        <v>0</v>
      </c>
      <c r="BC217" s="751">
        <v>-4929491</v>
      </c>
      <c r="BD217" s="751">
        <v>-3943593</v>
      </c>
      <c r="BE217" s="751">
        <v>-985898</v>
      </c>
      <c r="BF217" s="751">
        <v>0</v>
      </c>
      <c r="BG217" s="751">
        <v>-9858981</v>
      </c>
      <c r="BH217" s="751">
        <v>25893217</v>
      </c>
      <c r="BI217" s="751">
        <v>20962412</v>
      </c>
      <c r="BJ217" s="751">
        <v>5178644</v>
      </c>
      <c r="BK217" s="751">
        <v>0</v>
      </c>
      <c r="BL217" s="751">
        <v>52034274</v>
      </c>
      <c r="BM217" s="751">
        <v>1290350</v>
      </c>
      <c r="BN217" s="751">
        <v>321199</v>
      </c>
      <c r="BO217" s="751">
        <v>0</v>
      </c>
      <c r="BP217" s="751">
        <v>1611549</v>
      </c>
      <c r="BQ217" s="751">
        <v>824538</v>
      </c>
      <c r="BR217" s="751">
        <v>206135</v>
      </c>
      <c r="BS217" s="751">
        <v>0</v>
      </c>
      <c r="BT217" s="751">
        <v>1030673</v>
      </c>
      <c r="BU217" s="751">
        <v>67416</v>
      </c>
      <c r="BV217" s="751">
        <v>16282</v>
      </c>
      <c r="BW217" s="751">
        <v>0</v>
      </c>
      <c r="BX217" s="751">
        <v>83698</v>
      </c>
      <c r="BY217" s="751">
        <v>0</v>
      </c>
      <c r="BZ217" s="751">
        <v>0</v>
      </c>
      <c r="CA217" s="751">
        <v>0</v>
      </c>
      <c r="CB217" s="751">
        <v>0</v>
      </c>
      <c r="CC217" s="751">
        <v>0</v>
      </c>
      <c r="CD217" s="751">
        <v>0</v>
      </c>
      <c r="CE217" s="751">
        <v>0</v>
      </c>
      <c r="CF217" s="751">
        <v>0</v>
      </c>
      <c r="CG217" s="751">
        <v>11364</v>
      </c>
      <c r="CH217" s="751">
        <v>2841</v>
      </c>
      <c r="CI217" s="751">
        <v>0</v>
      </c>
      <c r="CJ217" s="751">
        <v>14205</v>
      </c>
      <c r="CK217" s="751">
        <v>0</v>
      </c>
      <c r="CL217" s="751">
        <v>0</v>
      </c>
      <c r="CM217" s="751">
        <v>0</v>
      </c>
      <c r="CN217" s="751">
        <v>0</v>
      </c>
      <c r="CO217" s="751">
        <v>0</v>
      </c>
      <c r="CP217" s="751">
        <v>0</v>
      </c>
      <c r="CQ217" s="751">
        <v>0</v>
      </c>
      <c r="CR217" s="751">
        <v>0</v>
      </c>
      <c r="CS217" s="751">
        <v>0</v>
      </c>
      <c r="CT217" s="751">
        <v>0</v>
      </c>
      <c r="CU217" s="751">
        <v>0</v>
      </c>
      <c r="CV217" s="751">
        <v>0</v>
      </c>
      <c r="CW217" s="751">
        <v>2193668</v>
      </c>
      <c r="CX217" s="751">
        <v>546457</v>
      </c>
      <c r="CY217" s="751">
        <v>0</v>
      </c>
      <c r="CZ217" s="751">
        <v>2740125</v>
      </c>
      <c r="DA217" s="662" t="s">
        <v>297</v>
      </c>
      <c r="DB217" s="324" t="s">
        <v>566</v>
      </c>
      <c r="DC217" s="663" t="s">
        <v>512</v>
      </c>
      <c r="DD217" s="529" t="s">
        <v>1423</v>
      </c>
    </row>
    <row r="218" spans="1:108" ht="12.75" x14ac:dyDescent="0.2">
      <c r="A218" s="664">
        <v>211</v>
      </c>
      <c r="B218" s="665" t="s">
        <v>300</v>
      </c>
      <c r="C218" s="666" t="s">
        <v>1201</v>
      </c>
      <c r="D218" s="667" t="s">
        <v>1206</v>
      </c>
      <c r="E218" s="668" t="s">
        <v>299</v>
      </c>
      <c r="F218" s="750">
        <v>31424770</v>
      </c>
      <c r="G218" s="751">
        <v>0</v>
      </c>
      <c r="H218" s="751">
        <v>2244956</v>
      </c>
      <c r="I218" s="751">
        <v>112696</v>
      </c>
      <c r="J218" s="751">
        <v>0</v>
      </c>
      <c r="K218" s="751">
        <v>112696</v>
      </c>
      <c r="L218" s="751">
        <v>0</v>
      </c>
      <c r="M218" s="751">
        <v>0</v>
      </c>
      <c r="N218" s="751">
        <v>461238</v>
      </c>
      <c r="O218" s="751">
        <v>461238</v>
      </c>
      <c r="P218" s="751">
        <v>0</v>
      </c>
      <c r="Q218" s="751">
        <v>0</v>
      </c>
      <c r="R218" s="751">
        <v>28605880</v>
      </c>
      <c r="S218" s="749">
        <v>0.5</v>
      </c>
      <c r="T218" s="749">
        <v>0.4</v>
      </c>
      <c r="U218" s="749">
        <v>0.09</v>
      </c>
      <c r="V218" s="749">
        <v>0.01</v>
      </c>
      <c r="W218" s="749">
        <v>1</v>
      </c>
      <c r="X218" s="751">
        <v>14302940</v>
      </c>
      <c r="Y218" s="751">
        <v>11442352</v>
      </c>
      <c r="Z218" s="751">
        <v>2574529</v>
      </c>
      <c r="AA218" s="751">
        <v>286059</v>
      </c>
      <c r="AB218" s="751">
        <v>28605880</v>
      </c>
      <c r="AC218" s="751">
        <v>0</v>
      </c>
      <c r="AD218" s="751">
        <v>0</v>
      </c>
      <c r="AE218" s="751">
        <v>14302940</v>
      </c>
      <c r="AF218" s="751">
        <v>11442352</v>
      </c>
      <c r="AG218" s="751">
        <v>2574529</v>
      </c>
      <c r="AH218" s="751">
        <v>286059</v>
      </c>
      <c r="AI218" s="751">
        <v>28605880</v>
      </c>
      <c r="AJ218" s="751">
        <v>112696</v>
      </c>
      <c r="AK218" s="751">
        <v>112696</v>
      </c>
      <c r="AL218" s="751">
        <v>0</v>
      </c>
      <c r="AM218" s="751">
        <v>0</v>
      </c>
      <c r="AN218" s="751">
        <v>461238</v>
      </c>
      <c r="AO218" s="751">
        <v>0</v>
      </c>
      <c r="AP218" s="751">
        <v>461238</v>
      </c>
      <c r="AQ218" s="751">
        <v>0</v>
      </c>
      <c r="AR218" s="751">
        <v>0</v>
      </c>
      <c r="AS218" s="751">
        <v>0</v>
      </c>
      <c r="AT218" s="751">
        <v>0</v>
      </c>
      <c r="AU218" s="751">
        <v>0</v>
      </c>
      <c r="AV218" s="751">
        <v>0</v>
      </c>
      <c r="AW218" s="751">
        <v>0</v>
      </c>
      <c r="AX218" s="751">
        <v>0</v>
      </c>
      <c r="AY218" s="751">
        <v>0</v>
      </c>
      <c r="AZ218" s="751">
        <v>0</v>
      </c>
      <c r="BA218" s="751">
        <v>0</v>
      </c>
      <c r="BB218" s="751">
        <v>0</v>
      </c>
      <c r="BC218" s="751">
        <v>-5000682</v>
      </c>
      <c r="BD218" s="751">
        <v>-4000546</v>
      </c>
      <c r="BE218" s="751">
        <v>-900123</v>
      </c>
      <c r="BF218" s="751">
        <v>-100014</v>
      </c>
      <c r="BG218" s="751">
        <v>-10001364</v>
      </c>
      <c r="BH218" s="751">
        <v>9302258</v>
      </c>
      <c r="BI218" s="751">
        <v>8015740</v>
      </c>
      <c r="BJ218" s="751">
        <v>1674406</v>
      </c>
      <c r="BK218" s="751">
        <v>186045</v>
      </c>
      <c r="BL218" s="751">
        <v>19178450</v>
      </c>
      <c r="BM218" s="751">
        <v>620227</v>
      </c>
      <c r="BN218" s="751">
        <v>134144</v>
      </c>
      <c r="BO218" s="751">
        <v>14905</v>
      </c>
      <c r="BP218" s="751">
        <v>769276</v>
      </c>
      <c r="BQ218" s="751">
        <v>1022000</v>
      </c>
      <c r="BR218" s="751">
        <v>229950</v>
      </c>
      <c r="BS218" s="751">
        <v>25550</v>
      </c>
      <c r="BT218" s="751">
        <v>1277500</v>
      </c>
      <c r="BU218" s="751">
        <v>54530</v>
      </c>
      <c r="BV218" s="751">
        <v>12269</v>
      </c>
      <c r="BW218" s="751">
        <v>1363</v>
      </c>
      <c r="BX218" s="751">
        <v>68162</v>
      </c>
      <c r="BY218" s="751">
        <v>6753</v>
      </c>
      <c r="BZ218" s="751">
        <v>1520</v>
      </c>
      <c r="CA218" s="751">
        <v>169</v>
      </c>
      <c r="CB218" s="751">
        <v>8442</v>
      </c>
      <c r="CC218" s="751">
        <v>3366</v>
      </c>
      <c r="CD218" s="751">
        <v>757</v>
      </c>
      <c r="CE218" s="751">
        <v>84</v>
      </c>
      <c r="CF218" s="751">
        <v>4207</v>
      </c>
      <c r="CG218" s="751">
        <v>11447</v>
      </c>
      <c r="CH218" s="751">
        <v>2576</v>
      </c>
      <c r="CI218" s="751">
        <v>286</v>
      </c>
      <c r="CJ218" s="751">
        <v>14309</v>
      </c>
      <c r="CK218" s="751">
        <v>0</v>
      </c>
      <c r="CL218" s="751">
        <v>0</v>
      </c>
      <c r="CM218" s="751">
        <v>0</v>
      </c>
      <c r="CN218" s="751">
        <v>0</v>
      </c>
      <c r="CO218" s="751">
        <v>0</v>
      </c>
      <c r="CP218" s="751">
        <v>0</v>
      </c>
      <c r="CQ218" s="751">
        <v>0</v>
      </c>
      <c r="CR218" s="751">
        <v>0</v>
      </c>
      <c r="CS218" s="751">
        <v>0</v>
      </c>
      <c r="CT218" s="751">
        <v>0</v>
      </c>
      <c r="CU218" s="751">
        <v>0</v>
      </c>
      <c r="CV218" s="751">
        <v>0</v>
      </c>
      <c r="CW218" s="751">
        <v>1718323</v>
      </c>
      <c r="CX218" s="751">
        <v>381216</v>
      </c>
      <c r="CY218" s="751">
        <v>42357</v>
      </c>
      <c r="CZ218" s="751">
        <v>2141896</v>
      </c>
      <c r="DA218" s="662" t="s">
        <v>299</v>
      </c>
      <c r="DB218" s="324" t="s">
        <v>559</v>
      </c>
      <c r="DC218" s="663" t="s">
        <v>558</v>
      </c>
      <c r="DD218" s="529" t="s">
        <v>1424</v>
      </c>
    </row>
    <row r="219" spans="1:108" ht="12.75" x14ac:dyDescent="0.2">
      <c r="A219" s="664">
        <v>212</v>
      </c>
      <c r="B219" s="665" t="s">
        <v>302</v>
      </c>
      <c r="C219" s="666" t="s">
        <v>1201</v>
      </c>
      <c r="D219" s="667" t="s">
        <v>1202</v>
      </c>
      <c r="E219" s="668" t="s">
        <v>301</v>
      </c>
      <c r="F219" s="750">
        <v>49892719</v>
      </c>
      <c r="G219" s="751">
        <v>0</v>
      </c>
      <c r="H219" s="751">
        <v>86503</v>
      </c>
      <c r="I219" s="751">
        <v>119339</v>
      </c>
      <c r="J219" s="751">
        <v>0</v>
      </c>
      <c r="K219" s="751">
        <v>119339</v>
      </c>
      <c r="L219" s="751">
        <v>0</v>
      </c>
      <c r="M219" s="751">
        <v>0</v>
      </c>
      <c r="N219" s="751">
        <v>0</v>
      </c>
      <c r="O219" s="751">
        <v>0</v>
      </c>
      <c r="P219" s="751">
        <v>0</v>
      </c>
      <c r="Q219" s="751">
        <v>0</v>
      </c>
      <c r="R219" s="751">
        <v>49686877</v>
      </c>
      <c r="S219" s="749">
        <v>0.5</v>
      </c>
      <c r="T219" s="749">
        <v>0.4</v>
      </c>
      <c r="U219" s="749">
        <v>0.09</v>
      </c>
      <c r="V219" s="749">
        <v>0.01</v>
      </c>
      <c r="W219" s="749">
        <v>1</v>
      </c>
      <c r="X219" s="751">
        <v>24843438</v>
      </c>
      <c r="Y219" s="751">
        <v>19874751</v>
      </c>
      <c r="Z219" s="751">
        <v>4471819</v>
      </c>
      <c r="AA219" s="751">
        <v>496869</v>
      </c>
      <c r="AB219" s="751">
        <v>49686877</v>
      </c>
      <c r="AC219" s="751">
        <v>0</v>
      </c>
      <c r="AD219" s="751">
        <v>0</v>
      </c>
      <c r="AE219" s="751">
        <v>24843438</v>
      </c>
      <c r="AF219" s="751">
        <v>19874751</v>
      </c>
      <c r="AG219" s="751">
        <v>4471819</v>
      </c>
      <c r="AH219" s="751">
        <v>496869</v>
      </c>
      <c r="AI219" s="751">
        <v>49686877</v>
      </c>
      <c r="AJ219" s="751">
        <v>119339</v>
      </c>
      <c r="AK219" s="751">
        <v>119339</v>
      </c>
      <c r="AL219" s="751">
        <v>0</v>
      </c>
      <c r="AM219" s="751">
        <v>0</v>
      </c>
      <c r="AN219" s="751">
        <v>0</v>
      </c>
      <c r="AO219" s="751">
        <v>0</v>
      </c>
      <c r="AP219" s="751">
        <v>0</v>
      </c>
      <c r="AQ219" s="751">
        <v>0</v>
      </c>
      <c r="AR219" s="751">
        <v>0</v>
      </c>
      <c r="AS219" s="751">
        <v>0</v>
      </c>
      <c r="AT219" s="751">
        <v>0</v>
      </c>
      <c r="AU219" s="751">
        <v>0</v>
      </c>
      <c r="AV219" s="751">
        <v>0</v>
      </c>
      <c r="AW219" s="751">
        <v>0</v>
      </c>
      <c r="AX219" s="751">
        <v>0</v>
      </c>
      <c r="AY219" s="751">
        <v>0</v>
      </c>
      <c r="AZ219" s="751">
        <v>0</v>
      </c>
      <c r="BA219" s="751">
        <v>0</v>
      </c>
      <c r="BB219" s="751">
        <v>0</v>
      </c>
      <c r="BC219" s="751">
        <v>-13033935</v>
      </c>
      <c r="BD219" s="751">
        <v>-10427148</v>
      </c>
      <c r="BE219" s="751">
        <v>-2346108</v>
      </c>
      <c r="BF219" s="751">
        <v>-260679</v>
      </c>
      <c r="BG219" s="751">
        <v>-26067870</v>
      </c>
      <c r="BH219" s="751">
        <v>11809503</v>
      </c>
      <c r="BI219" s="751">
        <v>9566942</v>
      </c>
      <c r="BJ219" s="751">
        <v>2125711</v>
      </c>
      <c r="BK219" s="751">
        <v>236190</v>
      </c>
      <c r="BL219" s="751">
        <v>23738346</v>
      </c>
      <c r="BM219" s="751">
        <v>1035558</v>
      </c>
      <c r="BN219" s="751">
        <v>233001</v>
      </c>
      <c r="BO219" s="751">
        <v>25889</v>
      </c>
      <c r="BP219" s="751">
        <v>1294448</v>
      </c>
      <c r="BQ219" s="751">
        <v>773987</v>
      </c>
      <c r="BR219" s="751">
        <v>174147</v>
      </c>
      <c r="BS219" s="751">
        <v>19350</v>
      </c>
      <c r="BT219" s="751">
        <v>967484</v>
      </c>
      <c r="BU219" s="751">
        <v>66863</v>
      </c>
      <c r="BV219" s="751">
        <v>15044</v>
      </c>
      <c r="BW219" s="751">
        <v>1672</v>
      </c>
      <c r="BX219" s="751">
        <v>83579</v>
      </c>
      <c r="BY219" s="751">
        <v>2117</v>
      </c>
      <c r="BZ219" s="751">
        <v>476</v>
      </c>
      <c r="CA219" s="751">
        <v>53</v>
      </c>
      <c r="CB219" s="751">
        <v>2646</v>
      </c>
      <c r="CC219" s="751">
        <v>0</v>
      </c>
      <c r="CD219" s="751">
        <v>0</v>
      </c>
      <c r="CE219" s="751">
        <v>0</v>
      </c>
      <c r="CF219" s="751">
        <v>0</v>
      </c>
      <c r="CG219" s="751">
        <v>12638</v>
      </c>
      <c r="CH219" s="751">
        <v>2844</v>
      </c>
      <c r="CI219" s="751">
        <v>316</v>
      </c>
      <c r="CJ219" s="751">
        <v>15798</v>
      </c>
      <c r="CK219" s="751">
        <v>0</v>
      </c>
      <c r="CL219" s="751">
        <v>0</v>
      </c>
      <c r="CM219" s="751">
        <v>0</v>
      </c>
      <c r="CN219" s="751">
        <v>0</v>
      </c>
      <c r="CO219" s="751">
        <v>0</v>
      </c>
      <c r="CP219" s="751">
        <v>0</v>
      </c>
      <c r="CQ219" s="751">
        <v>0</v>
      </c>
      <c r="CR219" s="751">
        <v>0</v>
      </c>
      <c r="CS219" s="751">
        <v>0</v>
      </c>
      <c r="CT219" s="751">
        <v>0</v>
      </c>
      <c r="CU219" s="751">
        <v>0</v>
      </c>
      <c r="CV219" s="751">
        <v>0</v>
      </c>
      <c r="CW219" s="751">
        <v>1891163</v>
      </c>
      <c r="CX219" s="751">
        <v>425512</v>
      </c>
      <c r="CY219" s="751">
        <v>47280</v>
      </c>
      <c r="CZ219" s="751">
        <v>2363955</v>
      </c>
      <c r="DA219" s="662" t="s">
        <v>301</v>
      </c>
      <c r="DB219" s="324" t="s">
        <v>532</v>
      </c>
      <c r="DC219" s="663" t="s">
        <v>1914</v>
      </c>
      <c r="DD219" s="529" t="s">
        <v>1425</v>
      </c>
    </row>
    <row r="220" spans="1:108" ht="12.75" x14ac:dyDescent="0.2">
      <c r="A220" s="664">
        <v>213</v>
      </c>
      <c r="B220" s="665" t="s">
        <v>303</v>
      </c>
      <c r="C220" s="666" t="s">
        <v>486</v>
      </c>
      <c r="D220" s="667" t="s">
        <v>1206</v>
      </c>
      <c r="E220" s="668" t="s">
        <v>550</v>
      </c>
      <c r="F220" s="750">
        <v>11582352</v>
      </c>
      <c r="G220" s="751">
        <v>152156</v>
      </c>
      <c r="H220" s="751">
        <v>0</v>
      </c>
      <c r="I220" s="751">
        <v>62022</v>
      </c>
      <c r="J220" s="751">
        <v>0</v>
      </c>
      <c r="K220" s="751">
        <v>62022</v>
      </c>
      <c r="L220" s="751">
        <v>0</v>
      </c>
      <c r="M220" s="751">
        <v>0</v>
      </c>
      <c r="N220" s="751">
        <v>35968</v>
      </c>
      <c r="O220" s="751">
        <v>35968</v>
      </c>
      <c r="P220" s="751">
        <v>0</v>
      </c>
      <c r="Q220" s="751">
        <v>0</v>
      </c>
      <c r="R220" s="751">
        <v>11636518</v>
      </c>
      <c r="S220" s="749">
        <v>0.5</v>
      </c>
      <c r="T220" s="749">
        <v>0.49</v>
      </c>
      <c r="U220" s="749">
        <v>0</v>
      </c>
      <c r="V220" s="749">
        <v>0.01</v>
      </c>
      <c r="W220" s="749">
        <v>1</v>
      </c>
      <c r="X220" s="751">
        <v>5818259</v>
      </c>
      <c r="Y220" s="751">
        <v>5701894</v>
      </c>
      <c r="Z220" s="751">
        <v>0</v>
      </c>
      <c r="AA220" s="751">
        <v>116365</v>
      </c>
      <c r="AB220" s="751">
        <v>11636518</v>
      </c>
      <c r="AC220" s="751">
        <v>0</v>
      </c>
      <c r="AD220" s="751">
        <v>0</v>
      </c>
      <c r="AE220" s="751">
        <v>5818259</v>
      </c>
      <c r="AF220" s="751">
        <v>5701894</v>
      </c>
      <c r="AG220" s="751">
        <v>0</v>
      </c>
      <c r="AH220" s="751">
        <v>116365</v>
      </c>
      <c r="AI220" s="751">
        <v>11636518</v>
      </c>
      <c r="AJ220" s="751">
        <v>62022</v>
      </c>
      <c r="AK220" s="751">
        <v>62022</v>
      </c>
      <c r="AL220" s="751">
        <v>0</v>
      </c>
      <c r="AM220" s="751">
        <v>0</v>
      </c>
      <c r="AN220" s="751">
        <v>35968</v>
      </c>
      <c r="AO220" s="751">
        <v>0</v>
      </c>
      <c r="AP220" s="751">
        <v>35968</v>
      </c>
      <c r="AQ220" s="751">
        <v>0</v>
      </c>
      <c r="AR220" s="751">
        <v>0</v>
      </c>
      <c r="AS220" s="751">
        <v>0</v>
      </c>
      <c r="AT220" s="751">
        <v>0</v>
      </c>
      <c r="AU220" s="751">
        <v>0</v>
      </c>
      <c r="AV220" s="751">
        <v>0</v>
      </c>
      <c r="AW220" s="751">
        <v>0</v>
      </c>
      <c r="AX220" s="751">
        <v>0</v>
      </c>
      <c r="AY220" s="751">
        <v>0</v>
      </c>
      <c r="AZ220" s="751">
        <v>0</v>
      </c>
      <c r="BA220" s="751">
        <v>0</v>
      </c>
      <c r="BB220" s="751">
        <v>0</v>
      </c>
      <c r="BC220" s="751">
        <v>-2229205</v>
      </c>
      <c r="BD220" s="751">
        <v>-2184621</v>
      </c>
      <c r="BE220" s="751">
        <v>0</v>
      </c>
      <c r="BF220" s="751">
        <v>-44584</v>
      </c>
      <c r="BG220" s="751">
        <v>-4458409</v>
      </c>
      <c r="BH220" s="751">
        <v>3589054</v>
      </c>
      <c r="BI220" s="751">
        <v>3615263</v>
      </c>
      <c r="BJ220" s="751">
        <v>0</v>
      </c>
      <c r="BK220" s="751">
        <v>71781</v>
      </c>
      <c r="BL220" s="751">
        <v>7276099</v>
      </c>
      <c r="BM220" s="751">
        <v>298967</v>
      </c>
      <c r="BN220" s="751">
        <v>0</v>
      </c>
      <c r="BO220" s="751">
        <v>6063</v>
      </c>
      <c r="BP220" s="751">
        <v>305030</v>
      </c>
      <c r="BQ220" s="751">
        <v>721885</v>
      </c>
      <c r="BR220" s="751">
        <v>0</v>
      </c>
      <c r="BS220" s="751">
        <v>14732</v>
      </c>
      <c r="BT220" s="751">
        <v>736617</v>
      </c>
      <c r="BU220" s="751">
        <v>26706</v>
      </c>
      <c r="BV220" s="751">
        <v>0</v>
      </c>
      <c r="BW220" s="751">
        <v>545</v>
      </c>
      <c r="BX220" s="751">
        <v>27251</v>
      </c>
      <c r="BY220" s="751">
        <v>3941</v>
      </c>
      <c r="BZ220" s="751">
        <v>0</v>
      </c>
      <c r="CA220" s="751">
        <v>80</v>
      </c>
      <c r="CB220" s="751">
        <v>4021</v>
      </c>
      <c r="CC220" s="751">
        <v>456</v>
      </c>
      <c r="CD220" s="751">
        <v>0</v>
      </c>
      <c r="CE220" s="751">
        <v>9</v>
      </c>
      <c r="CF220" s="751">
        <v>465</v>
      </c>
      <c r="CG220" s="751">
        <v>1754</v>
      </c>
      <c r="CH220" s="751">
        <v>0</v>
      </c>
      <c r="CI220" s="751">
        <v>36</v>
      </c>
      <c r="CJ220" s="751">
        <v>1790</v>
      </c>
      <c r="CK220" s="751">
        <v>0</v>
      </c>
      <c r="CL220" s="751">
        <v>0</v>
      </c>
      <c r="CM220" s="751">
        <v>0</v>
      </c>
      <c r="CN220" s="751">
        <v>0</v>
      </c>
      <c r="CO220" s="751">
        <v>0</v>
      </c>
      <c r="CP220" s="751">
        <v>0</v>
      </c>
      <c r="CQ220" s="751">
        <v>0</v>
      </c>
      <c r="CR220" s="751">
        <v>0</v>
      </c>
      <c r="CS220" s="751">
        <v>0</v>
      </c>
      <c r="CT220" s="751">
        <v>0</v>
      </c>
      <c r="CU220" s="751">
        <v>0</v>
      </c>
      <c r="CV220" s="751">
        <v>0</v>
      </c>
      <c r="CW220" s="751">
        <v>1053709</v>
      </c>
      <c r="CX220" s="751">
        <v>0</v>
      </c>
      <c r="CY220" s="751">
        <v>21465</v>
      </c>
      <c r="CZ220" s="751">
        <v>1075174</v>
      </c>
      <c r="DA220" s="662" t="s">
        <v>550</v>
      </c>
      <c r="DB220" s="324" t="s">
        <v>486</v>
      </c>
      <c r="DC220" s="663" t="s">
        <v>549</v>
      </c>
      <c r="DD220" s="529" t="s">
        <v>1426</v>
      </c>
    </row>
    <row r="221" spans="1:108" ht="12.75" x14ac:dyDescent="0.2">
      <c r="A221" s="664">
        <v>214</v>
      </c>
      <c r="B221" s="665" t="s">
        <v>305</v>
      </c>
      <c r="C221" s="666" t="s">
        <v>1201</v>
      </c>
      <c r="D221" s="667" t="s">
        <v>1218</v>
      </c>
      <c r="E221" s="668" t="s">
        <v>304</v>
      </c>
      <c r="F221" s="750">
        <v>18124101</v>
      </c>
      <c r="G221" s="751">
        <v>167000</v>
      </c>
      <c r="H221" s="751">
        <v>0</v>
      </c>
      <c r="I221" s="751">
        <v>110359</v>
      </c>
      <c r="J221" s="751">
        <v>0</v>
      </c>
      <c r="K221" s="751">
        <v>110359</v>
      </c>
      <c r="L221" s="751">
        <v>0</v>
      </c>
      <c r="M221" s="751">
        <v>0</v>
      </c>
      <c r="N221" s="751">
        <v>22455</v>
      </c>
      <c r="O221" s="751">
        <v>22455</v>
      </c>
      <c r="P221" s="751">
        <v>0</v>
      </c>
      <c r="Q221" s="751">
        <v>0</v>
      </c>
      <c r="R221" s="751">
        <v>18158287</v>
      </c>
      <c r="S221" s="749">
        <v>0.5</v>
      </c>
      <c r="T221" s="749">
        <v>0.4</v>
      </c>
      <c r="U221" s="749">
        <v>0.09</v>
      </c>
      <c r="V221" s="749">
        <v>0.01</v>
      </c>
      <c r="W221" s="749">
        <v>1</v>
      </c>
      <c r="X221" s="751">
        <v>9079143</v>
      </c>
      <c r="Y221" s="751">
        <v>7263315</v>
      </c>
      <c r="Z221" s="751">
        <v>1634246</v>
      </c>
      <c r="AA221" s="751">
        <v>181583</v>
      </c>
      <c r="AB221" s="751">
        <v>18158287</v>
      </c>
      <c r="AC221" s="751">
        <v>0</v>
      </c>
      <c r="AD221" s="751">
        <v>0</v>
      </c>
      <c r="AE221" s="751">
        <v>9079143</v>
      </c>
      <c r="AF221" s="751">
        <v>7263315</v>
      </c>
      <c r="AG221" s="751">
        <v>1634246</v>
      </c>
      <c r="AH221" s="751">
        <v>181583</v>
      </c>
      <c r="AI221" s="751">
        <v>18158287</v>
      </c>
      <c r="AJ221" s="751">
        <v>110359</v>
      </c>
      <c r="AK221" s="751">
        <v>110359</v>
      </c>
      <c r="AL221" s="751">
        <v>0</v>
      </c>
      <c r="AM221" s="751">
        <v>0</v>
      </c>
      <c r="AN221" s="751">
        <v>22455</v>
      </c>
      <c r="AO221" s="751">
        <v>0</v>
      </c>
      <c r="AP221" s="751">
        <v>22455</v>
      </c>
      <c r="AQ221" s="751">
        <v>0</v>
      </c>
      <c r="AR221" s="751">
        <v>0</v>
      </c>
      <c r="AS221" s="751">
        <v>0</v>
      </c>
      <c r="AT221" s="751">
        <v>0</v>
      </c>
      <c r="AU221" s="751">
        <v>0</v>
      </c>
      <c r="AV221" s="751">
        <v>0</v>
      </c>
      <c r="AW221" s="751">
        <v>0</v>
      </c>
      <c r="AX221" s="751">
        <v>0</v>
      </c>
      <c r="AY221" s="751">
        <v>0</v>
      </c>
      <c r="AZ221" s="751">
        <v>0</v>
      </c>
      <c r="BA221" s="751">
        <v>0</v>
      </c>
      <c r="BB221" s="751">
        <v>0</v>
      </c>
      <c r="BC221" s="751">
        <v>-3737265</v>
      </c>
      <c r="BD221" s="751">
        <v>-2956681</v>
      </c>
      <c r="BE221" s="751">
        <v>-655378</v>
      </c>
      <c r="BF221" s="751">
        <v>-74236</v>
      </c>
      <c r="BG221" s="751">
        <v>-7423560</v>
      </c>
      <c r="BH221" s="751">
        <v>5341878</v>
      </c>
      <c r="BI221" s="751">
        <v>4439448</v>
      </c>
      <c r="BJ221" s="751">
        <v>978868</v>
      </c>
      <c r="BK221" s="751">
        <v>107347</v>
      </c>
      <c r="BL221" s="751">
        <v>10867541</v>
      </c>
      <c r="BM221" s="751">
        <v>379619</v>
      </c>
      <c r="BN221" s="751">
        <v>85151</v>
      </c>
      <c r="BO221" s="751">
        <v>9461</v>
      </c>
      <c r="BP221" s="751">
        <v>474231</v>
      </c>
      <c r="BQ221" s="751">
        <v>1122751</v>
      </c>
      <c r="BR221" s="751">
        <v>252619</v>
      </c>
      <c r="BS221" s="751">
        <v>28069</v>
      </c>
      <c r="BT221" s="751">
        <v>1403439</v>
      </c>
      <c r="BU221" s="751">
        <v>45261</v>
      </c>
      <c r="BV221" s="751">
        <v>10184</v>
      </c>
      <c r="BW221" s="751">
        <v>1132</v>
      </c>
      <c r="BX221" s="751">
        <v>56577</v>
      </c>
      <c r="BY221" s="751">
        <v>3198</v>
      </c>
      <c r="BZ221" s="751">
        <v>720</v>
      </c>
      <c r="CA221" s="751">
        <v>80</v>
      </c>
      <c r="CB221" s="751">
        <v>3998</v>
      </c>
      <c r="CC221" s="751">
        <v>10704</v>
      </c>
      <c r="CD221" s="751">
        <v>2409</v>
      </c>
      <c r="CE221" s="751">
        <v>268</v>
      </c>
      <c r="CF221" s="751">
        <v>13381</v>
      </c>
      <c r="CG221" s="751">
        <v>13739</v>
      </c>
      <c r="CH221" s="751">
        <v>3092</v>
      </c>
      <c r="CI221" s="751">
        <v>344</v>
      </c>
      <c r="CJ221" s="751">
        <v>17175</v>
      </c>
      <c r="CK221" s="751">
        <v>0</v>
      </c>
      <c r="CL221" s="751">
        <v>0</v>
      </c>
      <c r="CM221" s="751">
        <v>0</v>
      </c>
      <c r="CN221" s="751">
        <v>0</v>
      </c>
      <c r="CO221" s="751">
        <v>0</v>
      </c>
      <c r="CP221" s="751">
        <v>0</v>
      </c>
      <c r="CQ221" s="751">
        <v>0</v>
      </c>
      <c r="CR221" s="751">
        <v>0</v>
      </c>
      <c r="CS221" s="751">
        <v>631</v>
      </c>
      <c r="CT221" s="751">
        <v>142</v>
      </c>
      <c r="CU221" s="751">
        <v>16</v>
      </c>
      <c r="CV221" s="751">
        <v>789</v>
      </c>
      <c r="CW221" s="751">
        <v>1575903</v>
      </c>
      <c r="CX221" s="751">
        <v>354317</v>
      </c>
      <c r="CY221" s="751">
        <v>39370</v>
      </c>
      <c r="CZ221" s="751">
        <v>1969590</v>
      </c>
      <c r="DA221" s="662" t="s">
        <v>304</v>
      </c>
      <c r="DB221" s="324" t="s">
        <v>556</v>
      </c>
      <c r="DC221" s="663" t="s">
        <v>555</v>
      </c>
      <c r="DD221" s="529" t="s">
        <v>1427</v>
      </c>
    </row>
    <row r="222" spans="1:108" ht="12.75" x14ac:dyDescent="0.2">
      <c r="A222" s="664">
        <v>215</v>
      </c>
      <c r="B222" s="665" t="s">
        <v>307</v>
      </c>
      <c r="C222" s="666" t="s">
        <v>1217</v>
      </c>
      <c r="D222" s="667" t="s">
        <v>1204</v>
      </c>
      <c r="E222" s="668" t="s">
        <v>306</v>
      </c>
      <c r="F222" s="750">
        <v>91158770</v>
      </c>
      <c r="G222" s="751">
        <v>22134</v>
      </c>
      <c r="H222" s="751">
        <v>0</v>
      </c>
      <c r="I222" s="751">
        <v>437907</v>
      </c>
      <c r="J222" s="751">
        <v>0</v>
      </c>
      <c r="K222" s="751">
        <v>437907</v>
      </c>
      <c r="L222" s="751">
        <v>0</v>
      </c>
      <c r="M222" s="751">
        <v>0</v>
      </c>
      <c r="N222" s="751">
        <v>0</v>
      </c>
      <c r="O222" s="751">
        <v>0</v>
      </c>
      <c r="P222" s="751">
        <v>0</v>
      </c>
      <c r="Q222" s="751">
        <v>0</v>
      </c>
      <c r="R222" s="751">
        <v>90742997</v>
      </c>
      <c r="S222" s="749">
        <v>0</v>
      </c>
      <c r="T222" s="749">
        <v>0.99</v>
      </c>
      <c r="U222" s="749">
        <v>0</v>
      </c>
      <c r="V222" s="749">
        <v>0.01</v>
      </c>
      <c r="W222" s="749">
        <v>1</v>
      </c>
      <c r="X222" s="751">
        <v>0</v>
      </c>
      <c r="Y222" s="751">
        <v>89835567</v>
      </c>
      <c r="Z222" s="751">
        <v>0</v>
      </c>
      <c r="AA222" s="751">
        <v>907430</v>
      </c>
      <c r="AB222" s="751">
        <v>90742997</v>
      </c>
      <c r="AC222" s="751">
        <v>0</v>
      </c>
      <c r="AD222" s="751">
        <v>0</v>
      </c>
      <c r="AE222" s="751">
        <v>0</v>
      </c>
      <c r="AF222" s="751">
        <v>89835567</v>
      </c>
      <c r="AG222" s="751">
        <v>0</v>
      </c>
      <c r="AH222" s="751">
        <v>907430</v>
      </c>
      <c r="AI222" s="751">
        <v>90742997</v>
      </c>
      <c r="AJ222" s="751">
        <v>437907</v>
      </c>
      <c r="AK222" s="751">
        <v>437907</v>
      </c>
      <c r="AL222" s="751">
        <v>0</v>
      </c>
      <c r="AM222" s="751">
        <v>0</v>
      </c>
      <c r="AN222" s="751">
        <v>0</v>
      </c>
      <c r="AO222" s="751">
        <v>0</v>
      </c>
      <c r="AP222" s="751">
        <v>0</v>
      </c>
      <c r="AQ222" s="751">
        <v>0</v>
      </c>
      <c r="AR222" s="751">
        <v>0</v>
      </c>
      <c r="AS222" s="751">
        <v>0</v>
      </c>
      <c r="AT222" s="751">
        <v>0</v>
      </c>
      <c r="AU222" s="751">
        <v>0</v>
      </c>
      <c r="AV222" s="751">
        <v>0</v>
      </c>
      <c r="AW222" s="751">
        <v>0</v>
      </c>
      <c r="AX222" s="751">
        <v>0</v>
      </c>
      <c r="AY222" s="751">
        <v>0</v>
      </c>
      <c r="AZ222" s="751">
        <v>0</v>
      </c>
      <c r="BA222" s="751">
        <v>0</v>
      </c>
      <c r="BB222" s="751">
        <v>0</v>
      </c>
      <c r="BC222" s="751">
        <v>0</v>
      </c>
      <c r="BD222" s="751">
        <v>-37197556</v>
      </c>
      <c r="BE222" s="751">
        <v>0</v>
      </c>
      <c r="BF222" s="751">
        <v>-375733</v>
      </c>
      <c r="BG222" s="751">
        <v>-37573289</v>
      </c>
      <c r="BH222" s="751">
        <v>0</v>
      </c>
      <c r="BI222" s="751">
        <v>53075918</v>
      </c>
      <c r="BJ222" s="751">
        <v>0</v>
      </c>
      <c r="BK222" s="751">
        <v>531697</v>
      </c>
      <c r="BL222" s="751">
        <v>53607615</v>
      </c>
      <c r="BM222" s="751">
        <v>4680811</v>
      </c>
      <c r="BN222" s="751">
        <v>0</v>
      </c>
      <c r="BO222" s="751">
        <v>47281</v>
      </c>
      <c r="BP222" s="751">
        <v>4728092</v>
      </c>
      <c r="BQ222" s="751">
        <v>6681907</v>
      </c>
      <c r="BR222" s="751">
        <v>0</v>
      </c>
      <c r="BS222" s="751">
        <v>67494</v>
      </c>
      <c r="BT222" s="751">
        <v>6749401</v>
      </c>
      <c r="BU222" s="751">
        <v>390095</v>
      </c>
      <c r="BV222" s="751">
        <v>0</v>
      </c>
      <c r="BW222" s="751">
        <v>3940</v>
      </c>
      <c r="BX222" s="751">
        <v>394035</v>
      </c>
      <c r="BY222" s="751">
        <v>11123</v>
      </c>
      <c r="BZ222" s="751">
        <v>0</v>
      </c>
      <c r="CA222" s="751">
        <v>112</v>
      </c>
      <c r="CB222" s="751">
        <v>11235</v>
      </c>
      <c r="CC222" s="751">
        <v>0</v>
      </c>
      <c r="CD222" s="751">
        <v>0</v>
      </c>
      <c r="CE222" s="751">
        <v>0</v>
      </c>
      <c r="CF222" s="751">
        <v>0</v>
      </c>
      <c r="CG222" s="751">
        <v>3730</v>
      </c>
      <c r="CH222" s="751">
        <v>0</v>
      </c>
      <c r="CI222" s="751">
        <v>38</v>
      </c>
      <c r="CJ222" s="751">
        <v>3768</v>
      </c>
      <c r="CK222" s="751">
        <v>0</v>
      </c>
      <c r="CL222" s="751">
        <v>0</v>
      </c>
      <c r="CM222" s="751">
        <v>0</v>
      </c>
      <c r="CN222" s="751">
        <v>0</v>
      </c>
      <c r="CO222" s="751">
        <v>0</v>
      </c>
      <c r="CP222" s="751">
        <v>0</v>
      </c>
      <c r="CQ222" s="751">
        <v>0</v>
      </c>
      <c r="CR222" s="751">
        <v>0</v>
      </c>
      <c r="CS222" s="751">
        <v>0</v>
      </c>
      <c r="CT222" s="751">
        <v>0</v>
      </c>
      <c r="CU222" s="751">
        <v>0</v>
      </c>
      <c r="CV222" s="751">
        <v>0</v>
      </c>
      <c r="CW222" s="751">
        <v>11767666</v>
      </c>
      <c r="CX222" s="751">
        <v>0</v>
      </c>
      <c r="CY222" s="751">
        <v>118865</v>
      </c>
      <c r="CZ222" s="751">
        <v>11886531</v>
      </c>
      <c r="DA222" s="662" t="s">
        <v>306</v>
      </c>
      <c r="DB222" s="324" t="s">
        <v>570</v>
      </c>
      <c r="DC222" s="663" t="s">
        <v>1915</v>
      </c>
      <c r="DD222" s="529" t="s">
        <v>1428</v>
      </c>
    </row>
    <row r="223" spans="1:108" ht="12.75" x14ac:dyDescent="0.2">
      <c r="A223" s="664">
        <v>216</v>
      </c>
      <c r="B223" s="665" t="s">
        <v>309</v>
      </c>
      <c r="C223" s="666" t="s">
        <v>1217</v>
      </c>
      <c r="D223" s="667" t="s">
        <v>1228</v>
      </c>
      <c r="E223" s="668" t="s">
        <v>308</v>
      </c>
      <c r="F223" s="750">
        <v>100921747</v>
      </c>
      <c r="G223" s="751">
        <v>0</v>
      </c>
      <c r="H223" s="751">
        <v>130000</v>
      </c>
      <c r="I223" s="751">
        <v>423774</v>
      </c>
      <c r="J223" s="751">
        <v>0</v>
      </c>
      <c r="K223" s="751">
        <v>423774</v>
      </c>
      <c r="L223" s="751">
        <v>0</v>
      </c>
      <c r="M223" s="751">
        <v>0</v>
      </c>
      <c r="N223" s="751">
        <v>0</v>
      </c>
      <c r="O223" s="751">
        <v>0</v>
      </c>
      <c r="P223" s="751">
        <v>0</v>
      </c>
      <c r="Q223" s="751">
        <v>0</v>
      </c>
      <c r="R223" s="751">
        <v>100367973</v>
      </c>
      <c r="S223" s="749">
        <v>0</v>
      </c>
      <c r="T223" s="749">
        <v>0.99</v>
      </c>
      <c r="U223" s="749">
        <v>0</v>
      </c>
      <c r="V223" s="749">
        <v>0.01</v>
      </c>
      <c r="W223" s="749">
        <v>1</v>
      </c>
      <c r="X223" s="751">
        <v>0</v>
      </c>
      <c r="Y223" s="751">
        <v>99364293</v>
      </c>
      <c r="Z223" s="751">
        <v>0</v>
      </c>
      <c r="AA223" s="751">
        <v>1003680</v>
      </c>
      <c r="AB223" s="751">
        <v>100367973</v>
      </c>
      <c r="AC223" s="751">
        <v>0</v>
      </c>
      <c r="AD223" s="751">
        <v>0</v>
      </c>
      <c r="AE223" s="751">
        <v>0</v>
      </c>
      <c r="AF223" s="751">
        <v>99364293</v>
      </c>
      <c r="AG223" s="751">
        <v>0</v>
      </c>
      <c r="AH223" s="751">
        <v>1003680</v>
      </c>
      <c r="AI223" s="751">
        <v>100367973</v>
      </c>
      <c r="AJ223" s="751">
        <v>423774</v>
      </c>
      <c r="AK223" s="751">
        <v>423774</v>
      </c>
      <c r="AL223" s="751">
        <v>0</v>
      </c>
      <c r="AM223" s="751">
        <v>0</v>
      </c>
      <c r="AN223" s="751">
        <v>0</v>
      </c>
      <c r="AO223" s="751">
        <v>0</v>
      </c>
      <c r="AP223" s="751">
        <v>0</v>
      </c>
      <c r="AQ223" s="751">
        <v>0</v>
      </c>
      <c r="AR223" s="751">
        <v>0</v>
      </c>
      <c r="AS223" s="751">
        <v>0</v>
      </c>
      <c r="AT223" s="751">
        <v>0</v>
      </c>
      <c r="AU223" s="751">
        <v>0</v>
      </c>
      <c r="AV223" s="751">
        <v>0</v>
      </c>
      <c r="AW223" s="751">
        <v>0</v>
      </c>
      <c r="AX223" s="751">
        <v>0</v>
      </c>
      <c r="AY223" s="751">
        <v>0</v>
      </c>
      <c r="AZ223" s="751">
        <v>0</v>
      </c>
      <c r="BA223" s="751">
        <v>0</v>
      </c>
      <c r="BB223" s="751">
        <v>0</v>
      </c>
      <c r="BC223" s="751">
        <v>0</v>
      </c>
      <c r="BD223" s="751">
        <v>-42396445</v>
      </c>
      <c r="BE223" s="751">
        <v>0</v>
      </c>
      <c r="BF223" s="751">
        <v>-428247</v>
      </c>
      <c r="BG223" s="751">
        <v>-42824692</v>
      </c>
      <c r="BH223" s="751">
        <v>0</v>
      </c>
      <c r="BI223" s="751">
        <v>57391622</v>
      </c>
      <c r="BJ223" s="751">
        <v>0</v>
      </c>
      <c r="BK223" s="751">
        <v>575433</v>
      </c>
      <c r="BL223" s="751">
        <v>57967055</v>
      </c>
      <c r="BM223" s="751">
        <v>5177298</v>
      </c>
      <c r="BN223" s="751">
        <v>0</v>
      </c>
      <c r="BO223" s="751">
        <v>52296</v>
      </c>
      <c r="BP223" s="751">
        <v>5229594</v>
      </c>
      <c r="BQ223" s="751">
        <v>10094190</v>
      </c>
      <c r="BR223" s="751">
        <v>0</v>
      </c>
      <c r="BS223" s="751">
        <v>101962</v>
      </c>
      <c r="BT223" s="751">
        <v>10196152</v>
      </c>
      <c r="BU223" s="751">
        <v>481085</v>
      </c>
      <c r="BV223" s="751">
        <v>0</v>
      </c>
      <c r="BW223" s="751">
        <v>4859</v>
      </c>
      <c r="BX223" s="751">
        <v>485944</v>
      </c>
      <c r="BY223" s="751">
        <v>104158</v>
      </c>
      <c r="BZ223" s="751">
        <v>0</v>
      </c>
      <c r="CA223" s="751">
        <v>1052</v>
      </c>
      <c r="CB223" s="751">
        <v>105210</v>
      </c>
      <c r="CC223" s="751">
        <v>0</v>
      </c>
      <c r="CD223" s="751">
        <v>0</v>
      </c>
      <c r="CE223" s="751">
        <v>0</v>
      </c>
      <c r="CF223" s="751">
        <v>0</v>
      </c>
      <c r="CG223" s="751">
        <v>46872</v>
      </c>
      <c r="CH223" s="751">
        <v>0</v>
      </c>
      <c r="CI223" s="751">
        <v>473</v>
      </c>
      <c r="CJ223" s="751">
        <v>47345</v>
      </c>
      <c r="CK223" s="751">
        <v>0</v>
      </c>
      <c r="CL223" s="751">
        <v>0</v>
      </c>
      <c r="CM223" s="751">
        <v>0</v>
      </c>
      <c r="CN223" s="751">
        <v>0</v>
      </c>
      <c r="CO223" s="751">
        <v>0</v>
      </c>
      <c r="CP223" s="751">
        <v>0</v>
      </c>
      <c r="CQ223" s="751">
        <v>0</v>
      </c>
      <c r="CR223" s="751">
        <v>0</v>
      </c>
      <c r="CS223" s="751">
        <v>0</v>
      </c>
      <c r="CT223" s="751">
        <v>0</v>
      </c>
      <c r="CU223" s="751">
        <v>0</v>
      </c>
      <c r="CV223" s="751">
        <v>0</v>
      </c>
      <c r="CW223" s="751">
        <v>15903603</v>
      </c>
      <c r="CX223" s="751">
        <v>0</v>
      </c>
      <c r="CY223" s="751">
        <v>160642</v>
      </c>
      <c r="CZ223" s="751">
        <v>16064245</v>
      </c>
      <c r="DA223" s="662" t="s">
        <v>308</v>
      </c>
      <c r="DB223" s="324" t="s">
        <v>570</v>
      </c>
      <c r="DC223" s="663" t="s">
        <v>574</v>
      </c>
      <c r="DD223" s="529" t="s">
        <v>1429</v>
      </c>
    </row>
    <row r="224" spans="1:108" ht="12.75" x14ac:dyDescent="0.2">
      <c r="A224" s="664">
        <v>217</v>
      </c>
      <c r="B224" s="665" t="s">
        <v>311</v>
      </c>
      <c r="C224" s="666" t="s">
        <v>1201</v>
      </c>
      <c r="D224" s="667" t="s">
        <v>1218</v>
      </c>
      <c r="E224" s="668" t="s">
        <v>310</v>
      </c>
      <c r="F224" s="750">
        <v>35374319</v>
      </c>
      <c r="G224" s="751">
        <v>269740</v>
      </c>
      <c r="H224" s="751">
        <v>0</v>
      </c>
      <c r="I224" s="751">
        <v>275185</v>
      </c>
      <c r="J224" s="751">
        <v>0</v>
      </c>
      <c r="K224" s="751">
        <v>275185</v>
      </c>
      <c r="L224" s="751">
        <v>0</v>
      </c>
      <c r="M224" s="751">
        <v>0</v>
      </c>
      <c r="N224" s="751">
        <v>5000</v>
      </c>
      <c r="O224" s="751">
        <v>5000</v>
      </c>
      <c r="P224" s="751">
        <v>0</v>
      </c>
      <c r="Q224" s="751">
        <v>0</v>
      </c>
      <c r="R224" s="751">
        <v>35363874</v>
      </c>
      <c r="S224" s="749">
        <v>0.5</v>
      </c>
      <c r="T224" s="749">
        <v>0.4</v>
      </c>
      <c r="U224" s="749">
        <v>0.09</v>
      </c>
      <c r="V224" s="749">
        <v>0.01</v>
      </c>
      <c r="W224" s="749">
        <v>1</v>
      </c>
      <c r="X224" s="751">
        <v>17681936</v>
      </c>
      <c r="Y224" s="751">
        <v>14145550</v>
      </c>
      <c r="Z224" s="751">
        <v>3182749</v>
      </c>
      <c r="AA224" s="751">
        <v>353639</v>
      </c>
      <c r="AB224" s="751">
        <v>35363874</v>
      </c>
      <c r="AC224" s="751">
        <v>0</v>
      </c>
      <c r="AD224" s="751">
        <v>0</v>
      </c>
      <c r="AE224" s="751">
        <v>17681936</v>
      </c>
      <c r="AF224" s="751">
        <v>14145550</v>
      </c>
      <c r="AG224" s="751">
        <v>3182749</v>
      </c>
      <c r="AH224" s="751">
        <v>353639</v>
      </c>
      <c r="AI224" s="751">
        <v>35363874</v>
      </c>
      <c r="AJ224" s="751">
        <v>275185</v>
      </c>
      <c r="AK224" s="751">
        <v>275185</v>
      </c>
      <c r="AL224" s="751">
        <v>0</v>
      </c>
      <c r="AM224" s="751">
        <v>0</v>
      </c>
      <c r="AN224" s="751">
        <v>5000</v>
      </c>
      <c r="AO224" s="751">
        <v>0</v>
      </c>
      <c r="AP224" s="751">
        <v>5000</v>
      </c>
      <c r="AQ224" s="751">
        <v>0</v>
      </c>
      <c r="AR224" s="751">
        <v>0</v>
      </c>
      <c r="AS224" s="751">
        <v>0</v>
      </c>
      <c r="AT224" s="751">
        <v>0</v>
      </c>
      <c r="AU224" s="751">
        <v>0</v>
      </c>
      <c r="AV224" s="751">
        <v>0</v>
      </c>
      <c r="AW224" s="751">
        <v>0</v>
      </c>
      <c r="AX224" s="751">
        <v>0</v>
      </c>
      <c r="AY224" s="751">
        <v>0</v>
      </c>
      <c r="AZ224" s="751">
        <v>0</v>
      </c>
      <c r="BA224" s="751">
        <v>0</v>
      </c>
      <c r="BB224" s="751">
        <v>0</v>
      </c>
      <c r="BC224" s="751">
        <v>-10928946</v>
      </c>
      <c r="BD224" s="751">
        <v>-8578636</v>
      </c>
      <c r="BE224" s="751">
        <v>-1881153</v>
      </c>
      <c r="BF224" s="751">
        <v>-216048</v>
      </c>
      <c r="BG224" s="751">
        <v>-21604783</v>
      </c>
      <c r="BH224" s="751">
        <v>6752990</v>
      </c>
      <c r="BI224" s="751">
        <v>5847099</v>
      </c>
      <c r="BJ224" s="751">
        <v>1301596</v>
      </c>
      <c r="BK224" s="751">
        <v>137591</v>
      </c>
      <c r="BL224" s="751">
        <v>14039276</v>
      </c>
      <c r="BM224" s="751">
        <v>737303</v>
      </c>
      <c r="BN224" s="751">
        <v>165835</v>
      </c>
      <c r="BO224" s="751">
        <v>18426</v>
      </c>
      <c r="BP224" s="751">
        <v>921564</v>
      </c>
      <c r="BQ224" s="751">
        <v>3008422</v>
      </c>
      <c r="BR224" s="751">
        <v>676895</v>
      </c>
      <c r="BS224" s="751">
        <v>75211</v>
      </c>
      <c r="BT224" s="751">
        <v>3760528</v>
      </c>
      <c r="BU224" s="751">
        <v>91182</v>
      </c>
      <c r="BV224" s="751">
        <v>20516</v>
      </c>
      <c r="BW224" s="751">
        <v>2280</v>
      </c>
      <c r="BX224" s="751">
        <v>113978</v>
      </c>
      <c r="BY224" s="751">
        <v>42765</v>
      </c>
      <c r="BZ224" s="751">
        <v>9622</v>
      </c>
      <c r="CA224" s="751">
        <v>1069</v>
      </c>
      <c r="CB224" s="751">
        <v>53456</v>
      </c>
      <c r="CC224" s="751">
        <v>11567</v>
      </c>
      <c r="CD224" s="751">
        <v>2602</v>
      </c>
      <c r="CE224" s="751">
        <v>289</v>
      </c>
      <c r="CF224" s="751">
        <v>14458</v>
      </c>
      <c r="CG224" s="751">
        <v>24789</v>
      </c>
      <c r="CH224" s="751">
        <v>5577</v>
      </c>
      <c r="CI224" s="751">
        <v>620</v>
      </c>
      <c r="CJ224" s="751">
        <v>30986</v>
      </c>
      <c r="CK224" s="751">
        <v>0</v>
      </c>
      <c r="CL224" s="751">
        <v>0</v>
      </c>
      <c r="CM224" s="751">
        <v>0</v>
      </c>
      <c r="CN224" s="751">
        <v>0</v>
      </c>
      <c r="CO224" s="751">
        <v>0</v>
      </c>
      <c r="CP224" s="751">
        <v>0</v>
      </c>
      <c r="CQ224" s="751">
        <v>0</v>
      </c>
      <c r="CR224" s="751">
        <v>0</v>
      </c>
      <c r="CS224" s="751">
        <v>631</v>
      </c>
      <c r="CT224" s="751">
        <v>142</v>
      </c>
      <c r="CU224" s="751">
        <v>16</v>
      </c>
      <c r="CV224" s="751">
        <v>789</v>
      </c>
      <c r="CW224" s="751">
        <v>3916659</v>
      </c>
      <c r="CX224" s="751">
        <v>881189</v>
      </c>
      <c r="CY224" s="751">
        <v>97911</v>
      </c>
      <c r="CZ224" s="751">
        <v>4895759</v>
      </c>
      <c r="DA224" s="662" t="s">
        <v>310</v>
      </c>
      <c r="DB224" s="324" t="s">
        <v>556</v>
      </c>
      <c r="DC224" s="663" t="s">
        <v>555</v>
      </c>
      <c r="DD224" s="529" t="s">
        <v>1430</v>
      </c>
    </row>
    <row r="225" spans="1:108" ht="12.75" x14ac:dyDescent="0.2">
      <c r="A225" s="664">
        <v>218</v>
      </c>
      <c r="B225" s="665" t="s">
        <v>313</v>
      </c>
      <c r="C225" s="666" t="s">
        <v>1201</v>
      </c>
      <c r="D225" s="667" t="s">
        <v>1224</v>
      </c>
      <c r="E225" s="668" t="s">
        <v>312</v>
      </c>
      <c r="F225" s="750">
        <v>43197235</v>
      </c>
      <c r="G225" s="751">
        <v>0</v>
      </c>
      <c r="H225" s="751">
        <v>121167</v>
      </c>
      <c r="I225" s="751">
        <v>170213</v>
      </c>
      <c r="J225" s="751">
        <v>0</v>
      </c>
      <c r="K225" s="751">
        <v>170213</v>
      </c>
      <c r="L225" s="751">
        <v>0</v>
      </c>
      <c r="M225" s="751">
        <v>0</v>
      </c>
      <c r="N225" s="751">
        <v>227004</v>
      </c>
      <c r="O225" s="751">
        <v>227004</v>
      </c>
      <c r="P225" s="751">
        <v>0</v>
      </c>
      <c r="Q225" s="751">
        <v>0</v>
      </c>
      <c r="R225" s="751">
        <v>42678851</v>
      </c>
      <c r="S225" s="749">
        <v>0.5</v>
      </c>
      <c r="T225" s="749">
        <v>0.4</v>
      </c>
      <c r="U225" s="749">
        <v>0.09</v>
      </c>
      <c r="V225" s="749">
        <v>0.01</v>
      </c>
      <c r="W225" s="749">
        <v>1</v>
      </c>
      <c r="X225" s="751">
        <v>21339425</v>
      </c>
      <c r="Y225" s="751">
        <v>17071540</v>
      </c>
      <c r="Z225" s="751">
        <v>3841097</v>
      </c>
      <c r="AA225" s="751">
        <v>426789</v>
      </c>
      <c r="AB225" s="751">
        <v>42678851</v>
      </c>
      <c r="AC225" s="751">
        <v>0</v>
      </c>
      <c r="AD225" s="751">
        <v>0</v>
      </c>
      <c r="AE225" s="751">
        <v>21339425</v>
      </c>
      <c r="AF225" s="751">
        <v>17071540</v>
      </c>
      <c r="AG225" s="751">
        <v>3841097</v>
      </c>
      <c r="AH225" s="751">
        <v>426789</v>
      </c>
      <c r="AI225" s="751">
        <v>42678851</v>
      </c>
      <c r="AJ225" s="751">
        <v>170213</v>
      </c>
      <c r="AK225" s="751">
        <v>170213</v>
      </c>
      <c r="AL225" s="751">
        <v>0</v>
      </c>
      <c r="AM225" s="751">
        <v>0</v>
      </c>
      <c r="AN225" s="751">
        <v>227004</v>
      </c>
      <c r="AO225" s="751">
        <v>0</v>
      </c>
      <c r="AP225" s="751">
        <v>227004</v>
      </c>
      <c r="AQ225" s="751">
        <v>0</v>
      </c>
      <c r="AR225" s="751">
        <v>0</v>
      </c>
      <c r="AS225" s="751">
        <v>0</v>
      </c>
      <c r="AT225" s="751">
        <v>0</v>
      </c>
      <c r="AU225" s="751">
        <v>0</v>
      </c>
      <c r="AV225" s="751">
        <v>0</v>
      </c>
      <c r="AW225" s="751">
        <v>0</v>
      </c>
      <c r="AX225" s="751">
        <v>0</v>
      </c>
      <c r="AY225" s="751">
        <v>0</v>
      </c>
      <c r="AZ225" s="751">
        <v>0</v>
      </c>
      <c r="BA225" s="751">
        <v>0</v>
      </c>
      <c r="BB225" s="751">
        <v>0</v>
      </c>
      <c r="BC225" s="751">
        <v>-9816885</v>
      </c>
      <c r="BD225" s="751">
        <v>-7911865</v>
      </c>
      <c r="BE225" s="751">
        <v>-1829044</v>
      </c>
      <c r="BF225" s="751">
        <v>-197553</v>
      </c>
      <c r="BG225" s="751">
        <v>-19755348</v>
      </c>
      <c r="BH225" s="751">
        <v>11522540</v>
      </c>
      <c r="BI225" s="751">
        <v>9556892</v>
      </c>
      <c r="BJ225" s="751">
        <v>2012053</v>
      </c>
      <c r="BK225" s="751">
        <v>229236</v>
      </c>
      <c r="BL225" s="751">
        <v>23320720</v>
      </c>
      <c r="BM225" s="751">
        <v>901327</v>
      </c>
      <c r="BN225" s="751">
        <v>200137</v>
      </c>
      <c r="BO225" s="751">
        <v>22238</v>
      </c>
      <c r="BP225" s="751">
        <v>1123702</v>
      </c>
      <c r="BQ225" s="751">
        <v>1479752</v>
      </c>
      <c r="BR225" s="751">
        <v>332527</v>
      </c>
      <c r="BS225" s="751">
        <v>36947</v>
      </c>
      <c r="BT225" s="751">
        <v>1849226</v>
      </c>
      <c r="BU225" s="751">
        <v>80194</v>
      </c>
      <c r="BV225" s="751">
        <v>18044</v>
      </c>
      <c r="BW225" s="751">
        <v>2005</v>
      </c>
      <c r="BX225" s="751">
        <v>100243</v>
      </c>
      <c r="BY225" s="751">
        <v>0</v>
      </c>
      <c r="BZ225" s="751">
        <v>0</v>
      </c>
      <c r="CA225" s="751">
        <v>0</v>
      </c>
      <c r="CB225" s="751">
        <v>0</v>
      </c>
      <c r="CC225" s="751">
        <v>19743</v>
      </c>
      <c r="CD225" s="751">
        <v>4442</v>
      </c>
      <c r="CE225" s="751">
        <v>494</v>
      </c>
      <c r="CF225" s="751">
        <v>24679</v>
      </c>
      <c r="CG225" s="751">
        <v>27091</v>
      </c>
      <c r="CH225" s="751">
        <v>6096</v>
      </c>
      <c r="CI225" s="751">
        <v>677</v>
      </c>
      <c r="CJ225" s="751">
        <v>33864</v>
      </c>
      <c r="CK225" s="751">
        <v>0</v>
      </c>
      <c r="CL225" s="751">
        <v>0</v>
      </c>
      <c r="CM225" s="751">
        <v>0</v>
      </c>
      <c r="CN225" s="751">
        <v>0</v>
      </c>
      <c r="CO225" s="751">
        <v>0</v>
      </c>
      <c r="CP225" s="751">
        <v>0</v>
      </c>
      <c r="CQ225" s="751">
        <v>0</v>
      </c>
      <c r="CR225" s="751">
        <v>0</v>
      </c>
      <c r="CS225" s="751">
        <v>0</v>
      </c>
      <c r="CT225" s="751">
        <v>0</v>
      </c>
      <c r="CU225" s="751">
        <v>0</v>
      </c>
      <c r="CV225" s="751">
        <v>0</v>
      </c>
      <c r="CW225" s="751">
        <v>2508107</v>
      </c>
      <c r="CX225" s="751">
        <v>561246</v>
      </c>
      <c r="CY225" s="751">
        <v>62361</v>
      </c>
      <c r="CZ225" s="751">
        <v>3131714</v>
      </c>
      <c r="DA225" s="662" t="s">
        <v>312</v>
      </c>
      <c r="DB225" s="324" t="s">
        <v>562</v>
      </c>
      <c r="DC225" s="663" t="s">
        <v>519</v>
      </c>
      <c r="DD225" s="529" t="s">
        <v>1431</v>
      </c>
    </row>
    <row r="226" spans="1:108" ht="12.75" x14ac:dyDescent="0.2">
      <c r="A226" s="664">
        <v>219</v>
      </c>
      <c r="B226" s="665" t="s">
        <v>315</v>
      </c>
      <c r="C226" s="666" t="s">
        <v>1217</v>
      </c>
      <c r="D226" s="667" t="s">
        <v>1204</v>
      </c>
      <c r="E226" s="668" t="s">
        <v>314</v>
      </c>
      <c r="F226" s="750">
        <v>68973397</v>
      </c>
      <c r="G226" s="751">
        <v>0</v>
      </c>
      <c r="H226" s="751">
        <v>65369</v>
      </c>
      <c r="I226" s="751">
        <v>302502</v>
      </c>
      <c r="J226" s="751">
        <v>0</v>
      </c>
      <c r="K226" s="751">
        <v>302502</v>
      </c>
      <c r="L226" s="751">
        <v>0</v>
      </c>
      <c r="M226" s="751">
        <v>0</v>
      </c>
      <c r="N226" s="751">
        <v>0</v>
      </c>
      <c r="O226" s="751">
        <v>0</v>
      </c>
      <c r="P226" s="751">
        <v>0</v>
      </c>
      <c r="Q226" s="751">
        <v>0</v>
      </c>
      <c r="R226" s="751">
        <v>68605526</v>
      </c>
      <c r="S226" s="749">
        <v>0</v>
      </c>
      <c r="T226" s="749">
        <v>0.99</v>
      </c>
      <c r="U226" s="749">
        <v>0</v>
      </c>
      <c r="V226" s="749">
        <v>0.01</v>
      </c>
      <c r="W226" s="749">
        <v>1</v>
      </c>
      <c r="X226" s="751">
        <v>0</v>
      </c>
      <c r="Y226" s="751">
        <v>67919471</v>
      </c>
      <c r="Z226" s="751">
        <v>0</v>
      </c>
      <c r="AA226" s="751">
        <v>686055</v>
      </c>
      <c r="AB226" s="751">
        <v>68605526</v>
      </c>
      <c r="AC226" s="751">
        <v>0</v>
      </c>
      <c r="AD226" s="751">
        <v>0</v>
      </c>
      <c r="AE226" s="751">
        <v>0</v>
      </c>
      <c r="AF226" s="751">
        <v>67919471</v>
      </c>
      <c r="AG226" s="751">
        <v>0</v>
      </c>
      <c r="AH226" s="751">
        <v>686055</v>
      </c>
      <c r="AI226" s="751">
        <v>68605526</v>
      </c>
      <c r="AJ226" s="751">
        <v>302502</v>
      </c>
      <c r="AK226" s="751">
        <v>302502</v>
      </c>
      <c r="AL226" s="751">
        <v>0</v>
      </c>
      <c r="AM226" s="751">
        <v>0</v>
      </c>
      <c r="AN226" s="751">
        <v>0</v>
      </c>
      <c r="AO226" s="751">
        <v>0</v>
      </c>
      <c r="AP226" s="751">
        <v>0</v>
      </c>
      <c r="AQ226" s="751">
        <v>0</v>
      </c>
      <c r="AR226" s="751">
        <v>0</v>
      </c>
      <c r="AS226" s="751">
        <v>0</v>
      </c>
      <c r="AT226" s="751">
        <v>0</v>
      </c>
      <c r="AU226" s="751">
        <v>0</v>
      </c>
      <c r="AV226" s="751">
        <v>0</v>
      </c>
      <c r="AW226" s="751">
        <v>0</v>
      </c>
      <c r="AX226" s="751">
        <v>0</v>
      </c>
      <c r="AY226" s="751">
        <v>0</v>
      </c>
      <c r="AZ226" s="751">
        <v>0</v>
      </c>
      <c r="BA226" s="751">
        <v>0</v>
      </c>
      <c r="BB226" s="751">
        <v>0</v>
      </c>
      <c r="BC226" s="751">
        <v>0</v>
      </c>
      <c r="BD226" s="751">
        <v>-38814287</v>
      </c>
      <c r="BE226" s="751">
        <v>0</v>
      </c>
      <c r="BF226" s="751">
        <v>-392064</v>
      </c>
      <c r="BG226" s="751">
        <v>-39206350</v>
      </c>
      <c r="BH226" s="751">
        <v>0</v>
      </c>
      <c r="BI226" s="751">
        <v>29407686</v>
      </c>
      <c r="BJ226" s="751">
        <v>0</v>
      </c>
      <c r="BK226" s="751">
        <v>293991</v>
      </c>
      <c r="BL226" s="751">
        <v>29701678</v>
      </c>
      <c r="BM226" s="751">
        <v>3538890</v>
      </c>
      <c r="BN226" s="751">
        <v>0</v>
      </c>
      <c r="BO226" s="751">
        <v>35746</v>
      </c>
      <c r="BP226" s="751">
        <v>3574636</v>
      </c>
      <c r="BQ226" s="751">
        <v>6926671</v>
      </c>
      <c r="BR226" s="751">
        <v>0</v>
      </c>
      <c r="BS226" s="751">
        <v>69966</v>
      </c>
      <c r="BT226" s="751">
        <v>6996637</v>
      </c>
      <c r="BU226" s="751">
        <v>317669</v>
      </c>
      <c r="BV226" s="751">
        <v>0</v>
      </c>
      <c r="BW226" s="751">
        <v>3209</v>
      </c>
      <c r="BX226" s="751">
        <v>320878</v>
      </c>
      <c r="BY226" s="751">
        <v>18749</v>
      </c>
      <c r="BZ226" s="751">
        <v>0</v>
      </c>
      <c r="CA226" s="751">
        <v>189</v>
      </c>
      <c r="CB226" s="751">
        <v>18938</v>
      </c>
      <c r="CC226" s="751">
        <v>650</v>
      </c>
      <c r="CD226" s="751">
        <v>0</v>
      </c>
      <c r="CE226" s="751">
        <v>7</v>
      </c>
      <c r="CF226" s="751">
        <v>657</v>
      </c>
      <c r="CG226" s="751">
        <v>32883</v>
      </c>
      <c r="CH226" s="751">
        <v>0</v>
      </c>
      <c r="CI226" s="751">
        <v>332</v>
      </c>
      <c r="CJ226" s="751">
        <v>33215</v>
      </c>
      <c r="CK226" s="751">
        <v>0</v>
      </c>
      <c r="CL226" s="751">
        <v>0</v>
      </c>
      <c r="CM226" s="751">
        <v>0</v>
      </c>
      <c r="CN226" s="751">
        <v>0</v>
      </c>
      <c r="CO226" s="751">
        <v>0</v>
      </c>
      <c r="CP226" s="751">
        <v>0</v>
      </c>
      <c r="CQ226" s="751">
        <v>0</v>
      </c>
      <c r="CR226" s="751">
        <v>0</v>
      </c>
      <c r="CS226" s="751">
        <v>1562</v>
      </c>
      <c r="CT226" s="751">
        <v>0</v>
      </c>
      <c r="CU226" s="751">
        <v>16</v>
      </c>
      <c r="CV226" s="751">
        <v>1578</v>
      </c>
      <c r="CW226" s="751">
        <v>10837074</v>
      </c>
      <c r="CX226" s="751">
        <v>0</v>
      </c>
      <c r="CY226" s="751">
        <v>109465</v>
      </c>
      <c r="CZ226" s="751">
        <v>10946539</v>
      </c>
      <c r="DA226" s="662" t="s">
        <v>314</v>
      </c>
      <c r="DB226" s="324" t="s">
        <v>570</v>
      </c>
      <c r="DC226" s="663" t="s">
        <v>571</v>
      </c>
      <c r="DD226" s="529" t="s">
        <v>1432</v>
      </c>
    </row>
    <row r="227" spans="1:108" ht="12.75" x14ac:dyDescent="0.2">
      <c r="A227" s="664">
        <v>220</v>
      </c>
      <c r="B227" s="665" t="s">
        <v>317</v>
      </c>
      <c r="C227" s="666" t="s">
        <v>1201</v>
      </c>
      <c r="D227" s="667" t="s">
        <v>1218</v>
      </c>
      <c r="E227" s="668" t="s">
        <v>316</v>
      </c>
      <c r="F227" s="750">
        <v>37305504</v>
      </c>
      <c r="G227" s="751">
        <v>0</v>
      </c>
      <c r="H227" s="751">
        <v>180924</v>
      </c>
      <c r="I227" s="751">
        <v>110424</v>
      </c>
      <c r="J227" s="751">
        <v>0</v>
      </c>
      <c r="K227" s="751">
        <v>110424</v>
      </c>
      <c r="L227" s="751">
        <v>0</v>
      </c>
      <c r="M227" s="751">
        <v>0</v>
      </c>
      <c r="N227" s="751">
        <v>9013151</v>
      </c>
      <c r="O227" s="751">
        <v>9013151</v>
      </c>
      <c r="P227" s="751">
        <v>0</v>
      </c>
      <c r="Q227" s="751">
        <v>0</v>
      </c>
      <c r="R227" s="751">
        <v>28001005</v>
      </c>
      <c r="S227" s="749">
        <v>0.5</v>
      </c>
      <c r="T227" s="749">
        <v>0.4</v>
      </c>
      <c r="U227" s="749">
        <v>0.09</v>
      </c>
      <c r="V227" s="749">
        <v>0.01</v>
      </c>
      <c r="W227" s="749">
        <v>1</v>
      </c>
      <c r="X227" s="751">
        <v>14000503</v>
      </c>
      <c r="Y227" s="751">
        <v>11200402</v>
      </c>
      <c r="Z227" s="751">
        <v>2520090</v>
      </c>
      <c r="AA227" s="751">
        <v>280010</v>
      </c>
      <c r="AB227" s="751">
        <v>28001005</v>
      </c>
      <c r="AC227" s="751">
        <v>0</v>
      </c>
      <c r="AD227" s="751">
        <v>0</v>
      </c>
      <c r="AE227" s="751">
        <v>14000503</v>
      </c>
      <c r="AF227" s="751">
        <v>11200402</v>
      </c>
      <c r="AG227" s="751">
        <v>2520090</v>
      </c>
      <c r="AH227" s="751">
        <v>280010</v>
      </c>
      <c r="AI227" s="751">
        <v>28001005</v>
      </c>
      <c r="AJ227" s="751">
        <v>110424</v>
      </c>
      <c r="AK227" s="751">
        <v>110424</v>
      </c>
      <c r="AL227" s="751">
        <v>0</v>
      </c>
      <c r="AM227" s="751">
        <v>0</v>
      </c>
      <c r="AN227" s="751">
        <v>9013151</v>
      </c>
      <c r="AO227" s="751">
        <v>0</v>
      </c>
      <c r="AP227" s="751">
        <v>9013151</v>
      </c>
      <c r="AQ227" s="751">
        <v>0</v>
      </c>
      <c r="AR227" s="751">
        <v>0</v>
      </c>
      <c r="AS227" s="751">
        <v>0</v>
      </c>
      <c r="AT227" s="751">
        <v>0</v>
      </c>
      <c r="AU227" s="751">
        <v>0</v>
      </c>
      <c r="AV227" s="751">
        <v>0</v>
      </c>
      <c r="AW227" s="751">
        <v>0</v>
      </c>
      <c r="AX227" s="751">
        <v>0</v>
      </c>
      <c r="AY227" s="751">
        <v>0</v>
      </c>
      <c r="AZ227" s="751">
        <v>0</v>
      </c>
      <c r="BA227" s="751">
        <v>0</v>
      </c>
      <c r="BB227" s="751">
        <v>0</v>
      </c>
      <c r="BC227" s="751">
        <v>-3724703</v>
      </c>
      <c r="BD227" s="751">
        <v>-3270889</v>
      </c>
      <c r="BE227" s="751">
        <v>-822728</v>
      </c>
      <c r="BF227" s="751">
        <v>-78973</v>
      </c>
      <c r="BG227" s="751">
        <v>-7897293</v>
      </c>
      <c r="BH227" s="751">
        <v>10275800</v>
      </c>
      <c r="BI227" s="751">
        <v>17053088</v>
      </c>
      <c r="BJ227" s="751">
        <v>1697362</v>
      </c>
      <c r="BK227" s="751">
        <v>201037</v>
      </c>
      <c r="BL227" s="751">
        <v>29227287</v>
      </c>
      <c r="BM227" s="751">
        <v>1053211</v>
      </c>
      <c r="BN227" s="751">
        <v>131307</v>
      </c>
      <c r="BO227" s="751">
        <v>14590</v>
      </c>
      <c r="BP227" s="751">
        <v>1199108</v>
      </c>
      <c r="BQ227" s="751">
        <v>936200</v>
      </c>
      <c r="BR227" s="751">
        <v>210645</v>
      </c>
      <c r="BS227" s="751">
        <v>23405</v>
      </c>
      <c r="BT227" s="751">
        <v>1170250</v>
      </c>
      <c r="BU227" s="751">
        <v>49947</v>
      </c>
      <c r="BV227" s="751">
        <v>11238</v>
      </c>
      <c r="BW227" s="751">
        <v>1249</v>
      </c>
      <c r="BX227" s="751">
        <v>62434</v>
      </c>
      <c r="BY227" s="751">
        <v>3291</v>
      </c>
      <c r="BZ227" s="751">
        <v>740</v>
      </c>
      <c r="CA227" s="751">
        <v>82</v>
      </c>
      <c r="CB227" s="751">
        <v>4113</v>
      </c>
      <c r="CC227" s="751">
        <v>4277</v>
      </c>
      <c r="CD227" s="751">
        <v>962</v>
      </c>
      <c r="CE227" s="751">
        <v>107</v>
      </c>
      <c r="CF227" s="751">
        <v>5346</v>
      </c>
      <c r="CG227" s="751">
        <v>14875</v>
      </c>
      <c r="CH227" s="751">
        <v>3347</v>
      </c>
      <c r="CI227" s="751">
        <v>372</v>
      </c>
      <c r="CJ227" s="751">
        <v>18594</v>
      </c>
      <c r="CK227" s="751">
        <v>0</v>
      </c>
      <c r="CL227" s="751">
        <v>0</v>
      </c>
      <c r="CM227" s="751">
        <v>0</v>
      </c>
      <c r="CN227" s="751">
        <v>0</v>
      </c>
      <c r="CO227" s="751">
        <v>0</v>
      </c>
      <c r="CP227" s="751">
        <v>0</v>
      </c>
      <c r="CQ227" s="751">
        <v>0</v>
      </c>
      <c r="CR227" s="751">
        <v>0</v>
      </c>
      <c r="CS227" s="751">
        <v>631</v>
      </c>
      <c r="CT227" s="751">
        <v>142</v>
      </c>
      <c r="CU227" s="751">
        <v>16</v>
      </c>
      <c r="CV227" s="751">
        <v>789</v>
      </c>
      <c r="CW227" s="751">
        <v>2062432</v>
      </c>
      <c r="CX227" s="751">
        <v>358381</v>
      </c>
      <c r="CY227" s="751">
        <v>39821</v>
      </c>
      <c r="CZ227" s="751">
        <v>2460634</v>
      </c>
      <c r="DA227" s="662" t="s">
        <v>316</v>
      </c>
      <c r="DB227" s="324" t="s">
        <v>556</v>
      </c>
      <c r="DC227" s="663" t="s">
        <v>555</v>
      </c>
      <c r="DD227" s="529" t="s">
        <v>1433</v>
      </c>
    </row>
    <row r="228" spans="1:108" ht="12.75" x14ac:dyDescent="0.2">
      <c r="A228" s="664">
        <v>221</v>
      </c>
      <c r="B228" s="665" t="s">
        <v>319</v>
      </c>
      <c r="C228" s="666" t="s">
        <v>1201</v>
      </c>
      <c r="D228" s="667" t="s">
        <v>1202</v>
      </c>
      <c r="E228" s="668" t="s">
        <v>318</v>
      </c>
      <c r="F228" s="750">
        <v>36626652</v>
      </c>
      <c r="G228" s="751">
        <v>50716</v>
      </c>
      <c r="H228" s="751">
        <v>0</v>
      </c>
      <c r="I228" s="751">
        <v>167299</v>
      </c>
      <c r="J228" s="751">
        <v>0</v>
      </c>
      <c r="K228" s="751">
        <v>167299</v>
      </c>
      <c r="L228" s="751">
        <v>0</v>
      </c>
      <c r="M228" s="751">
        <v>0</v>
      </c>
      <c r="N228" s="751">
        <v>0</v>
      </c>
      <c r="O228" s="751">
        <v>0</v>
      </c>
      <c r="P228" s="751">
        <v>0</v>
      </c>
      <c r="Q228" s="751">
        <v>0</v>
      </c>
      <c r="R228" s="751">
        <v>36510069</v>
      </c>
      <c r="S228" s="749">
        <v>0.5</v>
      </c>
      <c r="T228" s="749">
        <v>0.4</v>
      </c>
      <c r="U228" s="749">
        <v>0.09</v>
      </c>
      <c r="V228" s="749">
        <v>0.01</v>
      </c>
      <c r="W228" s="749">
        <v>1</v>
      </c>
      <c r="X228" s="751">
        <v>18255034</v>
      </c>
      <c r="Y228" s="751">
        <v>14604028</v>
      </c>
      <c r="Z228" s="751">
        <v>3285906</v>
      </c>
      <c r="AA228" s="751">
        <v>365101</v>
      </c>
      <c r="AB228" s="751">
        <v>36510069</v>
      </c>
      <c r="AC228" s="751">
        <v>0</v>
      </c>
      <c r="AD228" s="751">
        <v>0</v>
      </c>
      <c r="AE228" s="751">
        <v>18255034</v>
      </c>
      <c r="AF228" s="751">
        <v>14604028</v>
      </c>
      <c r="AG228" s="751">
        <v>3285906</v>
      </c>
      <c r="AH228" s="751">
        <v>365101</v>
      </c>
      <c r="AI228" s="751">
        <v>36510069</v>
      </c>
      <c r="AJ228" s="751">
        <v>167299</v>
      </c>
      <c r="AK228" s="751">
        <v>167299</v>
      </c>
      <c r="AL228" s="751">
        <v>0</v>
      </c>
      <c r="AM228" s="751">
        <v>0</v>
      </c>
      <c r="AN228" s="751">
        <v>0</v>
      </c>
      <c r="AO228" s="751">
        <v>0</v>
      </c>
      <c r="AP228" s="751">
        <v>0</v>
      </c>
      <c r="AQ228" s="751">
        <v>0</v>
      </c>
      <c r="AR228" s="751">
        <v>0</v>
      </c>
      <c r="AS228" s="751">
        <v>0</v>
      </c>
      <c r="AT228" s="751">
        <v>0</v>
      </c>
      <c r="AU228" s="751">
        <v>0</v>
      </c>
      <c r="AV228" s="751">
        <v>0</v>
      </c>
      <c r="AW228" s="751">
        <v>0</v>
      </c>
      <c r="AX228" s="751">
        <v>0</v>
      </c>
      <c r="AY228" s="751">
        <v>0</v>
      </c>
      <c r="AZ228" s="751">
        <v>0</v>
      </c>
      <c r="BA228" s="751">
        <v>0</v>
      </c>
      <c r="BB228" s="751">
        <v>0</v>
      </c>
      <c r="BC228" s="751">
        <v>-8443293</v>
      </c>
      <c r="BD228" s="751">
        <v>-6754634</v>
      </c>
      <c r="BE228" s="751">
        <v>-1519793</v>
      </c>
      <c r="BF228" s="751">
        <v>-168866</v>
      </c>
      <c r="BG228" s="751">
        <v>-16886585</v>
      </c>
      <c r="BH228" s="751">
        <v>9811741</v>
      </c>
      <c r="BI228" s="751">
        <v>8016693</v>
      </c>
      <c r="BJ228" s="751">
        <v>1766113</v>
      </c>
      <c r="BK228" s="751">
        <v>196235</v>
      </c>
      <c r="BL228" s="751">
        <v>19790783</v>
      </c>
      <c r="BM228" s="751">
        <v>760931</v>
      </c>
      <c r="BN228" s="751">
        <v>171210</v>
      </c>
      <c r="BO228" s="751">
        <v>19023</v>
      </c>
      <c r="BP228" s="751">
        <v>951164</v>
      </c>
      <c r="BQ228" s="751">
        <v>1444188</v>
      </c>
      <c r="BR228" s="751">
        <v>324942</v>
      </c>
      <c r="BS228" s="751">
        <v>36105</v>
      </c>
      <c r="BT228" s="751">
        <v>1805235</v>
      </c>
      <c r="BU228" s="751">
        <v>87425</v>
      </c>
      <c r="BV228" s="751">
        <v>19671</v>
      </c>
      <c r="BW228" s="751">
        <v>2186</v>
      </c>
      <c r="BX228" s="751">
        <v>109282</v>
      </c>
      <c r="BY228" s="751">
        <v>2674</v>
      </c>
      <c r="BZ228" s="751">
        <v>602</v>
      </c>
      <c r="CA228" s="751">
        <v>67</v>
      </c>
      <c r="CB228" s="751">
        <v>3343</v>
      </c>
      <c r="CC228" s="751">
        <v>5134</v>
      </c>
      <c r="CD228" s="751">
        <v>1155</v>
      </c>
      <c r="CE228" s="751">
        <v>128</v>
      </c>
      <c r="CF228" s="751">
        <v>6417</v>
      </c>
      <c r="CG228" s="751">
        <v>7936</v>
      </c>
      <c r="CH228" s="751">
        <v>1785</v>
      </c>
      <c r="CI228" s="751">
        <v>198</v>
      </c>
      <c r="CJ228" s="751">
        <v>9919</v>
      </c>
      <c r="CK228" s="751">
        <v>0</v>
      </c>
      <c r="CL228" s="751">
        <v>0</v>
      </c>
      <c r="CM228" s="751">
        <v>0</v>
      </c>
      <c r="CN228" s="751">
        <v>0</v>
      </c>
      <c r="CO228" s="751">
        <v>0</v>
      </c>
      <c r="CP228" s="751">
        <v>0</v>
      </c>
      <c r="CQ228" s="751">
        <v>0</v>
      </c>
      <c r="CR228" s="751">
        <v>0</v>
      </c>
      <c r="CS228" s="751">
        <v>0</v>
      </c>
      <c r="CT228" s="751">
        <v>0</v>
      </c>
      <c r="CU228" s="751">
        <v>0</v>
      </c>
      <c r="CV228" s="751">
        <v>0</v>
      </c>
      <c r="CW228" s="751">
        <v>2308288</v>
      </c>
      <c r="CX228" s="751">
        <v>519365</v>
      </c>
      <c r="CY228" s="751">
        <v>57707</v>
      </c>
      <c r="CZ228" s="751">
        <v>2885360</v>
      </c>
      <c r="DA228" s="662" t="s">
        <v>318</v>
      </c>
      <c r="DB228" s="324" t="s">
        <v>543</v>
      </c>
      <c r="DC228" s="663" t="s">
        <v>542</v>
      </c>
      <c r="DD228" s="529" t="s">
        <v>1434</v>
      </c>
    </row>
    <row r="229" spans="1:108" ht="12.75" x14ac:dyDescent="0.2">
      <c r="A229" s="664">
        <v>222</v>
      </c>
      <c r="B229" s="665" t="s">
        <v>321</v>
      </c>
      <c r="C229" s="666" t="s">
        <v>1217</v>
      </c>
      <c r="D229" s="667" t="s">
        <v>1218</v>
      </c>
      <c r="E229" s="668" t="s">
        <v>320</v>
      </c>
      <c r="F229" s="750">
        <v>204470124</v>
      </c>
      <c r="G229" s="751">
        <v>0</v>
      </c>
      <c r="H229" s="751">
        <v>1592473</v>
      </c>
      <c r="I229" s="751">
        <v>744267</v>
      </c>
      <c r="J229" s="751">
        <v>0</v>
      </c>
      <c r="K229" s="751">
        <v>744267</v>
      </c>
      <c r="L229" s="751">
        <v>0</v>
      </c>
      <c r="M229" s="751">
        <v>697622</v>
      </c>
      <c r="N229" s="751">
        <v>1584720</v>
      </c>
      <c r="O229" s="751">
        <v>1584720</v>
      </c>
      <c r="P229" s="751">
        <v>0</v>
      </c>
      <c r="Q229" s="751">
        <v>0</v>
      </c>
      <c r="R229" s="751">
        <v>199851042</v>
      </c>
      <c r="S229" s="749">
        <v>0.5</v>
      </c>
      <c r="T229" s="749">
        <v>0.49</v>
      </c>
      <c r="U229" s="749">
        <v>0</v>
      </c>
      <c r="V229" s="749">
        <v>0.01</v>
      </c>
      <c r="W229" s="749">
        <v>1</v>
      </c>
      <c r="X229" s="751">
        <v>99925521</v>
      </c>
      <c r="Y229" s="751">
        <v>97927011</v>
      </c>
      <c r="Z229" s="751">
        <v>0</v>
      </c>
      <c r="AA229" s="751">
        <v>1998510</v>
      </c>
      <c r="AB229" s="751">
        <v>199851042</v>
      </c>
      <c r="AC229" s="751">
        <v>0</v>
      </c>
      <c r="AD229" s="751">
        <v>0</v>
      </c>
      <c r="AE229" s="751">
        <v>99925521</v>
      </c>
      <c r="AF229" s="751">
        <v>97927011</v>
      </c>
      <c r="AG229" s="751">
        <v>0</v>
      </c>
      <c r="AH229" s="751">
        <v>1998510</v>
      </c>
      <c r="AI229" s="751">
        <v>199851042</v>
      </c>
      <c r="AJ229" s="751">
        <v>744267</v>
      </c>
      <c r="AK229" s="751">
        <v>744267</v>
      </c>
      <c r="AL229" s="751">
        <v>697622</v>
      </c>
      <c r="AM229" s="751">
        <v>697622</v>
      </c>
      <c r="AN229" s="751">
        <v>1584720</v>
      </c>
      <c r="AO229" s="751">
        <v>0</v>
      </c>
      <c r="AP229" s="751">
        <v>1584720</v>
      </c>
      <c r="AQ229" s="751">
        <v>0</v>
      </c>
      <c r="AR229" s="751">
        <v>0</v>
      </c>
      <c r="AS229" s="751">
        <v>0</v>
      </c>
      <c r="AT229" s="751">
        <v>0</v>
      </c>
      <c r="AU229" s="751">
        <v>0</v>
      </c>
      <c r="AV229" s="751">
        <v>0</v>
      </c>
      <c r="AW229" s="751">
        <v>0</v>
      </c>
      <c r="AX229" s="751">
        <v>0</v>
      </c>
      <c r="AY229" s="751">
        <v>0</v>
      </c>
      <c r="AZ229" s="751">
        <v>0</v>
      </c>
      <c r="BA229" s="751">
        <v>0</v>
      </c>
      <c r="BB229" s="751">
        <v>0</v>
      </c>
      <c r="BC229" s="751">
        <v>-45809220</v>
      </c>
      <c r="BD229" s="751">
        <v>-44893035</v>
      </c>
      <c r="BE229" s="751">
        <v>0</v>
      </c>
      <c r="BF229" s="751">
        <v>-916184</v>
      </c>
      <c r="BG229" s="751">
        <v>-91618439</v>
      </c>
      <c r="BH229" s="751">
        <v>54116302</v>
      </c>
      <c r="BI229" s="751">
        <v>56060585</v>
      </c>
      <c r="BJ229" s="751">
        <v>0</v>
      </c>
      <c r="BK229" s="751">
        <v>1082326</v>
      </c>
      <c r="BL229" s="751">
        <v>111259212</v>
      </c>
      <c r="BM229" s="751">
        <v>5221329</v>
      </c>
      <c r="BN229" s="751">
        <v>0</v>
      </c>
      <c r="BO229" s="751">
        <v>104131</v>
      </c>
      <c r="BP229" s="751">
        <v>5325460</v>
      </c>
      <c r="BQ229" s="751">
        <v>6931025</v>
      </c>
      <c r="BR229" s="751">
        <v>0</v>
      </c>
      <c r="BS229" s="751">
        <v>141121</v>
      </c>
      <c r="BT229" s="751">
        <v>7072146</v>
      </c>
      <c r="BU229" s="751">
        <v>382093</v>
      </c>
      <c r="BV229" s="751">
        <v>0</v>
      </c>
      <c r="BW229" s="751">
        <v>7766</v>
      </c>
      <c r="BX229" s="751">
        <v>389859</v>
      </c>
      <c r="BY229" s="751">
        <v>0</v>
      </c>
      <c r="BZ229" s="751">
        <v>0</v>
      </c>
      <c r="CA229" s="751">
        <v>0</v>
      </c>
      <c r="CB229" s="751">
        <v>0</v>
      </c>
      <c r="CC229" s="751">
        <v>0</v>
      </c>
      <c r="CD229" s="751">
        <v>0</v>
      </c>
      <c r="CE229" s="751">
        <v>0</v>
      </c>
      <c r="CF229" s="751">
        <v>0</v>
      </c>
      <c r="CG229" s="751">
        <v>27126</v>
      </c>
      <c r="CH229" s="751">
        <v>0</v>
      </c>
      <c r="CI229" s="751">
        <v>554</v>
      </c>
      <c r="CJ229" s="751">
        <v>27680</v>
      </c>
      <c r="CK229" s="751">
        <v>0</v>
      </c>
      <c r="CL229" s="751">
        <v>0</v>
      </c>
      <c r="CM229" s="751">
        <v>0</v>
      </c>
      <c r="CN229" s="751">
        <v>0</v>
      </c>
      <c r="CO229" s="751">
        <v>0</v>
      </c>
      <c r="CP229" s="751">
        <v>0</v>
      </c>
      <c r="CQ229" s="751">
        <v>0</v>
      </c>
      <c r="CR229" s="751">
        <v>0</v>
      </c>
      <c r="CS229" s="751">
        <v>0</v>
      </c>
      <c r="CT229" s="751">
        <v>0</v>
      </c>
      <c r="CU229" s="751">
        <v>0</v>
      </c>
      <c r="CV229" s="751">
        <v>0</v>
      </c>
      <c r="CW229" s="751">
        <v>12561573</v>
      </c>
      <c r="CX229" s="751">
        <v>0</v>
      </c>
      <c r="CY229" s="751">
        <v>253572</v>
      </c>
      <c r="CZ229" s="751">
        <v>12815145</v>
      </c>
      <c r="DA229" s="662" t="s">
        <v>320</v>
      </c>
      <c r="DB229" s="324" t="s">
        <v>570</v>
      </c>
      <c r="DC229" s="663" t="s">
        <v>572</v>
      </c>
      <c r="DD229" s="529" t="s">
        <v>1435</v>
      </c>
    </row>
    <row r="230" spans="1:108" ht="12.75" x14ac:dyDescent="0.2">
      <c r="A230" s="664">
        <v>223</v>
      </c>
      <c r="B230" s="665" t="s">
        <v>324</v>
      </c>
      <c r="C230" s="666" t="s">
        <v>486</v>
      </c>
      <c r="D230" s="667" t="s">
        <v>1228</v>
      </c>
      <c r="E230" s="668" t="s">
        <v>323</v>
      </c>
      <c r="F230" s="750">
        <v>86794233</v>
      </c>
      <c r="G230" s="751">
        <v>484909</v>
      </c>
      <c r="H230" s="751">
        <v>0</v>
      </c>
      <c r="I230" s="751">
        <v>452609</v>
      </c>
      <c r="J230" s="751">
        <v>0</v>
      </c>
      <c r="K230" s="751">
        <v>452609</v>
      </c>
      <c r="L230" s="751">
        <v>0</v>
      </c>
      <c r="M230" s="751">
        <v>0</v>
      </c>
      <c r="N230" s="751">
        <v>1035710</v>
      </c>
      <c r="O230" s="751">
        <v>1035710</v>
      </c>
      <c r="P230" s="751">
        <v>0</v>
      </c>
      <c r="Q230" s="751">
        <v>0</v>
      </c>
      <c r="R230" s="751">
        <v>85790823</v>
      </c>
      <c r="S230" s="749">
        <v>0.5</v>
      </c>
      <c r="T230" s="749">
        <v>0.49</v>
      </c>
      <c r="U230" s="749">
        <v>0</v>
      </c>
      <c r="V230" s="749">
        <v>0.01</v>
      </c>
      <c r="W230" s="749">
        <v>1</v>
      </c>
      <c r="X230" s="751">
        <v>42895412</v>
      </c>
      <c r="Y230" s="751">
        <v>42037503</v>
      </c>
      <c r="Z230" s="751">
        <v>0</v>
      </c>
      <c r="AA230" s="751">
        <v>857908</v>
      </c>
      <c r="AB230" s="751">
        <v>85790823</v>
      </c>
      <c r="AC230" s="751">
        <v>0</v>
      </c>
      <c r="AD230" s="751">
        <v>0</v>
      </c>
      <c r="AE230" s="751">
        <v>42895412</v>
      </c>
      <c r="AF230" s="751">
        <v>42037503</v>
      </c>
      <c r="AG230" s="751">
        <v>0</v>
      </c>
      <c r="AH230" s="751">
        <v>857908</v>
      </c>
      <c r="AI230" s="751">
        <v>85790823</v>
      </c>
      <c r="AJ230" s="751">
        <v>452609</v>
      </c>
      <c r="AK230" s="751">
        <v>452609</v>
      </c>
      <c r="AL230" s="751">
        <v>0</v>
      </c>
      <c r="AM230" s="751">
        <v>0</v>
      </c>
      <c r="AN230" s="751">
        <v>1035710</v>
      </c>
      <c r="AO230" s="751">
        <v>0</v>
      </c>
      <c r="AP230" s="751">
        <v>1035710</v>
      </c>
      <c r="AQ230" s="751">
        <v>0</v>
      </c>
      <c r="AR230" s="751">
        <v>0</v>
      </c>
      <c r="AS230" s="751">
        <v>0</v>
      </c>
      <c r="AT230" s="751">
        <v>0</v>
      </c>
      <c r="AU230" s="751">
        <v>0</v>
      </c>
      <c r="AV230" s="751">
        <v>0</v>
      </c>
      <c r="AW230" s="751">
        <v>0</v>
      </c>
      <c r="AX230" s="751">
        <v>0</v>
      </c>
      <c r="AY230" s="751">
        <v>0</v>
      </c>
      <c r="AZ230" s="751">
        <v>0</v>
      </c>
      <c r="BA230" s="751">
        <v>0</v>
      </c>
      <c r="BB230" s="751">
        <v>0</v>
      </c>
      <c r="BC230" s="751">
        <v>-21646154</v>
      </c>
      <c r="BD230" s="751">
        <v>-21213231</v>
      </c>
      <c r="BE230" s="751">
        <v>0</v>
      </c>
      <c r="BF230" s="751">
        <v>-432923</v>
      </c>
      <c r="BG230" s="751">
        <v>-43292308</v>
      </c>
      <c r="BH230" s="751">
        <v>21249258</v>
      </c>
      <c r="BI230" s="751">
        <v>22312591</v>
      </c>
      <c r="BJ230" s="751">
        <v>0</v>
      </c>
      <c r="BK230" s="751">
        <v>424985</v>
      </c>
      <c r="BL230" s="751">
        <v>43986834</v>
      </c>
      <c r="BM230" s="751">
        <v>2244296</v>
      </c>
      <c r="BN230" s="751">
        <v>0</v>
      </c>
      <c r="BO230" s="751">
        <v>44701</v>
      </c>
      <c r="BP230" s="751">
        <v>2288997</v>
      </c>
      <c r="BQ230" s="751">
        <v>5429389</v>
      </c>
      <c r="BR230" s="751">
        <v>0</v>
      </c>
      <c r="BS230" s="751">
        <v>110804</v>
      </c>
      <c r="BT230" s="751">
        <v>5540193</v>
      </c>
      <c r="BU230" s="751">
        <v>241785</v>
      </c>
      <c r="BV230" s="751">
        <v>0</v>
      </c>
      <c r="BW230" s="751">
        <v>4934</v>
      </c>
      <c r="BX230" s="751">
        <v>246719</v>
      </c>
      <c r="BY230" s="751">
        <v>22509</v>
      </c>
      <c r="BZ230" s="751">
        <v>0</v>
      </c>
      <c r="CA230" s="751">
        <v>459</v>
      </c>
      <c r="CB230" s="751">
        <v>22968</v>
      </c>
      <c r="CC230" s="751">
        <v>19219</v>
      </c>
      <c r="CD230" s="751">
        <v>0</v>
      </c>
      <c r="CE230" s="751">
        <v>392</v>
      </c>
      <c r="CF230" s="751">
        <v>19611</v>
      </c>
      <c r="CG230" s="751">
        <v>100480</v>
      </c>
      <c r="CH230" s="751">
        <v>0</v>
      </c>
      <c r="CI230" s="751">
        <v>2051</v>
      </c>
      <c r="CJ230" s="751">
        <v>102531</v>
      </c>
      <c r="CK230" s="751">
        <v>0</v>
      </c>
      <c r="CL230" s="751">
        <v>0</v>
      </c>
      <c r="CM230" s="751">
        <v>0</v>
      </c>
      <c r="CN230" s="751">
        <v>0</v>
      </c>
      <c r="CO230" s="751">
        <v>0</v>
      </c>
      <c r="CP230" s="751">
        <v>0</v>
      </c>
      <c r="CQ230" s="751">
        <v>0</v>
      </c>
      <c r="CR230" s="751">
        <v>0</v>
      </c>
      <c r="CS230" s="751">
        <v>773</v>
      </c>
      <c r="CT230" s="751">
        <v>0</v>
      </c>
      <c r="CU230" s="751">
        <v>16</v>
      </c>
      <c r="CV230" s="751">
        <v>789</v>
      </c>
      <c r="CW230" s="751">
        <v>8058451</v>
      </c>
      <c r="CX230" s="751">
        <v>0</v>
      </c>
      <c r="CY230" s="751">
        <v>163357</v>
      </c>
      <c r="CZ230" s="751">
        <v>8221808</v>
      </c>
      <c r="DA230" s="662" t="s">
        <v>323</v>
      </c>
      <c r="DB230" s="324" t="s">
        <v>486</v>
      </c>
      <c r="DC230" s="663" t="s">
        <v>561</v>
      </c>
      <c r="DD230" s="529" t="s">
        <v>1436</v>
      </c>
    </row>
    <row r="231" spans="1:108" ht="12.75" x14ac:dyDescent="0.2">
      <c r="A231" s="664">
        <v>224</v>
      </c>
      <c r="B231" s="665" t="s">
        <v>325</v>
      </c>
      <c r="C231" s="666" t="s">
        <v>486</v>
      </c>
      <c r="D231" s="667" t="s">
        <v>1202</v>
      </c>
      <c r="E231" s="668" t="s">
        <v>497</v>
      </c>
      <c r="F231" s="750">
        <v>105366983</v>
      </c>
      <c r="G231" s="751">
        <v>0</v>
      </c>
      <c r="H231" s="751">
        <v>735210</v>
      </c>
      <c r="I231" s="751">
        <v>210643</v>
      </c>
      <c r="J231" s="751">
        <v>0</v>
      </c>
      <c r="K231" s="751">
        <v>210643</v>
      </c>
      <c r="L231" s="751">
        <v>0</v>
      </c>
      <c r="M231" s="751">
        <v>0</v>
      </c>
      <c r="N231" s="751">
        <v>0</v>
      </c>
      <c r="O231" s="751">
        <v>0</v>
      </c>
      <c r="P231" s="751">
        <v>0</v>
      </c>
      <c r="Q231" s="751">
        <v>0</v>
      </c>
      <c r="R231" s="751">
        <v>104421130</v>
      </c>
      <c r="S231" s="749">
        <v>0.5</v>
      </c>
      <c r="T231" s="749">
        <v>0.49</v>
      </c>
      <c r="U231" s="749">
        <v>0</v>
      </c>
      <c r="V231" s="749">
        <v>0.01</v>
      </c>
      <c r="W231" s="749">
        <v>1</v>
      </c>
      <c r="X231" s="751">
        <v>52210565</v>
      </c>
      <c r="Y231" s="751">
        <v>51166354</v>
      </c>
      <c r="Z231" s="751">
        <v>0</v>
      </c>
      <c r="AA231" s="751">
        <v>1044211</v>
      </c>
      <c r="AB231" s="751">
        <v>104421130</v>
      </c>
      <c r="AC231" s="751">
        <v>0</v>
      </c>
      <c r="AD231" s="751">
        <v>0</v>
      </c>
      <c r="AE231" s="751">
        <v>52210565</v>
      </c>
      <c r="AF231" s="751">
        <v>51166354</v>
      </c>
      <c r="AG231" s="751">
        <v>0</v>
      </c>
      <c r="AH231" s="751">
        <v>1044211</v>
      </c>
      <c r="AI231" s="751">
        <v>104421130</v>
      </c>
      <c r="AJ231" s="751">
        <v>210643</v>
      </c>
      <c r="AK231" s="751">
        <v>210643</v>
      </c>
      <c r="AL231" s="751">
        <v>0</v>
      </c>
      <c r="AM231" s="751">
        <v>0</v>
      </c>
      <c r="AN231" s="751">
        <v>0</v>
      </c>
      <c r="AO231" s="751">
        <v>0</v>
      </c>
      <c r="AP231" s="751">
        <v>0</v>
      </c>
      <c r="AQ231" s="751">
        <v>0</v>
      </c>
      <c r="AR231" s="751">
        <v>0</v>
      </c>
      <c r="AS231" s="751">
        <v>0</v>
      </c>
      <c r="AT231" s="751">
        <v>0</v>
      </c>
      <c r="AU231" s="751">
        <v>0</v>
      </c>
      <c r="AV231" s="751">
        <v>0</v>
      </c>
      <c r="AW231" s="751">
        <v>0</v>
      </c>
      <c r="AX231" s="751">
        <v>0</v>
      </c>
      <c r="AY231" s="751">
        <v>0</v>
      </c>
      <c r="AZ231" s="751">
        <v>0</v>
      </c>
      <c r="BA231" s="751">
        <v>0</v>
      </c>
      <c r="BB231" s="751">
        <v>0</v>
      </c>
      <c r="BC231" s="751">
        <v>-18113719</v>
      </c>
      <c r="BD231" s="751">
        <v>-21277531</v>
      </c>
      <c r="BE231" s="751">
        <v>0</v>
      </c>
      <c r="BF231" s="751">
        <v>-397891</v>
      </c>
      <c r="BG231" s="751">
        <v>-39789142</v>
      </c>
      <c r="BH231" s="751">
        <v>34096846</v>
      </c>
      <c r="BI231" s="751">
        <v>30099466</v>
      </c>
      <c r="BJ231" s="751">
        <v>0</v>
      </c>
      <c r="BK231" s="751">
        <v>646320</v>
      </c>
      <c r="BL231" s="751">
        <v>64842631</v>
      </c>
      <c r="BM231" s="751">
        <v>2665982</v>
      </c>
      <c r="BN231" s="751">
        <v>0</v>
      </c>
      <c r="BO231" s="751">
        <v>54408</v>
      </c>
      <c r="BP231" s="751">
        <v>2720390</v>
      </c>
      <c r="BQ231" s="751">
        <v>1282508</v>
      </c>
      <c r="BR231" s="751">
        <v>0</v>
      </c>
      <c r="BS231" s="751">
        <v>26174</v>
      </c>
      <c r="BT231" s="751">
        <v>1308682</v>
      </c>
      <c r="BU231" s="751">
        <v>131334</v>
      </c>
      <c r="BV231" s="751">
        <v>0</v>
      </c>
      <c r="BW231" s="751">
        <v>2680</v>
      </c>
      <c r="BX231" s="751">
        <v>134014</v>
      </c>
      <c r="BY231" s="751">
        <v>0</v>
      </c>
      <c r="BZ231" s="751">
        <v>0</v>
      </c>
      <c r="CA231" s="751">
        <v>0</v>
      </c>
      <c r="CB231" s="751">
        <v>0</v>
      </c>
      <c r="CC231" s="751">
        <v>0</v>
      </c>
      <c r="CD231" s="751">
        <v>0</v>
      </c>
      <c r="CE231" s="751">
        <v>0</v>
      </c>
      <c r="CF231" s="751">
        <v>0</v>
      </c>
      <c r="CG231" s="751">
        <v>6983</v>
      </c>
      <c r="CH231" s="751">
        <v>0</v>
      </c>
      <c r="CI231" s="751">
        <v>142</v>
      </c>
      <c r="CJ231" s="751">
        <v>7125</v>
      </c>
      <c r="CK231" s="751">
        <v>0</v>
      </c>
      <c r="CL231" s="751">
        <v>0</v>
      </c>
      <c r="CM231" s="751">
        <v>0</v>
      </c>
      <c r="CN231" s="751">
        <v>0</v>
      </c>
      <c r="CO231" s="751">
        <v>0</v>
      </c>
      <c r="CP231" s="751">
        <v>0</v>
      </c>
      <c r="CQ231" s="751">
        <v>0</v>
      </c>
      <c r="CR231" s="751">
        <v>0</v>
      </c>
      <c r="CS231" s="751">
        <v>0</v>
      </c>
      <c r="CT231" s="751">
        <v>0</v>
      </c>
      <c r="CU231" s="751">
        <v>0</v>
      </c>
      <c r="CV231" s="751">
        <v>0</v>
      </c>
      <c r="CW231" s="751">
        <v>4086807</v>
      </c>
      <c r="CX231" s="751">
        <v>0</v>
      </c>
      <c r="CY231" s="751">
        <v>83404</v>
      </c>
      <c r="CZ231" s="751">
        <v>4170211</v>
      </c>
      <c r="DA231" s="662" t="s">
        <v>497</v>
      </c>
      <c r="DB231" s="324" t="s">
        <v>486</v>
      </c>
      <c r="DC231" s="663" t="s">
        <v>494</v>
      </c>
      <c r="DD231" s="529" t="s">
        <v>1437</v>
      </c>
    </row>
    <row r="232" spans="1:108" ht="12.75" x14ac:dyDescent="0.2">
      <c r="A232" s="664">
        <v>225</v>
      </c>
      <c r="B232" s="665" t="s">
        <v>327</v>
      </c>
      <c r="C232" s="666" t="s">
        <v>1217</v>
      </c>
      <c r="D232" s="667" t="s">
        <v>1228</v>
      </c>
      <c r="E232" s="668" t="s">
        <v>326</v>
      </c>
      <c r="F232" s="750">
        <v>117449122</v>
      </c>
      <c r="G232" s="751">
        <v>0</v>
      </c>
      <c r="H232" s="751">
        <v>661847</v>
      </c>
      <c r="I232" s="751">
        <v>248449</v>
      </c>
      <c r="J232" s="751">
        <v>0</v>
      </c>
      <c r="K232" s="751">
        <v>248449</v>
      </c>
      <c r="L232" s="751">
        <v>0</v>
      </c>
      <c r="M232" s="751">
        <v>0</v>
      </c>
      <c r="N232" s="751">
        <v>0</v>
      </c>
      <c r="O232" s="751">
        <v>0</v>
      </c>
      <c r="P232" s="751">
        <v>0</v>
      </c>
      <c r="Q232" s="751">
        <v>0</v>
      </c>
      <c r="R232" s="751">
        <v>116538826</v>
      </c>
      <c r="S232" s="749">
        <v>0</v>
      </c>
      <c r="T232" s="749">
        <v>0.99</v>
      </c>
      <c r="U232" s="749">
        <v>0</v>
      </c>
      <c r="V232" s="749">
        <v>0.01</v>
      </c>
      <c r="W232" s="749">
        <v>1</v>
      </c>
      <c r="X232" s="751">
        <v>0</v>
      </c>
      <c r="Y232" s="751">
        <v>115373438</v>
      </c>
      <c r="Z232" s="751">
        <v>0</v>
      </c>
      <c r="AA232" s="751">
        <v>1165388</v>
      </c>
      <c r="AB232" s="751">
        <v>116538826</v>
      </c>
      <c r="AC232" s="751">
        <v>0</v>
      </c>
      <c r="AD232" s="751">
        <v>0</v>
      </c>
      <c r="AE232" s="751">
        <v>0</v>
      </c>
      <c r="AF232" s="751">
        <v>115373438</v>
      </c>
      <c r="AG232" s="751">
        <v>0</v>
      </c>
      <c r="AH232" s="751">
        <v>1165388</v>
      </c>
      <c r="AI232" s="751">
        <v>116538826</v>
      </c>
      <c r="AJ232" s="751">
        <v>248449</v>
      </c>
      <c r="AK232" s="751">
        <v>248449</v>
      </c>
      <c r="AL232" s="751">
        <v>0</v>
      </c>
      <c r="AM232" s="751">
        <v>0</v>
      </c>
      <c r="AN232" s="751">
        <v>0</v>
      </c>
      <c r="AO232" s="751">
        <v>0</v>
      </c>
      <c r="AP232" s="751">
        <v>0</v>
      </c>
      <c r="AQ232" s="751">
        <v>0</v>
      </c>
      <c r="AR232" s="751">
        <v>0</v>
      </c>
      <c r="AS232" s="751">
        <v>0</v>
      </c>
      <c r="AT232" s="751">
        <v>0</v>
      </c>
      <c r="AU232" s="751">
        <v>0</v>
      </c>
      <c r="AV232" s="751">
        <v>0</v>
      </c>
      <c r="AW232" s="751">
        <v>0</v>
      </c>
      <c r="AX232" s="751">
        <v>0</v>
      </c>
      <c r="AY232" s="751">
        <v>0</v>
      </c>
      <c r="AZ232" s="751">
        <v>0</v>
      </c>
      <c r="BA232" s="751">
        <v>0</v>
      </c>
      <c r="BB232" s="751">
        <v>0</v>
      </c>
      <c r="BC232" s="751">
        <v>0</v>
      </c>
      <c r="BD232" s="751">
        <v>-55879955</v>
      </c>
      <c r="BE232" s="751">
        <v>0</v>
      </c>
      <c r="BF232" s="751">
        <v>-564444</v>
      </c>
      <c r="BG232" s="751">
        <v>-56444399</v>
      </c>
      <c r="BH232" s="751">
        <v>0</v>
      </c>
      <c r="BI232" s="751">
        <v>59741932</v>
      </c>
      <c r="BJ232" s="751">
        <v>0</v>
      </c>
      <c r="BK232" s="751">
        <v>600944</v>
      </c>
      <c r="BL232" s="751">
        <v>60342876</v>
      </c>
      <c r="BM232" s="751">
        <v>6011442</v>
      </c>
      <c r="BN232" s="751">
        <v>0</v>
      </c>
      <c r="BO232" s="751">
        <v>60722</v>
      </c>
      <c r="BP232" s="751">
        <v>6072164</v>
      </c>
      <c r="BQ232" s="751">
        <v>3283756</v>
      </c>
      <c r="BR232" s="751">
        <v>0</v>
      </c>
      <c r="BS232" s="751">
        <v>33169</v>
      </c>
      <c r="BT232" s="751">
        <v>3316925</v>
      </c>
      <c r="BU232" s="751">
        <v>333233</v>
      </c>
      <c r="BV232" s="751">
        <v>0</v>
      </c>
      <c r="BW232" s="751">
        <v>3366</v>
      </c>
      <c r="BX232" s="751">
        <v>336599</v>
      </c>
      <c r="BY232" s="751">
        <v>0</v>
      </c>
      <c r="BZ232" s="751">
        <v>0</v>
      </c>
      <c r="CA232" s="751">
        <v>0</v>
      </c>
      <c r="CB232" s="751">
        <v>0</v>
      </c>
      <c r="CC232" s="751">
        <v>0</v>
      </c>
      <c r="CD232" s="751">
        <v>0</v>
      </c>
      <c r="CE232" s="751">
        <v>0</v>
      </c>
      <c r="CF232" s="751">
        <v>0</v>
      </c>
      <c r="CG232" s="751">
        <v>10923</v>
      </c>
      <c r="CH232" s="751">
        <v>0</v>
      </c>
      <c r="CI232" s="751">
        <v>110</v>
      </c>
      <c r="CJ232" s="751">
        <v>11033</v>
      </c>
      <c r="CK232" s="751">
        <v>0</v>
      </c>
      <c r="CL232" s="751">
        <v>0</v>
      </c>
      <c r="CM232" s="751">
        <v>0</v>
      </c>
      <c r="CN232" s="751">
        <v>0</v>
      </c>
      <c r="CO232" s="751">
        <v>0</v>
      </c>
      <c r="CP232" s="751">
        <v>0</v>
      </c>
      <c r="CQ232" s="751">
        <v>0</v>
      </c>
      <c r="CR232" s="751">
        <v>0</v>
      </c>
      <c r="CS232" s="751">
        <v>0</v>
      </c>
      <c r="CT232" s="751">
        <v>0</v>
      </c>
      <c r="CU232" s="751">
        <v>0</v>
      </c>
      <c r="CV232" s="751">
        <v>0</v>
      </c>
      <c r="CW232" s="751">
        <v>9639354</v>
      </c>
      <c r="CX232" s="751">
        <v>0</v>
      </c>
      <c r="CY232" s="751">
        <v>97367</v>
      </c>
      <c r="CZ232" s="751">
        <v>9736721</v>
      </c>
      <c r="DA232" s="662" t="s">
        <v>326</v>
      </c>
      <c r="DB232" s="324" t="s">
        <v>570</v>
      </c>
      <c r="DC232" s="663" t="s">
        <v>574</v>
      </c>
      <c r="DD232" s="529" t="s">
        <v>1438</v>
      </c>
    </row>
    <row r="233" spans="1:108" ht="12.75" x14ac:dyDescent="0.2">
      <c r="A233" s="664">
        <v>226</v>
      </c>
      <c r="B233" s="665" t="s">
        <v>1023</v>
      </c>
      <c r="C233" s="666" t="s">
        <v>1201</v>
      </c>
      <c r="D233" s="667" t="s">
        <v>1224</v>
      </c>
      <c r="E233" s="668" t="s">
        <v>1022</v>
      </c>
      <c r="F233" s="750">
        <v>59369914</v>
      </c>
      <c r="G233" s="751">
        <v>0</v>
      </c>
      <c r="H233" s="751">
        <v>298970</v>
      </c>
      <c r="I233" s="751">
        <v>251240</v>
      </c>
      <c r="J233" s="751">
        <v>0</v>
      </c>
      <c r="K233" s="751">
        <v>251240</v>
      </c>
      <c r="L233" s="751">
        <v>0</v>
      </c>
      <c r="M233" s="751">
        <v>0</v>
      </c>
      <c r="N233" s="751">
        <v>204676</v>
      </c>
      <c r="O233" s="751">
        <v>204676</v>
      </c>
      <c r="P233" s="751">
        <v>0</v>
      </c>
      <c r="Q233" s="751">
        <v>0</v>
      </c>
      <c r="R233" s="751">
        <v>58615028</v>
      </c>
      <c r="S233" s="749">
        <v>0.5</v>
      </c>
      <c r="T233" s="749">
        <v>0.4</v>
      </c>
      <c r="U233" s="749">
        <v>0.09</v>
      </c>
      <c r="V233" s="749">
        <v>0.01</v>
      </c>
      <c r="W233" s="749">
        <v>1</v>
      </c>
      <c r="X233" s="751">
        <v>29307514</v>
      </c>
      <c r="Y233" s="751">
        <v>23446011</v>
      </c>
      <c r="Z233" s="751">
        <v>5275353</v>
      </c>
      <c r="AA233" s="751">
        <v>586150</v>
      </c>
      <c r="AB233" s="751">
        <v>58615028</v>
      </c>
      <c r="AC233" s="751">
        <v>0</v>
      </c>
      <c r="AD233" s="751">
        <v>0</v>
      </c>
      <c r="AE233" s="751">
        <v>29307514</v>
      </c>
      <c r="AF233" s="751">
        <v>23446011</v>
      </c>
      <c r="AG233" s="751">
        <v>5275353</v>
      </c>
      <c r="AH233" s="751">
        <v>586150</v>
      </c>
      <c r="AI233" s="751">
        <v>58615028</v>
      </c>
      <c r="AJ233" s="751">
        <v>251240</v>
      </c>
      <c r="AK233" s="751">
        <v>251240</v>
      </c>
      <c r="AL233" s="751">
        <v>0</v>
      </c>
      <c r="AM233" s="751">
        <v>0</v>
      </c>
      <c r="AN233" s="751">
        <v>204676</v>
      </c>
      <c r="AO233" s="751">
        <v>0</v>
      </c>
      <c r="AP233" s="751">
        <v>204676</v>
      </c>
      <c r="AQ233" s="751">
        <v>0</v>
      </c>
      <c r="AR233" s="751">
        <v>0</v>
      </c>
      <c r="AS233" s="751">
        <v>0</v>
      </c>
      <c r="AT233" s="751">
        <v>0</v>
      </c>
      <c r="AU233" s="751">
        <v>0</v>
      </c>
      <c r="AV233" s="751">
        <v>0</v>
      </c>
      <c r="AW233" s="751">
        <v>0</v>
      </c>
      <c r="AX233" s="751">
        <v>0</v>
      </c>
      <c r="AY233" s="751">
        <v>0</v>
      </c>
      <c r="AZ233" s="751">
        <v>0</v>
      </c>
      <c r="BA233" s="751">
        <v>0</v>
      </c>
      <c r="BB233" s="751">
        <v>0</v>
      </c>
      <c r="BC233" s="751">
        <v>-15622373</v>
      </c>
      <c r="BD233" s="751">
        <v>-12556229</v>
      </c>
      <c r="BE233" s="751">
        <v>-2874003</v>
      </c>
      <c r="BF233" s="751">
        <v>-313663</v>
      </c>
      <c r="BG233" s="751">
        <v>-31366268</v>
      </c>
      <c r="BH233" s="751">
        <v>13685141</v>
      </c>
      <c r="BI233" s="751">
        <v>11345698</v>
      </c>
      <c r="BJ233" s="751">
        <v>2401350</v>
      </c>
      <c r="BK233" s="751">
        <v>272487</v>
      </c>
      <c r="BL233" s="751">
        <v>27704676</v>
      </c>
      <c r="BM233" s="751">
        <v>1232300</v>
      </c>
      <c r="BN233" s="751">
        <v>274868</v>
      </c>
      <c r="BO233" s="751">
        <v>30541</v>
      </c>
      <c r="BP233" s="751">
        <v>1537709</v>
      </c>
      <c r="BQ233" s="751">
        <v>2180280</v>
      </c>
      <c r="BR233" s="751">
        <v>490563</v>
      </c>
      <c r="BS233" s="751">
        <v>54507</v>
      </c>
      <c r="BT233" s="751">
        <v>2725350</v>
      </c>
      <c r="BU233" s="751">
        <v>109726</v>
      </c>
      <c r="BV233" s="751">
        <v>24688</v>
      </c>
      <c r="BW233" s="751">
        <v>2743</v>
      </c>
      <c r="BX233" s="751">
        <v>137157</v>
      </c>
      <c r="BY233" s="751">
        <v>0</v>
      </c>
      <c r="BZ233" s="751">
        <v>0</v>
      </c>
      <c r="CA233" s="751">
        <v>0</v>
      </c>
      <c r="CB233" s="751">
        <v>0</v>
      </c>
      <c r="CC233" s="751">
        <v>30414</v>
      </c>
      <c r="CD233" s="751">
        <v>6843</v>
      </c>
      <c r="CE233" s="751">
        <v>760</v>
      </c>
      <c r="CF233" s="751">
        <v>38017</v>
      </c>
      <c r="CG233" s="751">
        <v>12974</v>
      </c>
      <c r="CH233" s="751">
        <v>2919</v>
      </c>
      <c r="CI233" s="751">
        <v>324</v>
      </c>
      <c r="CJ233" s="751">
        <v>16217</v>
      </c>
      <c r="CK233" s="751">
        <v>0</v>
      </c>
      <c r="CL233" s="751">
        <v>0</v>
      </c>
      <c r="CM233" s="751">
        <v>0</v>
      </c>
      <c r="CN233" s="751">
        <v>0</v>
      </c>
      <c r="CO233" s="751">
        <v>0</v>
      </c>
      <c r="CP233" s="751">
        <v>0</v>
      </c>
      <c r="CQ233" s="751">
        <v>0</v>
      </c>
      <c r="CR233" s="751">
        <v>0</v>
      </c>
      <c r="CS233" s="751">
        <v>631</v>
      </c>
      <c r="CT233" s="751">
        <v>142</v>
      </c>
      <c r="CU233" s="751">
        <v>16</v>
      </c>
      <c r="CV233" s="751">
        <v>789</v>
      </c>
      <c r="CW233" s="751">
        <v>3566325</v>
      </c>
      <c r="CX233" s="751">
        <v>800023</v>
      </c>
      <c r="CY233" s="751">
        <v>88891</v>
      </c>
      <c r="CZ233" s="751">
        <v>4455239</v>
      </c>
      <c r="DA233" s="662" t="s">
        <v>1022</v>
      </c>
      <c r="DB233" s="324" t="s">
        <v>562</v>
      </c>
      <c r="DC233" s="663" t="s">
        <v>519</v>
      </c>
      <c r="DD233" s="529" t="s">
        <v>1439</v>
      </c>
    </row>
    <row r="234" spans="1:108" ht="12.75" x14ac:dyDescent="0.2">
      <c r="A234" s="664">
        <v>227</v>
      </c>
      <c r="B234" s="665" t="s">
        <v>329</v>
      </c>
      <c r="C234" s="666" t="s">
        <v>1201</v>
      </c>
      <c r="D234" s="667" t="s">
        <v>1211</v>
      </c>
      <c r="E234" s="668" t="s">
        <v>328</v>
      </c>
      <c r="F234" s="750">
        <v>90335137</v>
      </c>
      <c r="G234" s="751">
        <v>41688</v>
      </c>
      <c r="H234" s="751">
        <v>0</v>
      </c>
      <c r="I234" s="751">
        <v>240278</v>
      </c>
      <c r="J234" s="751">
        <v>0</v>
      </c>
      <c r="K234" s="751">
        <v>240278</v>
      </c>
      <c r="L234" s="751">
        <v>0</v>
      </c>
      <c r="M234" s="751">
        <v>902941</v>
      </c>
      <c r="N234" s="751">
        <v>764626</v>
      </c>
      <c r="O234" s="751">
        <v>764626</v>
      </c>
      <c r="P234" s="751">
        <v>0</v>
      </c>
      <c r="Q234" s="751">
        <v>0</v>
      </c>
      <c r="R234" s="751">
        <v>88468980</v>
      </c>
      <c r="S234" s="749">
        <v>0.5</v>
      </c>
      <c r="T234" s="749">
        <v>0.4</v>
      </c>
      <c r="U234" s="749">
        <v>0.09</v>
      </c>
      <c r="V234" s="749">
        <v>0.01</v>
      </c>
      <c r="W234" s="749">
        <v>1</v>
      </c>
      <c r="X234" s="751">
        <v>44234490</v>
      </c>
      <c r="Y234" s="751">
        <v>35387592</v>
      </c>
      <c r="Z234" s="751">
        <v>7962208</v>
      </c>
      <c r="AA234" s="751">
        <v>884690</v>
      </c>
      <c r="AB234" s="751">
        <v>88468980</v>
      </c>
      <c r="AC234" s="751">
        <v>223869</v>
      </c>
      <c r="AD234" s="751">
        <v>223869</v>
      </c>
      <c r="AE234" s="751">
        <v>44010621</v>
      </c>
      <c r="AF234" s="751">
        <v>35387592</v>
      </c>
      <c r="AG234" s="751">
        <v>7962208</v>
      </c>
      <c r="AH234" s="751">
        <v>884690</v>
      </c>
      <c r="AI234" s="751">
        <v>88245111</v>
      </c>
      <c r="AJ234" s="751">
        <v>240278</v>
      </c>
      <c r="AK234" s="751">
        <v>240278</v>
      </c>
      <c r="AL234" s="751">
        <v>902941</v>
      </c>
      <c r="AM234" s="751">
        <v>902941</v>
      </c>
      <c r="AN234" s="751">
        <v>764626</v>
      </c>
      <c r="AO234" s="751">
        <v>0</v>
      </c>
      <c r="AP234" s="751">
        <v>764626</v>
      </c>
      <c r="AQ234" s="751">
        <v>0</v>
      </c>
      <c r="AR234" s="751">
        <v>0</v>
      </c>
      <c r="AS234" s="751">
        <v>0</v>
      </c>
      <c r="AT234" s="751">
        <v>0</v>
      </c>
      <c r="AU234" s="751">
        <v>223869</v>
      </c>
      <c r="AV234" s="751">
        <v>0</v>
      </c>
      <c r="AW234" s="751">
        <v>0</v>
      </c>
      <c r="AX234" s="751">
        <v>223869</v>
      </c>
      <c r="AY234" s="751">
        <v>0</v>
      </c>
      <c r="AZ234" s="751">
        <v>0</v>
      </c>
      <c r="BA234" s="751">
        <v>0</v>
      </c>
      <c r="BB234" s="751">
        <v>0</v>
      </c>
      <c r="BC234" s="751">
        <v>-9720421</v>
      </c>
      <c r="BD234" s="751">
        <v>-7776337</v>
      </c>
      <c r="BE234" s="751">
        <v>-1749676</v>
      </c>
      <c r="BF234" s="751">
        <v>-194408</v>
      </c>
      <c r="BG234" s="751">
        <v>-19440843</v>
      </c>
      <c r="BH234" s="751">
        <v>34290200</v>
      </c>
      <c r="BI234" s="751">
        <v>29742969</v>
      </c>
      <c r="BJ234" s="751">
        <v>6212532</v>
      </c>
      <c r="BK234" s="751">
        <v>690282</v>
      </c>
      <c r="BL234" s="751">
        <v>70935982</v>
      </c>
      <c r="BM234" s="751">
        <v>1942394</v>
      </c>
      <c r="BN234" s="751">
        <v>414865</v>
      </c>
      <c r="BO234" s="751">
        <v>46096</v>
      </c>
      <c r="BP234" s="751">
        <v>2403355</v>
      </c>
      <c r="BQ234" s="751">
        <v>1495631</v>
      </c>
      <c r="BR234" s="751">
        <v>336517</v>
      </c>
      <c r="BS234" s="751">
        <v>37391</v>
      </c>
      <c r="BT234" s="751">
        <v>1869539</v>
      </c>
      <c r="BU234" s="751">
        <v>136279</v>
      </c>
      <c r="BV234" s="751">
        <v>30308</v>
      </c>
      <c r="BW234" s="751">
        <v>3368</v>
      </c>
      <c r="BX234" s="751">
        <v>169955</v>
      </c>
      <c r="BY234" s="751">
        <v>12474</v>
      </c>
      <c r="BZ234" s="751">
        <v>2807</v>
      </c>
      <c r="CA234" s="751">
        <v>312</v>
      </c>
      <c r="CB234" s="751">
        <v>15593</v>
      </c>
      <c r="CC234" s="751">
        <v>20214</v>
      </c>
      <c r="CD234" s="751">
        <v>4548</v>
      </c>
      <c r="CE234" s="751">
        <v>505</v>
      </c>
      <c r="CF234" s="751">
        <v>25267</v>
      </c>
      <c r="CG234" s="751">
        <v>15748</v>
      </c>
      <c r="CH234" s="751">
        <v>3543</v>
      </c>
      <c r="CI234" s="751">
        <v>394</v>
      </c>
      <c r="CJ234" s="751">
        <v>19685</v>
      </c>
      <c r="CK234" s="751">
        <v>0</v>
      </c>
      <c r="CL234" s="751">
        <v>0</v>
      </c>
      <c r="CM234" s="751">
        <v>0</v>
      </c>
      <c r="CN234" s="751">
        <v>0</v>
      </c>
      <c r="CO234" s="751">
        <v>0</v>
      </c>
      <c r="CP234" s="751">
        <v>0</v>
      </c>
      <c r="CQ234" s="751">
        <v>0</v>
      </c>
      <c r="CR234" s="751">
        <v>0</v>
      </c>
      <c r="CS234" s="751">
        <v>631</v>
      </c>
      <c r="CT234" s="751">
        <v>142</v>
      </c>
      <c r="CU234" s="751">
        <v>16</v>
      </c>
      <c r="CV234" s="751">
        <v>789</v>
      </c>
      <c r="CW234" s="751">
        <v>3623371</v>
      </c>
      <c r="CX234" s="751">
        <v>792730</v>
      </c>
      <c r="CY234" s="751">
        <v>88082</v>
      </c>
      <c r="CZ234" s="751">
        <v>4504183</v>
      </c>
      <c r="DA234" s="662" t="s">
        <v>328</v>
      </c>
      <c r="DB234" s="324" t="s">
        <v>503</v>
      </c>
      <c r="DC234" s="663" t="s">
        <v>502</v>
      </c>
      <c r="DD234" s="529" t="s">
        <v>1440</v>
      </c>
    </row>
    <row r="235" spans="1:108" ht="12.75" x14ac:dyDescent="0.2">
      <c r="A235" s="664">
        <v>228</v>
      </c>
      <c r="B235" s="665" t="s">
        <v>331</v>
      </c>
      <c r="C235" s="666" t="s">
        <v>1201</v>
      </c>
      <c r="D235" s="667" t="s">
        <v>1206</v>
      </c>
      <c r="E235" s="668" t="s">
        <v>330</v>
      </c>
      <c r="F235" s="750">
        <v>27658885</v>
      </c>
      <c r="G235" s="751">
        <v>289446</v>
      </c>
      <c r="H235" s="751">
        <v>0</v>
      </c>
      <c r="I235" s="751">
        <v>93853</v>
      </c>
      <c r="J235" s="751">
        <v>0</v>
      </c>
      <c r="K235" s="751">
        <v>93853</v>
      </c>
      <c r="L235" s="751">
        <v>0</v>
      </c>
      <c r="M235" s="751">
        <v>0</v>
      </c>
      <c r="N235" s="751">
        <v>0</v>
      </c>
      <c r="O235" s="751">
        <v>0</v>
      </c>
      <c r="P235" s="751">
        <v>0</v>
      </c>
      <c r="Q235" s="751">
        <v>0</v>
      </c>
      <c r="R235" s="751">
        <v>27854478</v>
      </c>
      <c r="S235" s="749">
        <v>0.5</v>
      </c>
      <c r="T235" s="749">
        <v>0.4</v>
      </c>
      <c r="U235" s="749">
        <v>0.09</v>
      </c>
      <c r="V235" s="749">
        <v>0.01</v>
      </c>
      <c r="W235" s="749">
        <v>1</v>
      </c>
      <c r="X235" s="751">
        <v>13927239</v>
      </c>
      <c r="Y235" s="751">
        <v>11141791</v>
      </c>
      <c r="Z235" s="751">
        <v>2506903</v>
      </c>
      <c r="AA235" s="751">
        <v>278545</v>
      </c>
      <c r="AB235" s="751">
        <v>27854478</v>
      </c>
      <c r="AC235" s="751">
        <v>0</v>
      </c>
      <c r="AD235" s="751">
        <v>0</v>
      </c>
      <c r="AE235" s="751">
        <v>13927239</v>
      </c>
      <c r="AF235" s="751">
        <v>11141791</v>
      </c>
      <c r="AG235" s="751">
        <v>2506903</v>
      </c>
      <c r="AH235" s="751">
        <v>278545</v>
      </c>
      <c r="AI235" s="751">
        <v>27854478</v>
      </c>
      <c r="AJ235" s="751">
        <v>93853</v>
      </c>
      <c r="AK235" s="751">
        <v>93853</v>
      </c>
      <c r="AL235" s="751">
        <v>0</v>
      </c>
      <c r="AM235" s="751">
        <v>0</v>
      </c>
      <c r="AN235" s="751">
        <v>0</v>
      </c>
      <c r="AO235" s="751">
        <v>0</v>
      </c>
      <c r="AP235" s="751">
        <v>0</v>
      </c>
      <c r="AQ235" s="751">
        <v>0</v>
      </c>
      <c r="AR235" s="751">
        <v>0</v>
      </c>
      <c r="AS235" s="751">
        <v>0</v>
      </c>
      <c r="AT235" s="751">
        <v>0</v>
      </c>
      <c r="AU235" s="751">
        <v>0</v>
      </c>
      <c r="AV235" s="751">
        <v>0</v>
      </c>
      <c r="AW235" s="751">
        <v>0</v>
      </c>
      <c r="AX235" s="751">
        <v>0</v>
      </c>
      <c r="AY235" s="751">
        <v>0</v>
      </c>
      <c r="AZ235" s="751">
        <v>0</v>
      </c>
      <c r="BA235" s="751">
        <v>0</v>
      </c>
      <c r="BB235" s="751">
        <v>0</v>
      </c>
      <c r="BC235" s="751">
        <v>-2951624</v>
      </c>
      <c r="BD235" s="751">
        <v>-2361299</v>
      </c>
      <c r="BE235" s="751">
        <v>-531292</v>
      </c>
      <c r="BF235" s="751">
        <v>-59032</v>
      </c>
      <c r="BG235" s="751">
        <v>-5903248</v>
      </c>
      <c r="BH235" s="751">
        <v>10975615</v>
      </c>
      <c r="BI235" s="751">
        <v>8874345</v>
      </c>
      <c r="BJ235" s="751">
        <v>1975611</v>
      </c>
      <c r="BK235" s="751">
        <v>219513</v>
      </c>
      <c r="BL235" s="751">
        <v>22045083</v>
      </c>
      <c r="BM235" s="751">
        <v>580534</v>
      </c>
      <c r="BN235" s="751">
        <v>130620</v>
      </c>
      <c r="BO235" s="751">
        <v>14513</v>
      </c>
      <c r="BP235" s="751">
        <v>725667</v>
      </c>
      <c r="BQ235" s="751">
        <v>873416</v>
      </c>
      <c r="BR235" s="751">
        <v>196519</v>
      </c>
      <c r="BS235" s="751">
        <v>21835</v>
      </c>
      <c r="BT235" s="751">
        <v>1091770</v>
      </c>
      <c r="BU235" s="751">
        <v>38757</v>
      </c>
      <c r="BV235" s="751">
        <v>8720</v>
      </c>
      <c r="BW235" s="751">
        <v>969</v>
      </c>
      <c r="BX235" s="751">
        <v>48446</v>
      </c>
      <c r="BY235" s="751">
        <v>767</v>
      </c>
      <c r="BZ235" s="751">
        <v>172</v>
      </c>
      <c r="CA235" s="751">
        <v>19</v>
      </c>
      <c r="CB235" s="751">
        <v>958</v>
      </c>
      <c r="CC235" s="751">
        <v>11198</v>
      </c>
      <c r="CD235" s="751">
        <v>2520</v>
      </c>
      <c r="CE235" s="751">
        <v>280</v>
      </c>
      <c r="CF235" s="751">
        <v>13998</v>
      </c>
      <c r="CG235" s="751">
        <v>12895</v>
      </c>
      <c r="CH235" s="751">
        <v>2901</v>
      </c>
      <c r="CI235" s="751">
        <v>322</v>
      </c>
      <c r="CJ235" s="751">
        <v>16118</v>
      </c>
      <c r="CK235" s="751">
        <v>0</v>
      </c>
      <c r="CL235" s="751">
        <v>0</v>
      </c>
      <c r="CM235" s="751">
        <v>0</v>
      </c>
      <c r="CN235" s="751">
        <v>0</v>
      </c>
      <c r="CO235" s="751">
        <v>0</v>
      </c>
      <c r="CP235" s="751">
        <v>0</v>
      </c>
      <c r="CQ235" s="751">
        <v>0</v>
      </c>
      <c r="CR235" s="751">
        <v>0</v>
      </c>
      <c r="CS235" s="751">
        <v>0</v>
      </c>
      <c r="CT235" s="751">
        <v>0</v>
      </c>
      <c r="CU235" s="751">
        <v>0</v>
      </c>
      <c r="CV235" s="751">
        <v>0</v>
      </c>
      <c r="CW235" s="751">
        <v>1517567</v>
      </c>
      <c r="CX235" s="751">
        <v>341452</v>
      </c>
      <c r="CY235" s="751">
        <v>37938</v>
      </c>
      <c r="CZ235" s="751">
        <v>1896957</v>
      </c>
      <c r="DA235" s="662" t="s">
        <v>330</v>
      </c>
      <c r="DB235" s="324" t="s">
        <v>516</v>
      </c>
      <c r="DC235" s="663" t="s">
        <v>515</v>
      </c>
      <c r="DD235" s="529" t="s">
        <v>1441</v>
      </c>
    </row>
    <row r="236" spans="1:108" ht="12.75" x14ac:dyDescent="0.2">
      <c r="A236" s="664">
        <v>229</v>
      </c>
      <c r="B236" s="665" t="s">
        <v>333</v>
      </c>
      <c r="C236" s="666" t="s">
        <v>486</v>
      </c>
      <c r="D236" s="667" t="s">
        <v>1224</v>
      </c>
      <c r="E236" s="668" t="s">
        <v>489</v>
      </c>
      <c r="F236" s="750">
        <v>147138842</v>
      </c>
      <c r="G236" s="751">
        <v>0</v>
      </c>
      <c r="H236" s="751">
        <v>0</v>
      </c>
      <c r="I236" s="751">
        <v>354098</v>
      </c>
      <c r="J236" s="751">
        <v>0</v>
      </c>
      <c r="K236" s="751">
        <v>354098</v>
      </c>
      <c r="L236" s="751">
        <v>0</v>
      </c>
      <c r="M236" s="751">
        <v>18631693</v>
      </c>
      <c r="N236" s="751">
        <v>514094</v>
      </c>
      <c r="O236" s="751">
        <v>514094</v>
      </c>
      <c r="P236" s="751">
        <v>0</v>
      </c>
      <c r="Q236" s="751">
        <v>0</v>
      </c>
      <c r="R236" s="751">
        <v>127638957</v>
      </c>
      <c r="S236" s="749">
        <v>0</v>
      </c>
      <c r="T236" s="749">
        <v>0.94</v>
      </c>
      <c r="U236" s="749">
        <v>0.05</v>
      </c>
      <c r="V236" s="749">
        <v>0.01</v>
      </c>
      <c r="W236" s="749">
        <v>1</v>
      </c>
      <c r="X236" s="751">
        <v>0</v>
      </c>
      <c r="Y236" s="751">
        <v>119980620</v>
      </c>
      <c r="Z236" s="751">
        <v>6381948</v>
      </c>
      <c r="AA236" s="751">
        <v>1276390</v>
      </c>
      <c r="AB236" s="751">
        <v>127638957</v>
      </c>
      <c r="AC236" s="751">
        <v>0</v>
      </c>
      <c r="AD236" s="751">
        <v>0</v>
      </c>
      <c r="AE236" s="751">
        <v>0</v>
      </c>
      <c r="AF236" s="751">
        <v>119980620</v>
      </c>
      <c r="AG236" s="751">
        <v>6381948</v>
      </c>
      <c r="AH236" s="751">
        <v>1276390</v>
      </c>
      <c r="AI236" s="751">
        <v>127638957</v>
      </c>
      <c r="AJ236" s="751">
        <v>354098</v>
      </c>
      <c r="AK236" s="751">
        <v>354098</v>
      </c>
      <c r="AL236" s="751">
        <v>18631693</v>
      </c>
      <c r="AM236" s="751">
        <v>18631693</v>
      </c>
      <c r="AN236" s="751">
        <v>514094</v>
      </c>
      <c r="AO236" s="751">
        <v>0</v>
      </c>
      <c r="AP236" s="751">
        <v>514094</v>
      </c>
      <c r="AQ236" s="751">
        <v>0</v>
      </c>
      <c r="AR236" s="751">
        <v>0</v>
      </c>
      <c r="AS236" s="751">
        <v>0</v>
      </c>
      <c r="AT236" s="751">
        <v>0</v>
      </c>
      <c r="AU236" s="751">
        <v>0</v>
      </c>
      <c r="AV236" s="751">
        <v>0</v>
      </c>
      <c r="AW236" s="751">
        <v>0</v>
      </c>
      <c r="AX236" s="751">
        <v>0</v>
      </c>
      <c r="AY236" s="751">
        <v>0</v>
      </c>
      <c r="AZ236" s="751">
        <v>0</v>
      </c>
      <c r="BA236" s="751">
        <v>0</v>
      </c>
      <c r="BB236" s="751">
        <v>0</v>
      </c>
      <c r="BC236" s="751">
        <v>0</v>
      </c>
      <c r="BD236" s="751">
        <v>-60823899</v>
      </c>
      <c r="BE236" s="751">
        <v>-3235314</v>
      </c>
      <c r="BF236" s="751">
        <v>-647063</v>
      </c>
      <c r="BG236" s="751">
        <v>-64706276</v>
      </c>
      <c r="BH236" s="751">
        <v>0</v>
      </c>
      <c r="BI236" s="751">
        <v>78656606</v>
      </c>
      <c r="BJ236" s="751">
        <v>3146634</v>
      </c>
      <c r="BK236" s="751">
        <v>629327</v>
      </c>
      <c r="BL236" s="751">
        <v>82432566</v>
      </c>
      <c r="BM236" s="751">
        <v>7249071</v>
      </c>
      <c r="BN236" s="751">
        <v>332526</v>
      </c>
      <c r="BO236" s="751">
        <v>66505</v>
      </c>
      <c r="BP236" s="751">
        <v>7648102</v>
      </c>
      <c r="BQ236" s="751">
        <v>5215439</v>
      </c>
      <c r="BR236" s="751">
        <v>276093</v>
      </c>
      <c r="BS236" s="751">
        <v>55219</v>
      </c>
      <c r="BT236" s="751">
        <v>5546751</v>
      </c>
      <c r="BU236" s="751">
        <v>93474</v>
      </c>
      <c r="BV236" s="751">
        <v>4885</v>
      </c>
      <c r="BW236" s="751">
        <v>977</v>
      </c>
      <c r="BX236" s="751">
        <v>99336</v>
      </c>
      <c r="BY236" s="751">
        <v>46738</v>
      </c>
      <c r="BZ236" s="751">
        <v>2486</v>
      </c>
      <c r="CA236" s="751">
        <v>497</v>
      </c>
      <c r="CB236" s="751">
        <v>49721</v>
      </c>
      <c r="CC236" s="751">
        <v>15689</v>
      </c>
      <c r="CD236" s="751">
        <v>834</v>
      </c>
      <c r="CE236" s="751">
        <v>167</v>
      </c>
      <c r="CF236" s="751">
        <v>16690</v>
      </c>
      <c r="CG236" s="751">
        <v>46007</v>
      </c>
      <c r="CH236" s="751">
        <v>2425</v>
      </c>
      <c r="CI236" s="751">
        <v>485</v>
      </c>
      <c r="CJ236" s="751">
        <v>48917</v>
      </c>
      <c r="CK236" s="751">
        <v>0</v>
      </c>
      <c r="CL236" s="751">
        <v>0</v>
      </c>
      <c r="CM236" s="751">
        <v>0</v>
      </c>
      <c r="CN236" s="751">
        <v>0</v>
      </c>
      <c r="CO236" s="751">
        <v>0</v>
      </c>
      <c r="CP236" s="751">
        <v>0</v>
      </c>
      <c r="CQ236" s="751">
        <v>0</v>
      </c>
      <c r="CR236" s="751">
        <v>0</v>
      </c>
      <c r="CS236" s="751">
        <v>0</v>
      </c>
      <c r="CT236" s="751">
        <v>0</v>
      </c>
      <c r="CU236" s="751">
        <v>0</v>
      </c>
      <c r="CV236" s="751">
        <v>0</v>
      </c>
      <c r="CW236" s="751">
        <v>12666418</v>
      </c>
      <c r="CX236" s="751">
        <v>619249</v>
      </c>
      <c r="CY236" s="751">
        <v>123850</v>
      </c>
      <c r="CZ236" s="751">
        <v>13409517</v>
      </c>
      <c r="DA236" s="662" t="s">
        <v>489</v>
      </c>
      <c r="DB236" s="324" t="s">
        <v>1918</v>
      </c>
      <c r="DC236" s="663" t="s">
        <v>487</v>
      </c>
      <c r="DD236" s="529" t="s">
        <v>1442</v>
      </c>
    </row>
    <row r="237" spans="1:108" ht="12.75" x14ac:dyDescent="0.2">
      <c r="A237" s="664">
        <v>230</v>
      </c>
      <c r="B237" s="665" t="s">
        <v>335</v>
      </c>
      <c r="C237" s="666" t="s">
        <v>1201</v>
      </c>
      <c r="D237" s="667" t="s">
        <v>1224</v>
      </c>
      <c r="E237" s="668" t="s">
        <v>334</v>
      </c>
      <c r="F237" s="750">
        <v>28840694</v>
      </c>
      <c r="G237" s="751">
        <v>0</v>
      </c>
      <c r="H237" s="751">
        <v>191114</v>
      </c>
      <c r="I237" s="751">
        <v>211537</v>
      </c>
      <c r="J237" s="751">
        <v>0</v>
      </c>
      <c r="K237" s="751">
        <v>211537</v>
      </c>
      <c r="L237" s="751">
        <v>0</v>
      </c>
      <c r="M237" s="751">
        <v>0</v>
      </c>
      <c r="N237" s="751">
        <v>0</v>
      </c>
      <c r="O237" s="751">
        <v>0</v>
      </c>
      <c r="P237" s="751">
        <v>0</v>
      </c>
      <c r="Q237" s="751">
        <v>0</v>
      </c>
      <c r="R237" s="751">
        <v>28438043</v>
      </c>
      <c r="S237" s="749">
        <v>0.5</v>
      </c>
      <c r="T237" s="749">
        <v>0.4</v>
      </c>
      <c r="U237" s="749">
        <v>0.09</v>
      </c>
      <c r="V237" s="749">
        <v>0.01</v>
      </c>
      <c r="W237" s="749">
        <v>1</v>
      </c>
      <c r="X237" s="751">
        <v>14219022</v>
      </c>
      <c r="Y237" s="751">
        <v>11375217</v>
      </c>
      <c r="Z237" s="751">
        <v>2559424</v>
      </c>
      <c r="AA237" s="751">
        <v>284380</v>
      </c>
      <c r="AB237" s="751">
        <v>28438043</v>
      </c>
      <c r="AC237" s="751">
        <v>0</v>
      </c>
      <c r="AD237" s="751">
        <v>0</v>
      </c>
      <c r="AE237" s="751">
        <v>14219022</v>
      </c>
      <c r="AF237" s="751">
        <v>11375217</v>
      </c>
      <c r="AG237" s="751">
        <v>2559424</v>
      </c>
      <c r="AH237" s="751">
        <v>284380</v>
      </c>
      <c r="AI237" s="751">
        <v>28438043</v>
      </c>
      <c r="AJ237" s="751">
        <v>211537</v>
      </c>
      <c r="AK237" s="751">
        <v>211537</v>
      </c>
      <c r="AL237" s="751">
        <v>0</v>
      </c>
      <c r="AM237" s="751">
        <v>0</v>
      </c>
      <c r="AN237" s="751">
        <v>0</v>
      </c>
      <c r="AO237" s="751">
        <v>0</v>
      </c>
      <c r="AP237" s="751">
        <v>0</v>
      </c>
      <c r="AQ237" s="751">
        <v>0</v>
      </c>
      <c r="AR237" s="751">
        <v>0</v>
      </c>
      <c r="AS237" s="751">
        <v>0</v>
      </c>
      <c r="AT237" s="751">
        <v>0</v>
      </c>
      <c r="AU237" s="751">
        <v>0</v>
      </c>
      <c r="AV237" s="751">
        <v>0</v>
      </c>
      <c r="AW237" s="751">
        <v>0</v>
      </c>
      <c r="AX237" s="751">
        <v>0</v>
      </c>
      <c r="AY237" s="751">
        <v>0</v>
      </c>
      <c r="AZ237" s="751">
        <v>0</v>
      </c>
      <c r="BA237" s="751">
        <v>0</v>
      </c>
      <c r="BB237" s="751">
        <v>0</v>
      </c>
      <c r="BC237" s="751">
        <v>-7592396</v>
      </c>
      <c r="BD237" s="751">
        <v>-6073916</v>
      </c>
      <c r="BE237" s="751">
        <v>-1366631</v>
      </c>
      <c r="BF237" s="751">
        <v>-151848</v>
      </c>
      <c r="BG237" s="751">
        <v>-15184791</v>
      </c>
      <c r="BH237" s="751">
        <v>6626627</v>
      </c>
      <c r="BI237" s="751">
        <v>5512838</v>
      </c>
      <c r="BJ237" s="751">
        <v>1192793</v>
      </c>
      <c r="BK237" s="751">
        <v>132532</v>
      </c>
      <c r="BL237" s="751">
        <v>13464789</v>
      </c>
      <c r="BM237" s="751">
        <v>592697</v>
      </c>
      <c r="BN237" s="751">
        <v>133357</v>
      </c>
      <c r="BO237" s="751">
        <v>14817</v>
      </c>
      <c r="BP237" s="751">
        <v>740871</v>
      </c>
      <c r="BQ237" s="751">
        <v>2588997</v>
      </c>
      <c r="BR237" s="751">
        <v>582525</v>
      </c>
      <c r="BS237" s="751">
        <v>64725</v>
      </c>
      <c r="BT237" s="751">
        <v>3236247</v>
      </c>
      <c r="BU237" s="751">
        <v>85724</v>
      </c>
      <c r="BV237" s="751">
        <v>19288</v>
      </c>
      <c r="BW237" s="751">
        <v>2143</v>
      </c>
      <c r="BX237" s="751">
        <v>107155</v>
      </c>
      <c r="BY237" s="751">
        <v>0</v>
      </c>
      <c r="BZ237" s="751">
        <v>0</v>
      </c>
      <c r="CA237" s="751">
        <v>0</v>
      </c>
      <c r="CB237" s="751">
        <v>0</v>
      </c>
      <c r="CC237" s="751">
        <v>17278</v>
      </c>
      <c r="CD237" s="751">
        <v>3888</v>
      </c>
      <c r="CE237" s="751">
        <v>432</v>
      </c>
      <c r="CF237" s="751">
        <v>21598</v>
      </c>
      <c r="CG237" s="751">
        <v>8001</v>
      </c>
      <c r="CH237" s="751">
        <v>1800</v>
      </c>
      <c r="CI237" s="751">
        <v>200</v>
      </c>
      <c r="CJ237" s="751">
        <v>10001</v>
      </c>
      <c r="CK237" s="751">
        <v>0</v>
      </c>
      <c r="CL237" s="751">
        <v>0</v>
      </c>
      <c r="CM237" s="751">
        <v>0</v>
      </c>
      <c r="CN237" s="751">
        <v>0</v>
      </c>
      <c r="CO237" s="751">
        <v>0</v>
      </c>
      <c r="CP237" s="751">
        <v>0</v>
      </c>
      <c r="CQ237" s="751">
        <v>0</v>
      </c>
      <c r="CR237" s="751">
        <v>0</v>
      </c>
      <c r="CS237" s="751">
        <v>1342</v>
      </c>
      <c r="CT237" s="751">
        <v>302</v>
      </c>
      <c r="CU237" s="751">
        <v>34</v>
      </c>
      <c r="CV237" s="751">
        <v>1678</v>
      </c>
      <c r="CW237" s="751">
        <v>3294039</v>
      </c>
      <c r="CX237" s="751">
        <v>741160</v>
      </c>
      <c r="CY237" s="751">
        <v>82351</v>
      </c>
      <c r="CZ237" s="751">
        <v>4117550</v>
      </c>
      <c r="DA237" s="662" t="s">
        <v>334</v>
      </c>
      <c r="DB237" s="324" t="s">
        <v>521</v>
      </c>
      <c r="DC237" s="663" t="s">
        <v>519</v>
      </c>
      <c r="DD237" s="529" t="s">
        <v>1443</v>
      </c>
    </row>
    <row r="238" spans="1:108" ht="12.75" x14ac:dyDescent="0.2">
      <c r="A238" s="664">
        <v>231</v>
      </c>
      <c r="B238" s="665" t="s">
        <v>337</v>
      </c>
      <c r="C238" s="666" t="s">
        <v>1201</v>
      </c>
      <c r="D238" s="667" t="s">
        <v>1206</v>
      </c>
      <c r="E238" s="668" t="s">
        <v>336</v>
      </c>
      <c r="F238" s="750">
        <v>27553606</v>
      </c>
      <c r="G238" s="751">
        <v>0</v>
      </c>
      <c r="H238" s="751">
        <v>2052675</v>
      </c>
      <c r="I238" s="751">
        <v>105210</v>
      </c>
      <c r="J238" s="751">
        <v>0</v>
      </c>
      <c r="K238" s="751">
        <v>105210</v>
      </c>
      <c r="L238" s="751">
        <v>0</v>
      </c>
      <c r="M238" s="751">
        <v>0</v>
      </c>
      <c r="N238" s="751">
        <v>358647</v>
      </c>
      <c r="O238" s="751">
        <v>304375</v>
      </c>
      <c r="P238" s="751">
        <v>54272</v>
      </c>
      <c r="Q238" s="751">
        <v>0</v>
      </c>
      <c r="R238" s="751">
        <v>25037074</v>
      </c>
      <c r="S238" s="749">
        <v>0.5</v>
      </c>
      <c r="T238" s="749">
        <v>0.4</v>
      </c>
      <c r="U238" s="749">
        <v>0.1</v>
      </c>
      <c r="V238" s="749">
        <v>0</v>
      </c>
      <c r="W238" s="749">
        <v>1</v>
      </c>
      <c r="X238" s="751">
        <v>12518537</v>
      </c>
      <c r="Y238" s="751">
        <v>10014830</v>
      </c>
      <c r="Z238" s="751">
        <v>2503707</v>
      </c>
      <c r="AA238" s="751">
        <v>0</v>
      </c>
      <c r="AB238" s="751">
        <v>25037074</v>
      </c>
      <c r="AC238" s="751">
        <v>0</v>
      </c>
      <c r="AD238" s="751">
        <v>0</v>
      </c>
      <c r="AE238" s="751">
        <v>12518537</v>
      </c>
      <c r="AF238" s="751">
        <v>10014830</v>
      </c>
      <c r="AG238" s="751">
        <v>2503707</v>
      </c>
      <c r="AH238" s="751">
        <v>0</v>
      </c>
      <c r="AI238" s="751">
        <v>25037074</v>
      </c>
      <c r="AJ238" s="751">
        <v>105210</v>
      </c>
      <c r="AK238" s="751">
        <v>105210</v>
      </c>
      <c r="AL238" s="751">
        <v>0</v>
      </c>
      <c r="AM238" s="751">
        <v>0</v>
      </c>
      <c r="AN238" s="751">
        <v>304375</v>
      </c>
      <c r="AO238" s="751">
        <v>54272</v>
      </c>
      <c r="AP238" s="751">
        <v>358647</v>
      </c>
      <c r="AQ238" s="751">
        <v>0</v>
      </c>
      <c r="AR238" s="751">
        <v>0</v>
      </c>
      <c r="AS238" s="751">
        <v>0</v>
      </c>
      <c r="AT238" s="751">
        <v>0</v>
      </c>
      <c r="AU238" s="751">
        <v>0</v>
      </c>
      <c r="AV238" s="751">
        <v>0</v>
      </c>
      <c r="AW238" s="751">
        <v>0</v>
      </c>
      <c r="AX238" s="751">
        <v>0</v>
      </c>
      <c r="AY238" s="751">
        <v>0</v>
      </c>
      <c r="AZ238" s="751">
        <v>0</v>
      </c>
      <c r="BA238" s="751">
        <v>0</v>
      </c>
      <c r="BB238" s="751">
        <v>0</v>
      </c>
      <c r="BC238" s="751">
        <v>-3698046</v>
      </c>
      <c r="BD238" s="751">
        <v>-2958437</v>
      </c>
      <c r="BE238" s="751">
        <v>-739609</v>
      </c>
      <c r="BF238" s="751">
        <v>0</v>
      </c>
      <c r="BG238" s="751">
        <v>-7396092</v>
      </c>
      <c r="BH238" s="751">
        <v>8820491</v>
      </c>
      <c r="BI238" s="751">
        <v>7465978</v>
      </c>
      <c r="BJ238" s="751">
        <v>1818370</v>
      </c>
      <c r="BK238" s="751">
        <v>0</v>
      </c>
      <c r="BL238" s="751">
        <v>18104839</v>
      </c>
      <c r="BM238" s="751">
        <v>537674</v>
      </c>
      <c r="BN238" s="751">
        <v>133281</v>
      </c>
      <c r="BO238" s="751">
        <v>0</v>
      </c>
      <c r="BP238" s="751">
        <v>670955</v>
      </c>
      <c r="BQ238" s="751">
        <v>852870</v>
      </c>
      <c r="BR238" s="751">
        <v>213217</v>
      </c>
      <c r="BS238" s="751">
        <v>0</v>
      </c>
      <c r="BT238" s="751">
        <v>1066087</v>
      </c>
      <c r="BU238" s="751">
        <v>48739</v>
      </c>
      <c r="BV238" s="751">
        <v>12185</v>
      </c>
      <c r="BW238" s="751">
        <v>0</v>
      </c>
      <c r="BX238" s="751">
        <v>60924</v>
      </c>
      <c r="BY238" s="751">
        <v>0</v>
      </c>
      <c r="BZ238" s="751">
        <v>0</v>
      </c>
      <c r="CA238" s="751">
        <v>0</v>
      </c>
      <c r="CB238" s="751">
        <v>0</v>
      </c>
      <c r="CC238" s="751">
        <v>13827</v>
      </c>
      <c r="CD238" s="751">
        <v>3457</v>
      </c>
      <c r="CE238" s="751">
        <v>0</v>
      </c>
      <c r="CF238" s="751">
        <v>17284</v>
      </c>
      <c r="CG238" s="751">
        <v>8415</v>
      </c>
      <c r="CH238" s="751">
        <v>2104</v>
      </c>
      <c r="CI238" s="751">
        <v>0</v>
      </c>
      <c r="CJ238" s="751">
        <v>10519</v>
      </c>
      <c r="CK238" s="751">
        <v>0</v>
      </c>
      <c r="CL238" s="751">
        <v>0</v>
      </c>
      <c r="CM238" s="751">
        <v>0</v>
      </c>
      <c r="CN238" s="751">
        <v>0</v>
      </c>
      <c r="CO238" s="751">
        <v>0</v>
      </c>
      <c r="CP238" s="751">
        <v>0</v>
      </c>
      <c r="CQ238" s="751">
        <v>0</v>
      </c>
      <c r="CR238" s="751">
        <v>0</v>
      </c>
      <c r="CS238" s="751">
        <v>0</v>
      </c>
      <c r="CT238" s="751">
        <v>0</v>
      </c>
      <c r="CU238" s="751">
        <v>0</v>
      </c>
      <c r="CV238" s="751">
        <v>0</v>
      </c>
      <c r="CW238" s="751">
        <v>1461525</v>
      </c>
      <c r="CX238" s="751">
        <v>364244</v>
      </c>
      <c r="CY238" s="751">
        <v>0</v>
      </c>
      <c r="CZ238" s="751">
        <v>1825769</v>
      </c>
      <c r="DA238" s="662" t="s">
        <v>336</v>
      </c>
      <c r="DB238" s="324" t="s">
        <v>552</v>
      </c>
      <c r="DC238" s="663" t="s">
        <v>512</v>
      </c>
      <c r="DD238" s="529" t="s">
        <v>1444</v>
      </c>
    </row>
    <row r="239" spans="1:108" ht="12.75" x14ac:dyDescent="0.2">
      <c r="A239" s="664">
        <v>232</v>
      </c>
      <c r="B239" s="665" t="s">
        <v>339</v>
      </c>
      <c r="C239" s="666" t="s">
        <v>1201</v>
      </c>
      <c r="D239" s="667" t="s">
        <v>1206</v>
      </c>
      <c r="E239" s="668" t="s">
        <v>338</v>
      </c>
      <c r="F239" s="750">
        <v>42233671</v>
      </c>
      <c r="G239" s="751">
        <v>33573</v>
      </c>
      <c r="H239" s="751">
        <v>0</v>
      </c>
      <c r="I239" s="751">
        <v>173814</v>
      </c>
      <c r="J239" s="751">
        <v>0</v>
      </c>
      <c r="K239" s="751">
        <v>173814</v>
      </c>
      <c r="L239" s="751">
        <v>0</v>
      </c>
      <c r="M239" s="751">
        <v>0</v>
      </c>
      <c r="N239" s="751">
        <v>225223</v>
      </c>
      <c r="O239" s="751">
        <v>225129</v>
      </c>
      <c r="P239" s="751">
        <v>94</v>
      </c>
      <c r="Q239" s="751">
        <v>0</v>
      </c>
      <c r="R239" s="751">
        <v>41868207</v>
      </c>
      <c r="S239" s="749">
        <v>0.5</v>
      </c>
      <c r="T239" s="749">
        <v>0.4</v>
      </c>
      <c r="U239" s="749">
        <v>0.1</v>
      </c>
      <c r="V239" s="749">
        <v>0</v>
      </c>
      <c r="W239" s="749">
        <v>1</v>
      </c>
      <c r="X239" s="751">
        <v>20934103</v>
      </c>
      <c r="Y239" s="751">
        <v>16747283</v>
      </c>
      <c r="Z239" s="751">
        <v>4186821</v>
      </c>
      <c r="AA239" s="751">
        <v>0</v>
      </c>
      <c r="AB239" s="751">
        <v>41868207</v>
      </c>
      <c r="AC239" s="751">
        <v>0</v>
      </c>
      <c r="AD239" s="751">
        <v>0</v>
      </c>
      <c r="AE239" s="751">
        <v>20934103</v>
      </c>
      <c r="AF239" s="751">
        <v>16747283</v>
      </c>
      <c r="AG239" s="751">
        <v>4186821</v>
      </c>
      <c r="AH239" s="751">
        <v>0</v>
      </c>
      <c r="AI239" s="751">
        <v>41868207</v>
      </c>
      <c r="AJ239" s="751">
        <v>173814</v>
      </c>
      <c r="AK239" s="751">
        <v>173814</v>
      </c>
      <c r="AL239" s="751">
        <v>0</v>
      </c>
      <c r="AM239" s="751">
        <v>0</v>
      </c>
      <c r="AN239" s="751">
        <v>225129</v>
      </c>
      <c r="AO239" s="751">
        <v>94</v>
      </c>
      <c r="AP239" s="751">
        <v>225223</v>
      </c>
      <c r="AQ239" s="751">
        <v>0</v>
      </c>
      <c r="AR239" s="751">
        <v>0</v>
      </c>
      <c r="AS239" s="751">
        <v>0</v>
      </c>
      <c r="AT239" s="751">
        <v>0</v>
      </c>
      <c r="AU239" s="751">
        <v>0</v>
      </c>
      <c r="AV239" s="751">
        <v>0</v>
      </c>
      <c r="AW239" s="751">
        <v>0</v>
      </c>
      <c r="AX239" s="751">
        <v>0</v>
      </c>
      <c r="AY239" s="751">
        <v>0</v>
      </c>
      <c r="AZ239" s="751">
        <v>0</v>
      </c>
      <c r="BA239" s="751">
        <v>0</v>
      </c>
      <c r="BB239" s="751">
        <v>0</v>
      </c>
      <c r="BC239" s="751">
        <v>-11244565</v>
      </c>
      <c r="BD239" s="751">
        <v>-8995652</v>
      </c>
      <c r="BE239" s="751">
        <v>-2248913</v>
      </c>
      <c r="BF239" s="751">
        <v>0</v>
      </c>
      <c r="BG239" s="751">
        <v>-22489129</v>
      </c>
      <c r="BH239" s="751">
        <v>9689538</v>
      </c>
      <c r="BI239" s="751">
        <v>8150574</v>
      </c>
      <c r="BJ239" s="751">
        <v>1938002</v>
      </c>
      <c r="BK239" s="751">
        <v>0</v>
      </c>
      <c r="BL239" s="751">
        <v>19778115</v>
      </c>
      <c r="BM239" s="751">
        <v>884334</v>
      </c>
      <c r="BN239" s="751">
        <v>218156</v>
      </c>
      <c r="BO239" s="751">
        <v>0</v>
      </c>
      <c r="BP239" s="751">
        <v>1102490</v>
      </c>
      <c r="BQ239" s="751">
        <v>1553049</v>
      </c>
      <c r="BR239" s="751">
        <v>388262</v>
      </c>
      <c r="BS239" s="751">
        <v>0</v>
      </c>
      <c r="BT239" s="751">
        <v>1941311</v>
      </c>
      <c r="BU239" s="751">
        <v>102468</v>
      </c>
      <c r="BV239" s="751">
        <v>25617</v>
      </c>
      <c r="BW239" s="751">
        <v>0</v>
      </c>
      <c r="BX239" s="751">
        <v>128085</v>
      </c>
      <c r="BY239" s="751">
        <v>0</v>
      </c>
      <c r="BZ239" s="751">
        <v>0</v>
      </c>
      <c r="CA239" s="751">
        <v>0</v>
      </c>
      <c r="CB239" s="751">
        <v>0</v>
      </c>
      <c r="CC239" s="751">
        <v>19766</v>
      </c>
      <c r="CD239" s="751">
        <v>4941</v>
      </c>
      <c r="CE239" s="751">
        <v>0</v>
      </c>
      <c r="CF239" s="751">
        <v>24707</v>
      </c>
      <c r="CG239" s="751">
        <v>10596</v>
      </c>
      <c r="CH239" s="751">
        <v>2649</v>
      </c>
      <c r="CI239" s="751">
        <v>0</v>
      </c>
      <c r="CJ239" s="751">
        <v>13245</v>
      </c>
      <c r="CK239" s="751">
        <v>0</v>
      </c>
      <c r="CL239" s="751">
        <v>0</v>
      </c>
      <c r="CM239" s="751">
        <v>0</v>
      </c>
      <c r="CN239" s="751">
        <v>0</v>
      </c>
      <c r="CO239" s="751">
        <v>0</v>
      </c>
      <c r="CP239" s="751">
        <v>0</v>
      </c>
      <c r="CQ239" s="751">
        <v>0</v>
      </c>
      <c r="CR239" s="751">
        <v>0</v>
      </c>
      <c r="CS239" s="751">
        <v>1262</v>
      </c>
      <c r="CT239" s="751">
        <v>316</v>
      </c>
      <c r="CU239" s="751">
        <v>0</v>
      </c>
      <c r="CV239" s="751">
        <v>1578</v>
      </c>
      <c r="CW239" s="751">
        <v>2571475</v>
      </c>
      <c r="CX239" s="751">
        <v>639941</v>
      </c>
      <c r="CY239" s="751">
        <v>0</v>
      </c>
      <c r="CZ239" s="751">
        <v>3211416</v>
      </c>
      <c r="DA239" s="662" t="s">
        <v>338</v>
      </c>
      <c r="DB239" s="324" t="s">
        <v>552</v>
      </c>
      <c r="DC239" s="663" t="s">
        <v>512</v>
      </c>
      <c r="DD239" s="529" t="s">
        <v>1445</v>
      </c>
    </row>
    <row r="240" spans="1:108" ht="12.75" x14ac:dyDescent="0.2">
      <c r="A240" s="664">
        <v>233</v>
      </c>
      <c r="B240" s="665" t="s">
        <v>341</v>
      </c>
      <c r="C240" s="666" t="s">
        <v>1201</v>
      </c>
      <c r="D240" s="667" t="s">
        <v>1204</v>
      </c>
      <c r="E240" s="668" t="s">
        <v>340</v>
      </c>
      <c r="F240" s="750">
        <v>44768730</v>
      </c>
      <c r="G240" s="751">
        <v>144336</v>
      </c>
      <c r="H240" s="751">
        <v>0</v>
      </c>
      <c r="I240" s="751">
        <v>305340</v>
      </c>
      <c r="J240" s="751">
        <v>0</v>
      </c>
      <c r="K240" s="751">
        <v>305340</v>
      </c>
      <c r="L240" s="751">
        <v>0</v>
      </c>
      <c r="M240" s="751">
        <v>0</v>
      </c>
      <c r="N240" s="751">
        <v>0</v>
      </c>
      <c r="O240" s="751">
        <v>0</v>
      </c>
      <c r="P240" s="751">
        <v>0</v>
      </c>
      <c r="Q240" s="751">
        <v>0</v>
      </c>
      <c r="R240" s="751">
        <v>44607726</v>
      </c>
      <c r="S240" s="749">
        <v>0.5</v>
      </c>
      <c r="T240" s="749">
        <v>0.4</v>
      </c>
      <c r="U240" s="749">
        <v>0.1</v>
      </c>
      <c r="V240" s="749">
        <v>0</v>
      </c>
      <c r="W240" s="749">
        <v>1</v>
      </c>
      <c r="X240" s="751">
        <v>22303863</v>
      </c>
      <c r="Y240" s="751">
        <v>17843090</v>
      </c>
      <c r="Z240" s="751">
        <v>4460773</v>
      </c>
      <c r="AA240" s="751">
        <v>0</v>
      </c>
      <c r="AB240" s="751">
        <v>44607726</v>
      </c>
      <c r="AC240" s="751">
        <v>0</v>
      </c>
      <c r="AD240" s="751">
        <v>0</v>
      </c>
      <c r="AE240" s="751">
        <v>22303863</v>
      </c>
      <c r="AF240" s="751">
        <v>17843090</v>
      </c>
      <c r="AG240" s="751">
        <v>4460773</v>
      </c>
      <c r="AH240" s="751">
        <v>0</v>
      </c>
      <c r="AI240" s="751">
        <v>44607726</v>
      </c>
      <c r="AJ240" s="751">
        <v>305340</v>
      </c>
      <c r="AK240" s="751">
        <v>305340</v>
      </c>
      <c r="AL240" s="751">
        <v>0</v>
      </c>
      <c r="AM240" s="751">
        <v>0</v>
      </c>
      <c r="AN240" s="751">
        <v>0</v>
      </c>
      <c r="AO240" s="751">
        <v>0</v>
      </c>
      <c r="AP240" s="751">
        <v>0</v>
      </c>
      <c r="AQ240" s="751">
        <v>0</v>
      </c>
      <c r="AR240" s="751">
        <v>0</v>
      </c>
      <c r="AS240" s="751">
        <v>0</v>
      </c>
      <c r="AT240" s="751">
        <v>0</v>
      </c>
      <c r="AU240" s="751">
        <v>0</v>
      </c>
      <c r="AV240" s="751">
        <v>0</v>
      </c>
      <c r="AW240" s="751">
        <v>0</v>
      </c>
      <c r="AX240" s="751">
        <v>0</v>
      </c>
      <c r="AY240" s="751">
        <v>0</v>
      </c>
      <c r="AZ240" s="751">
        <v>0</v>
      </c>
      <c r="BA240" s="751">
        <v>0</v>
      </c>
      <c r="BB240" s="751">
        <v>0</v>
      </c>
      <c r="BC240" s="751">
        <v>-13947668</v>
      </c>
      <c r="BD240" s="751">
        <v>-11158134</v>
      </c>
      <c r="BE240" s="751">
        <v>-2789534</v>
      </c>
      <c r="BF240" s="751">
        <v>0</v>
      </c>
      <c r="BG240" s="751">
        <v>-27895336</v>
      </c>
      <c r="BH240" s="751">
        <v>8356195</v>
      </c>
      <c r="BI240" s="751">
        <v>6990296</v>
      </c>
      <c r="BJ240" s="751">
        <v>1671239</v>
      </c>
      <c r="BK240" s="751">
        <v>0</v>
      </c>
      <c r="BL240" s="751">
        <v>17017730</v>
      </c>
      <c r="BM240" s="751">
        <v>929700</v>
      </c>
      <c r="BN240" s="751">
        <v>232425</v>
      </c>
      <c r="BO240" s="751">
        <v>0</v>
      </c>
      <c r="BP240" s="751">
        <v>1162125</v>
      </c>
      <c r="BQ240" s="751">
        <v>3112212</v>
      </c>
      <c r="BR240" s="751">
        <v>778053</v>
      </c>
      <c r="BS240" s="751">
        <v>0</v>
      </c>
      <c r="BT240" s="751">
        <v>3890265</v>
      </c>
      <c r="BU240" s="751">
        <v>125546</v>
      </c>
      <c r="BV240" s="751">
        <v>31387</v>
      </c>
      <c r="BW240" s="751">
        <v>0</v>
      </c>
      <c r="BX240" s="751">
        <v>156933</v>
      </c>
      <c r="BY240" s="751">
        <v>1901</v>
      </c>
      <c r="BZ240" s="751">
        <v>475</v>
      </c>
      <c r="CA240" s="751">
        <v>0</v>
      </c>
      <c r="CB240" s="751">
        <v>2376</v>
      </c>
      <c r="CC240" s="751">
        <v>9193</v>
      </c>
      <c r="CD240" s="751">
        <v>2298</v>
      </c>
      <c r="CE240" s="751">
        <v>0</v>
      </c>
      <c r="CF240" s="751">
        <v>11491</v>
      </c>
      <c r="CG240" s="751">
        <v>15845</v>
      </c>
      <c r="CH240" s="751">
        <v>3961</v>
      </c>
      <c r="CI240" s="751">
        <v>0</v>
      </c>
      <c r="CJ240" s="751">
        <v>19806</v>
      </c>
      <c r="CK240" s="751">
        <v>0</v>
      </c>
      <c r="CL240" s="751">
        <v>0</v>
      </c>
      <c r="CM240" s="751">
        <v>0</v>
      </c>
      <c r="CN240" s="751">
        <v>0</v>
      </c>
      <c r="CO240" s="751">
        <v>0</v>
      </c>
      <c r="CP240" s="751">
        <v>0</v>
      </c>
      <c r="CQ240" s="751">
        <v>0</v>
      </c>
      <c r="CR240" s="751">
        <v>0</v>
      </c>
      <c r="CS240" s="751">
        <v>631</v>
      </c>
      <c r="CT240" s="751">
        <v>158</v>
      </c>
      <c r="CU240" s="751">
        <v>0</v>
      </c>
      <c r="CV240" s="751">
        <v>789</v>
      </c>
      <c r="CW240" s="751">
        <v>4195028</v>
      </c>
      <c r="CX240" s="751">
        <v>1048757</v>
      </c>
      <c r="CY240" s="751">
        <v>0</v>
      </c>
      <c r="CZ240" s="751">
        <v>5243785</v>
      </c>
      <c r="DA240" s="662" t="s">
        <v>340</v>
      </c>
      <c r="DB240" s="324" t="s">
        <v>513</v>
      </c>
      <c r="DC240" s="663" t="s">
        <v>512</v>
      </c>
      <c r="DD240" s="529" t="s">
        <v>1446</v>
      </c>
    </row>
    <row r="241" spans="1:108" ht="12.75" x14ac:dyDescent="0.2">
      <c r="A241" s="664">
        <v>234</v>
      </c>
      <c r="B241" s="665" t="s">
        <v>343</v>
      </c>
      <c r="C241" s="666" t="s">
        <v>1201</v>
      </c>
      <c r="D241" s="667" t="s">
        <v>1211</v>
      </c>
      <c r="E241" s="668" t="s">
        <v>342</v>
      </c>
      <c r="F241" s="750">
        <v>32617655</v>
      </c>
      <c r="G241" s="751">
        <v>0</v>
      </c>
      <c r="H241" s="751">
        <v>7349</v>
      </c>
      <c r="I241" s="751">
        <v>176140</v>
      </c>
      <c r="J241" s="751">
        <v>0</v>
      </c>
      <c r="K241" s="751">
        <v>176140</v>
      </c>
      <c r="L241" s="751">
        <v>0</v>
      </c>
      <c r="M241" s="751">
        <v>224853</v>
      </c>
      <c r="N241" s="751">
        <v>180338</v>
      </c>
      <c r="O241" s="751">
        <v>180338</v>
      </c>
      <c r="P241" s="751">
        <v>0</v>
      </c>
      <c r="Q241" s="751">
        <v>0</v>
      </c>
      <c r="R241" s="751">
        <v>32028975</v>
      </c>
      <c r="S241" s="749">
        <v>0.5</v>
      </c>
      <c r="T241" s="749">
        <v>0.4</v>
      </c>
      <c r="U241" s="749">
        <v>0.1</v>
      </c>
      <c r="V241" s="749">
        <v>0</v>
      </c>
      <c r="W241" s="749">
        <v>1</v>
      </c>
      <c r="X241" s="751">
        <v>16014487</v>
      </c>
      <c r="Y241" s="751">
        <v>12811590</v>
      </c>
      <c r="Z241" s="751">
        <v>3202898</v>
      </c>
      <c r="AA241" s="751">
        <v>0</v>
      </c>
      <c r="AB241" s="751">
        <v>32028975</v>
      </c>
      <c r="AC241" s="751">
        <v>361954</v>
      </c>
      <c r="AD241" s="751">
        <v>361954</v>
      </c>
      <c r="AE241" s="751">
        <v>15652533</v>
      </c>
      <c r="AF241" s="751">
        <v>12811590</v>
      </c>
      <c r="AG241" s="751">
        <v>3202898</v>
      </c>
      <c r="AH241" s="751">
        <v>0</v>
      </c>
      <c r="AI241" s="751">
        <v>31667021</v>
      </c>
      <c r="AJ241" s="751">
        <v>176140</v>
      </c>
      <c r="AK241" s="751">
        <v>176140</v>
      </c>
      <c r="AL241" s="751">
        <v>224853</v>
      </c>
      <c r="AM241" s="751">
        <v>224853</v>
      </c>
      <c r="AN241" s="751">
        <v>180338</v>
      </c>
      <c r="AO241" s="751">
        <v>0</v>
      </c>
      <c r="AP241" s="751">
        <v>180338</v>
      </c>
      <c r="AQ241" s="751">
        <v>0</v>
      </c>
      <c r="AR241" s="751">
        <v>0</v>
      </c>
      <c r="AS241" s="751">
        <v>0</v>
      </c>
      <c r="AT241" s="751">
        <v>0</v>
      </c>
      <c r="AU241" s="751">
        <v>361954</v>
      </c>
      <c r="AV241" s="751">
        <v>0</v>
      </c>
      <c r="AW241" s="751">
        <v>0</v>
      </c>
      <c r="AX241" s="751">
        <v>361954</v>
      </c>
      <c r="AY241" s="751">
        <v>0</v>
      </c>
      <c r="AZ241" s="751">
        <v>0</v>
      </c>
      <c r="BA241" s="751">
        <v>0</v>
      </c>
      <c r="BB241" s="751">
        <v>0</v>
      </c>
      <c r="BC241" s="751">
        <v>-6499496</v>
      </c>
      <c r="BD241" s="751">
        <v>-5246142</v>
      </c>
      <c r="BE241" s="751">
        <v>-1356788</v>
      </c>
      <c r="BF241" s="751">
        <v>0</v>
      </c>
      <c r="BG241" s="751">
        <v>-13102426</v>
      </c>
      <c r="BH241" s="751">
        <v>9153037</v>
      </c>
      <c r="BI241" s="751">
        <v>8508733</v>
      </c>
      <c r="BJ241" s="751">
        <v>1846110</v>
      </c>
      <c r="BK241" s="751">
        <v>0</v>
      </c>
      <c r="BL241" s="751">
        <v>19507880</v>
      </c>
      <c r="BM241" s="751">
        <v>707509</v>
      </c>
      <c r="BN241" s="751">
        <v>166884</v>
      </c>
      <c r="BO241" s="751">
        <v>0</v>
      </c>
      <c r="BP241" s="751">
        <v>874393</v>
      </c>
      <c r="BQ241" s="751">
        <v>1448909</v>
      </c>
      <c r="BR241" s="751">
        <v>361308</v>
      </c>
      <c r="BS241" s="751">
        <v>0</v>
      </c>
      <c r="BT241" s="751">
        <v>1810217</v>
      </c>
      <c r="BU241" s="751">
        <v>68988</v>
      </c>
      <c r="BV241" s="751">
        <v>17019</v>
      </c>
      <c r="BW241" s="751">
        <v>0</v>
      </c>
      <c r="BX241" s="751">
        <v>86007</v>
      </c>
      <c r="BY241" s="751">
        <v>2261</v>
      </c>
      <c r="BZ241" s="751">
        <v>565</v>
      </c>
      <c r="CA241" s="751">
        <v>0</v>
      </c>
      <c r="CB241" s="751">
        <v>2826</v>
      </c>
      <c r="CC241" s="751">
        <v>28686</v>
      </c>
      <c r="CD241" s="751">
        <v>7171</v>
      </c>
      <c r="CE241" s="751">
        <v>0</v>
      </c>
      <c r="CF241" s="751">
        <v>35857</v>
      </c>
      <c r="CG241" s="751">
        <v>1159</v>
      </c>
      <c r="CH241" s="751">
        <v>290</v>
      </c>
      <c r="CI241" s="751">
        <v>0</v>
      </c>
      <c r="CJ241" s="751">
        <v>1449</v>
      </c>
      <c r="CK241" s="751">
        <v>0</v>
      </c>
      <c r="CL241" s="751">
        <v>0</v>
      </c>
      <c r="CM241" s="751">
        <v>0</v>
      </c>
      <c r="CN241" s="751">
        <v>0</v>
      </c>
      <c r="CO241" s="751">
        <v>0</v>
      </c>
      <c r="CP241" s="751">
        <v>0</v>
      </c>
      <c r="CQ241" s="751">
        <v>0</v>
      </c>
      <c r="CR241" s="751">
        <v>0</v>
      </c>
      <c r="CS241" s="751">
        <v>631</v>
      </c>
      <c r="CT241" s="751">
        <v>158</v>
      </c>
      <c r="CU241" s="751">
        <v>0</v>
      </c>
      <c r="CV241" s="751">
        <v>789</v>
      </c>
      <c r="CW241" s="751">
        <v>2258143</v>
      </c>
      <c r="CX241" s="751">
        <v>553395</v>
      </c>
      <c r="CY241" s="751">
        <v>0</v>
      </c>
      <c r="CZ241" s="751">
        <v>2811538</v>
      </c>
      <c r="DA241" s="662" t="s">
        <v>342</v>
      </c>
      <c r="DB241" s="324" t="s">
        <v>553</v>
      </c>
      <c r="DC241" s="663" t="s">
        <v>512</v>
      </c>
      <c r="DD241" s="529" t="s">
        <v>1447</v>
      </c>
    </row>
    <row r="242" spans="1:108" ht="12.75" x14ac:dyDescent="0.2">
      <c r="A242" s="664">
        <v>235</v>
      </c>
      <c r="B242" s="665" t="s">
        <v>345</v>
      </c>
      <c r="C242" s="666" t="s">
        <v>1201</v>
      </c>
      <c r="D242" s="667" t="s">
        <v>1202</v>
      </c>
      <c r="E242" s="668" t="s">
        <v>344</v>
      </c>
      <c r="F242" s="750">
        <v>45520237</v>
      </c>
      <c r="G242" s="751">
        <v>147144</v>
      </c>
      <c r="H242" s="751">
        <v>0</v>
      </c>
      <c r="I242" s="751">
        <v>178166</v>
      </c>
      <c r="J242" s="751">
        <v>0</v>
      </c>
      <c r="K242" s="751">
        <v>178166</v>
      </c>
      <c r="L242" s="751">
        <v>0</v>
      </c>
      <c r="M242" s="751">
        <v>33616</v>
      </c>
      <c r="N242" s="751">
        <v>76894</v>
      </c>
      <c r="O242" s="751">
        <v>76894</v>
      </c>
      <c r="P242" s="751">
        <v>0</v>
      </c>
      <c r="Q242" s="751">
        <v>0</v>
      </c>
      <c r="R242" s="751">
        <v>45378705</v>
      </c>
      <c r="S242" s="749">
        <v>0.5</v>
      </c>
      <c r="T242" s="749">
        <v>0.4</v>
      </c>
      <c r="U242" s="749">
        <v>0.1</v>
      </c>
      <c r="V242" s="749">
        <v>0</v>
      </c>
      <c r="W242" s="749">
        <v>1</v>
      </c>
      <c r="X242" s="751">
        <v>22689352</v>
      </c>
      <c r="Y242" s="751">
        <v>18151482</v>
      </c>
      <c r="Z242" s="751">
        <v>4537871</v>
      </c>
      <c r="AA242" s="751">
        <v>0</v>
      </c>
      <c r="AB242" s="751">
        <v>45378705</v>
      </c>
      <c r="AC242" s="751">
        <v>0</v>
      </c>
      <c r="AD242" s="751">
        <v>0</v>
      </c>
      <c r="AE242" s="751">
        <v>22689352</v>
      </c>
      <c r="AF242" s="751">
        <v>18151482</v>
      </c>
      <c r="AG242" s="751">
        <v>4537871</v>
      </c>
      <c r="AH242" s="751">
        <v>0</v>
      </c>
      <c r="AI242" s="751">
        <v>45378705</v>
      </c>
      <c r="AJ242" s="751">
        <v>178166</v>
      </c>
      <c r="AK242" s="751">
        <v>178166</v>
      </c>
      <c r="AL242" s="751">
        <v>33616</v>
      </c>
      <c r="AM242" s="751">
        <v>33616</v>
      </c>
      <c r="AN242" s="751">
        <v>76894</v>
      </c>
      <c r="AO242" s="751">
        <v>0</v>
      </c>
      <c r="AP242" s="751">
        <v>76894</v>
      </c>
      <c r="AQ242" s="751">
        <v>0</v>
      </c>
      <c r="AR242" s="751">
        <v>0</v>
      </c>
      <c r="AS242" s="751">
        <v>0</v>
      </c>
      <c r="AT242" s="751">
        <v>0</v>
      </c>
      <c r="AU242" s="751">
        <v>0</v>
      </c>
      <c r="AV242" s="751">
        <v>0</v>
      </c>
      <c r="AW242" s="751">
        <v>0</v>
      </c>
      <c r="AX242" s="751">
        <v>0</v>
      </c>
      <c r="AY242" s="751">
        <v>0</v>
      </c>
      <c r="AZ242" s="751">
        <v>0</v>
      </c>
      <c r="BA242" s="751">
        <v>0</v>
      </c>
      <c r="BB242" s="751">
        <v>0</v>
      </c>
      <c r="BC242" s="751">
        <v>-10842422</v>
      </c>
      <c r="BD242" s="751">
        <v>-8673938</v>
      </c>
      <c r="BE242" s="751">
        <v>-2168484</v>
      </c>
      <c r="BF242" s="751">
        <v>0</v>
      </c>
      <c r="BG242" s="751">
        <v>-21684844</v>
      </c>
      <c r="BH242" s="751">
        <v>11846930</v>
      </c>
      <c r="BI242" s="751">
        <v>9766220</v>
      </c>
      <c r="BJ242" s="751">
        <v>2369387</v>
      </c>
      <c r="BK242" s="751">
        <v>0</v>
      </c>
      <c r="BL242" s="751">
        <v>23982537</v>
      </c>
      <c r="BM242" s="751">
        <v>951527</v>
      </c>
      <c r="BN242" s="751">
        <v>236442</v>
      </c>
      <c r="BO242" s="751">
        <v>0</v>
      </c>
      <c r="BP242" s="751">
        <v>1187969</v>
      </c>
      <c r="BQ242" s="751">
        <v>1260125</v>
      </c>
      <c r="BR242" s="751">
        <v>315031</v>
      </c>
      <c r="BS242" s="751">
        <v>0</v>
      </c>
      <c r="BT242" s="751">
        <v>1575156</v>
      </c>
      <c r="BU242" s="751">
        <v>104166</v>
      </c>
      <c r="BV242" s="751">
        <v>26041</v>
      </c>
      <c r="BW242" s="751">
        <v>0</v>
      </c>
      <c r="BX242" s="751">
        <v>130207</v>
      </c>
      <c r="BY242" s="751">
        <v>0</v>
      </c>
      <c r="BZ242" s="751">
        <v>0</v>
      </c>
      <c r="CA242" s="751">
        <v>0</v>
      </c>
      <c r="CB242" s="751">
        <v>0</v>
      </c>
      <c r="CC242" s="751">
        <v>14650</v>
      </c>
      <c r="CD242" s="751">
        <v>3663</v>
      </c>
      <c r="CE242" s="751">
        <v>0</v>
      </c>
      <c r="CF242" s="751">
        <v>18313</v>
      </c>
      <c r="CG242" s="751">
        <v>14803</v>
      </c>
      <c r="CH242" s="751">
        <v>3701</v>
      </c>
      <c r="CI242" s="751">
        <v>0</v>
      </c>
      <c r="CJ242" s="751">
        <v>18504</v>
      </c>
      <c r="CK242" s="751">
        <v>0</v>
      </c>
      <c r="CL242" s="751">
        <v>0</v>
      </c>
      <c r="CM242" s="751">
        <v>0</v>
      </c>
      <c r="CN242" s="751">
        <v>0</v>
      </c>
      <c r="CO242" s="751">
        <v>0</v>
      </c>
      <c r="CP242" s="751">
        <v>0</v>
      </c>
      <c r="CQ242" s="751">
        <v>0</v>
      </c>
      <c r="CR242" s="751">
        <v>0</v>
      </c>
      <c r="CS242" s="751">
        <v>0</v>
      </c>
      <c r="CT242" s="751">
        <v>0</v>
      </c>
      <c r="CU242" s="751">
        <v>0</v>
      </c>
      <c r="CV242" s="751">
        <v>0</v>
      </c>
      <c r="CW242" s="751">
        <v>2345271</v>
      </c>
      <c r="CX242" s="751">
        <v>584878</v>
      </c>
      <c r="CY242" s="751">
        <v>0</v>
      </c>
      <c r="CZ242" s="751">
        <v>2930149</v>
      </c>
      <c r="DA242" s="662" t="s">
        <v>344</v>
      </c>
      <c r="DB242" s="324" t="s">
        <v>560</v>
      </c>
      <c r="DC242" s="663" t="s">
        <v>512</v>
      </c>
      <c r="DD242" s="529" t="s">
        <v>1448</v>
      </c>
    </row>
    <row r="243" spans="1:108" ht="12.75" x14ac:dyDescent="0.2">
      <c r="A243" s="664">
        <v>236</v>
      </c>
      <c r="B243" s="665" t="s">
        <v>347</v>
      </c>
      <c r="C243" s="666" t="s">
        <v>1201</v>
      </c>
      <c r="D243" s="667" t="s">
        <v>1204</v>
      </c>
      <c r="E243" s="668" t="s">
        <v>346</v>
      </c>
      <c r="F243" s="750">
        <v>36004645</v>
      </c>
      <c r="G243" s="751">
        <v>14168</v>
      </c>
      <c r="H243" s="751">
        <v>0</v>
      </c>
      <c r="I243" s="751">
        <v>127519</v>
      </c>
      <c r="J243" s="751">
        <v>0</v>
      </c>
      <c r="K243" s="751">
        <v>127519</v>
      </c>
      <c r="L243" s="751">
        <v>0</v>
      </c>
      <c r="M243" s="751">
        <v>170241</v>
      </c>
      <c r="N243" s="751">
        <v>78211</v>
      </c>
      <c r="O243" s="751">
        <v>78211</v>
      </c>
      <c r="P243" s="751">
        <v>0</v>
      </c>
      <c r="Q243" s="751">
        <v>0</v>
      </c>
      <c r="R243" s="751">
        <v>35642842</v>
      </c>
      <c r="S243" s="749">
        <v>0.5</v>
      </c>
      <c r="T243" s="749">
        <v>0.4</v>
      </c>
      <c r="U243" s="749">
        <v>0.09</v>
      </c>
      <c r="V243" s="749">
        <v>0.01</v>
      </c>
      <c r="W243" s="749">
        <v>1</v>
      </c>
      <c r="X243" s="751">
        <v>17821421</v>
      </c>
      <c r="Y243" s="751">
        <v>14257137</v>
      </c>
      <c r="Z243" s="751">
        <v>3207856</v>
      </c>
      <c r="AA243" s="751">
        <v>356428</v>
      </c>
      <c r="AB243" s="751">
        <v>35642842</v>
      </c>
      <c r="AC243" s="751">
        <v>0</v>
      </c>
      <c r="AD243" s="751">
        <v>0</v>
      </c>
      <c r="AE243" s="751">
        <v>17821421</v>
      </c>
      <c r="AF243" s="751">
        <v>14257137</v>
      </c>
      <c r="AG243" s="751">
        <v>3207856</v>
      </c>
      <c r="AH243" s="751">
        <v>356428</v>
      </c>
      <c r="AI243" s="751">
        <v>35642842</v>
      </c>
      <c r="AJ243" s="751">
        <v>127519</v>
      </c>
      <c r="AK243" s="751">
        <v>127519</v>
      </c>
      <c r="AL243" s="751">
        <v>170241</v>
      </c>
      <c r="AM243" s="751">
        <v>170241</v>
      </c>
      <c r="AN243" s="751">
        <v>78211</v>
      </c>
      <c r="AO243" s="751">
        <v>0</v>
      </c>
      <c r="AP243" s="751">
        <v>78211</v>
      </c>
      <c r="AQ243" s="751">
        <v>0</v>
      </c>
      <c r="AR243" s="751">
        <v>0</v>
      </c>
      <c r="AS243" s="751">
        <v>0</v>
      </c>
      <c r="AT243" s="751">
        <v>0</v>
      </c>
      <c r="AU243" s="751">
        <v>0</v>
      </c>
      <c r="AV243" s="751">
        <v>0</v>
      </c>
      <c r="AW243" s="751">
        <v>0</v>
      </c>
      <c r="AX243" s="751">
        <v>0</v>
      </c>
      <c r="AY243" s="751">
        <v>0</v>
      </c>
      <c r="AZ243" s="751">
        <v>0</v>
      </c>
      <c r="BA243" s="751">
        <v>0</v>
      </c>
      <c r="BB243" s="751">
        <v>0</v>
      </c>
      <c r="BC243" s="751">
        <v>-6116800</v>
      </c>
      <c r="BD243" s="751">
        <v>-4294761</v>
      </c>
      <c r="BE243" s="751">
        <v>-884834</v>
      </c>
      <c r="BF243" s="751">
        <v>-105706</v>
      </c>
      <c r="BG243" s="751">
        <v>-11402102</v>
      </c>
      <c r="BH243" s="751">
        <v>11704621</v>
      </c>
      <c r="BI243" s="751">
        <v>10338347</v>
      </c>
      <c r="BJ243" s="751">
        <v>2323022</v>
      </c>
      <c r="BK243" s="751">
        <v>250722</v>
      </c>
      <c r="BL243" s="751">
        <v>24616711</v>
      </c>
      <c r="BM243" s="751">
        <v>755802</v>
      </c>
      <c r="BN243" s="751">
        <v>167143</v>
      </c>
      <c r="BO243" s="751">
        <v>18571</v>
      </c>
      <c r="BP243" s="751">
        <v>941516</v>
      </c>
      <c r="BQ243" s="751">
        <v>1179660</v>
      </c>
      <c r="BR243" s="751">
        <v>265424</v>
      </c>
      <c r="BS243" s="751">
        <v>29492</v>
      </c>
      <c r="BT243" s="751">
        <v>1474576</v>
      </c>
      <c r="BU243" s="751">
        <v>66696</v>
      </c>
      <c r="BV243" s="751">
        <v>15007</v>
      </c>
      <c r="BW243" s="751">
        <v>1667</v>
      </c>
      <c r="BX243" s="751">
        <v>83370</v>
      </c>
      <c r="BY243" s="751">
        <v>0</v>
      </c>
      <c r="BZ243" s="751">
        <v>0</v>
      </c>
      <c r="CA243" s="751">
        <v>0</v>
      </c>
      <c r="CB243" s="751">
        <v>0</v>
      </c>
      <c r="CC243" s="751">
        <v>0</v>
      </c>
      <c r="CD243" s="751">
        <v>0</v>
      </c>
      <c r="CE243" s="751">
        <v>0</v>
      </c>
      <c r="CF243" s="751">
        <v>0</v>
      </c>
      <c r="CG243" s="751">
        <v>3340</v>
      </c>
      <c r="CH243" s="751">
        <v>751</v>
      </c>
      <c r="CI243" s="751">
        <v>83</v>
      </c>
      <c r="CJ243" s="751">
        <v>4174</v>
      </c>
      <c r="CK243" s="751">
        <v>0</v>
      </c>
      <c r="CL243" s="751">
        <v>0</v>
      </c>
      <c r="CM243" s="751">
        <v>0</v>
      </c>
      <c r="CN243" s="751">
        <v>0</v>
      </c>
      <c r="CO243" s="751">
        <v>0</v>
      </c>
      <c r="CP243" s="751">
        <v>0</v>
      </c>
      <c r="CQ243" s="751">
        <v>0</v>
      </c>
      <c r="CR243" s="751">
        <v>0</v>
      </c>
      <c r="CS243" s="751">
        <v>0</v>
      </c>
      <c r="CT243" s="751">
        <v>0</v>
      </c>
      <c r="CU243" s="751">
        <v>0</v>
      </c>
      <c r="CV243" s="751">
        <v>0</v>
      </c>
      <c r="CW243" s="751">
        <v>2005498</v>
      </c>
      <c r="CX243" s="751">
        <v>448325</v>
      </c>
      <c r="CY243" s="751">
        <v>49813</v>
      </c>
      <c r="CZ243" s="751">
        <v>2503636</v>
      </c>
      <c r="DA243" s="662" t="s">
        <v>346</v>
      </c>
      <c r="DB243" s="324" t="s">
        <v>547</v>
      </c>
      <c r="DC243" s="663" t="s">
        <v>545</v>
      </c>
      <c r="DD243" s="529" t="s">
        <v>1449</v>
      </c>
    </row>
    <row r="244" spans="1:108" ht="12.75" x14ac:dyDescent="0.2">
      <c r="A244" s="664">
        <v>237</v>
      </c>
      <c r="B244" s="665" t="s">
        <v>349</v>
      </c>
      <c r="C244" s="666" t="s">
        <v>1201</v>
      </c>
      <c r="D244" s="667" t="s">
        <v>1224</v>
      </c>
      <c r="E244" s="668" t="s">
        <v>348</v>
      </c>
      <c r="F244" s="750">
        <v>45863963</v>
      </c>
      <c r="G244" s="751">
        <v>0</v>
      </c>
      <c r="H244" s="751">
        <v>44793</v>
      </c>
      <c r="I244" s="751">
        <v>226741</v>
      </c>
      <c r="J244" s="751">
        <v>0</v>
      </c>
      <c r="K244" s="751">
        <v>226741</v>
      </c>
      <c r="L244" s="751">
        <v>0</v>
      </c>
      <c r="M244" s="751">
        <v>0</v>
      </c>
      <c r="N244" s="751">
        <v>465497</v>
      </c>
      <c r="O244" s="751">
        <v>465497</v>
      </c>
      <c r="P244" s="751">
        <v>0</v>
      </c>
      <c r="Q244" s="751">
        <v>0</v>
      </c>
      <c r="R244" s="751">
        <v>45126932</v>
      </c>
      <c r="S244" s="749">
        <v>0.5</v>
      </c>
      <c r="T244" s="749">
        <v>0.4</v>
      </c>
      <c r="U244" s="749">
        <v>0.09</v>
      </c>
      <c r="V244" s="749">
        <v>0.01</v>
      </c>
      <c r="W244" s="749">
        <v>1</v>
      </c>
      <c r="X244" s="751">
        <v>22563466</v>
      </c>
      <c r="Y244" s="751">
        <v>18050773</v>
      </c>
      <c r="Z244" s="751">
        <v>4061424</v>
      </c>
      <c r="AA244" s="751">
        <v>451269</v>
      </c>
      <c r="AB244" s="751">
        <v>45126932</v>
      </c>
      <c r="AC244" s="751">
        <v>0</v>
      </c>
      <c r="AD244" s="751">
        <v>0</v>
      </c>
      <c r="AE244" s="751">
        <v>22563466</v>
      </c>
      <c r="AF244" s="751">
        <v>18050773</v>
      </c>
      <c r="AG244" s="751">
        <v>4061424</v>
      </c>
      <c r="AH244" s="751">
        <v>451269</v>
      </c>
      <c r="AI244" s="751">
        <v>45126932</v>
      </c>
      <c r="AJ244" s="751">
        <v>226741</v>
      </c>
      <c r="AK244" s="751">
        <v>226741</v>
      </c>
      <c r="AL244" s="751">
        <v>0</v>
      </c>
      <c r="AM244" s="751">
        <v>0</v>
      </c>
      <c r="AN244" s="751">
        <v>465497</v>
      </c>
      <c r="AO244" s="751">
        <v>0</v>
      </c>
      <c r="AP244" s="751">
        <v>465497</v>
      </c>
      <c r="AQ244" s="751">
        <v>0</v>
      </c>
      <c r="AR244" s="751">
        <v>0</v>
      </c>
      <c r="AS244" s="751">
        <v>0</v>
      </c>
      <c r="AT244" s="751">
        <v>0</v>
      </c>
      <c r="AU244" s="751">
        <v>0</v>
      </c>
      <c r="AV244" s="751">
        <v>0</v>
      </c>
      <c r="AW244" s="751">
        <v>0</v>
      </c>
      <c r="AX244" s="751">
        <v>0</v>
      </c>
      <c r="AY244" s="751">
        <v>0</v>
      </c>
      <c r="AZ244" s="751">
        <v>0</v>
      </c>
      <c r="BA244" s="751">
        <v>0</v>
      </c>
      <c r="BB244" s="751">
        <v>0</v>
      </c>
      <c r="BC244" s="751">
        <v>-11124008</v>
      </c>
      <c r="BD244" s="751">
        <v>-8885872</v>
      </c>
      <c r="BE244" s="751">
        <v>-1988153</v>
      </c>
      <c r="BF244" s="751">
        <v>-222202</v>
      </c>
      <c r="BG244" s="751">
        <v>-22220236</v>
      </c>
      <c r="BH244" s="751">
        <v>11439458</v>
      </c>
      <c r="BI244" s="751">
        <v>9857139</v>
      </c>
      <c r="BJ244" s="751">
        <v>2073271</v>
      </c>
      <c r="BK244" s="751">
        <v>229067</v>
      </c>
      <c r="BL244" s="751">
        <v>23598934</v>
      </c>
      <c r="BM244" s="751">
        <v>964776</v>
      </c>
      <c r="BN244" s="751">
        <v>211617</v>
      </c>
      <c r="BO244" s="751">
        <v>23513</v>
      </c>
      <c r="BP244" s="751">
        <v>1199906</v>
      </c>
      <c r="BQ244" s="751">
        <v>2107387</v>
      </c>
      <c r="BR244" s="751">
        <v>474162</v>
      </c>
      <c r="BS244" s="751">
        <v>52685</v>
      </c>
      <c r="BT244" s="751">
        <v>2634234</v>
      </c>
      <c r="BU244" s="751">
        <v>104734</v>
      </c>
      <c r="BV244" s="751">
        <v>23565</v>
      </c>
      <c r="BW244" s="751">
        <v>2618</v>
      </c>
      <c r="BX244" s="751">
        <v>130917</v>
      </c>
      <c r="BY244" s="751">
        <v>9326</v>
      </c>
      <c r="BZ244" s="751">
        <v>2099</v>
      </c>
      <c r="CA244" s="751">
        <v>233</v>
      </c>
      <c r="CB244" s="751">
        <v>11658</v>
      </c>
      <c r="CC244" s="751">
        <v>28166</v>
      </c>
      <c r="CD244" s="751">
        <v>6337</v>
      </c>
      <c r="CE244" s="751">
        <v>704</v>
      </c>
      <c r="CF244" s="751">
        <v>35207</v>
      </c>
      <c r="CG244" s="751">
        <v>11779</v>
      </c>
      <c r="CH244" s="751">
        <v>2651</v>
      </c>
      <c r="CI244" s="751">
        <v>295</v>
      </c>
      <c r="CJ244" s="751">
        <v>14725</v>
      </c>
      <c r="CK244" s="751">
        <v>0</v>
      </c>
      <c r="CL244" s="751">
        <v>0</v>
      </c>
      <c r="CM244" s="751">
        <v>0</v>
      </c>
      <c r="CN244" s="751">
        <v>0</v>
      </c>
      <c r="CO244" s="751">
        <v>0</v>
      </c>
      <c r="CP244" s="751">
        <v>0</v>
      </c>
      <c r="CQ244" s="751">
        <v>0</v>
      </c>
      <c r="CR244" s="751">
        <v>0</v>
      </c>
      <c r="CS244" s="751">
        <v>631</v>
      </c>
      <c r="CT244" s="751">
        <v>142</v>
      </c>
      <c r="CU244" s="751">
        <v>16</v>
      </c>
      <c r="CV244" s="751">
        <v>789</v>
      </c>
      <c r="CW244" s="751">
        <v>3226799</v>
      </c>
      <c r="CX244" s="751">
        <v>720573</v>
      </c>
      <c r="CY244" s="751">
        <v>80064</v>
      </c>
      <c r="CZ244" s="751">
        <v>4027436</v>
      </c>
      <c r="DA244" s="662" t="s">
        <v>348</v>
      </c>
      <c r="DB244" s="324" t="s">
        <v>562</v>
      </c>
      <c r="DC244" s="663" t="s">
        <v>519</v>
      </c>
      <c r="DD244" s="529" t="s">
        <v>1450</v>
      </c>
    </row>
    <row r="245" spans="1:108" ht="12.75" x14ac:dyDescent="0.2">
      <c r="A245" s="664">
        <v>238</v>
      </c>
      <c r="B245" s="665" t="s">
        <v>351</v>
      </c>
      <c r="C245" s="666" t="s">
        <v>1201</v>
      </c>
      <c r="D245" s="667" t="s">
        <v>1228</v>
      </c>
      <c r="E245" s="668" t="s">
        <v>350</v>
      </c>
      <c r="F245" s="750">
        <v>26866767</v>
      </c>
      <c r="G245" s="751">
        <v>47203</v>
      </c>
      <c r="H245" s="751">
        <v>0</v>
      </c>
      <c r="I245" s="751">
        <v>105030</v>
      </c>
      <c r="J245" s="751">
        <v>0</v>
      </c>
      <c r="K245" s="751">
        <v>105030</v>
      </c>
      <c r="L245" s="751">
        <v>0</v>
      </c>
      <c r="M245" s="751">
        <v>4813137</v>
      </c>
      <c r="N245" s="751">
        <v>234397</v>
      </c>
      <c r="O245" s="751">
        <v>41034</v>
      </c>
      <c r="P245" s="751">
        <v>193363</v>
      </c>
      <c r="Q245" s="751">
        <v>0</v>
      </c>
      <c r="R245" s="751">
        <v>21761406</v>
      </c>
      <c r="S245" s="749">
        <v>0.5</v>
      </c>
      <c r="T245" s="749">
        <v>0.4</v>
      </c>
      <c r="U245" s="749">
        <v>0.09</v>
      </c>
      <c r="V245" s="749">
        <v>0.01</v>
      </c>
      <c r="W245" s="749">
        <v>1</v>
      </c>
      <c r="X245" s="751">
        <v>10880703</v>
      </c>
      <c r="Y245" s="751">
        <v>8704562</v>
      </c>
      <c r="Z245" s="751">
        <v>1958527</v>
      </c>
      <c r="AA245" s="751">
        <v>217614</v>
      </c>
      <c r="AB245" s="751">
        <v>21761406</v>
      </c>
      <c r="AC245" s="751">
        <v>110000</v>
      </c>
      <c r="AD245" s="751">
        <v>110000</v>
      </c>
      <c r="AE245" s="751">
        <v>10770703</v>
      </c>
      <c r="AF245" s="751">
        <v>8704562</v>
      </c>
      <c r="AG245" s="751">
        <v>1958527</v>
      </c>
      <c r="AH245" s="751">
        <v>217614</v>
      </c>
      <c r="AI245" s="751">
        <v>21651406</v>
      </c>
      <c r="AJ245" s="751">
        <v>105030</v>
      </c>
      <c r="AK245" s="751">
        <v>105030</v>
      </c>
      <c r="AL245" s="751">
        <v>4813137</v>
      </c>
      <c r="AM245" s="751">
        <v>4813137</v>
      </c>
      <c r="AN245" s="751">
        <v>41034</v>
      </c>
      <c r="AO245" s="751">
        <v>193363</v>
      </c>
      <c r="AP245" s="751">
        <v>234397</v>
      </c>
      <c r="AQ245" s="751">
        <v>0</v>
      </c>
      <c r="AR245" s="751">
        <v>0</v>
      </c>
      <c r="AS245" s="751">
        <v>0</v>
      </c>
      <c r="AT245" s="751">
        <v>0</v>
      </c>
      <c r="AU245" s="751">
        <v>110000</v>
      </c>
      <c r="AV245" s="751">
        <v>0</v>
      </c>
      <c r="AW245" s="751">
        <v>0</v>
      </c>
      <c r="AX245" s="751">
        <v>110000</v>
      </c>
      <c r="AY245" s="751">
        <v>0</v>
      </c>
      <c r="AZ245" s="751">
        <v>0</v>
      </c>
      <c r="BA245" s="751">
        <v>0</v>
      </c>
      <c r="BB245" s="751">
        <v>0</v>
      </c>
      <c r="BC245" s="751">
        <v>-4396118</v>
      </c>
      <c r="BD245" s="751">
        <v>-3860369</v>
      </c>
      <c r="BE245" s="751">
        <v>-1297926</v>
      </c>
      <c r="BF245" s="751">
        <v>-96509</v>
      </c>
      <c r="BG245" s="751">
        <v>-9650923</v>
      </c>
      <c r="BH245" s="751">
        <v>6374585</v>
      </c>
      <c r="BI245" s="751">
        <v>9913394</v>
      </c>
      <c r="BJ245" s="751">
        <v>853964</v>
      </c>
      <c r="BK245" s="751">
        <v>121105</v>
      </c>
      <c r="BL245" s="751">
        <v>17263047</v>
      </c>
      <c r="BM245" s="751">
        <v>712199</v>
      </c>
      <c r="BN245" s="751">
        <v>112123</v>
      </c>
      <c r="BO245" s="751">
        <v>11339</v>
      </c>
      <c r="BP245" s="751">
        <v>835661</v>
      </c>
      <c r="BQ245" s="751">
        <v>1076256</v>
      </c>
      <c r="BR245" s="751">
        <v>242157</v>
      </c>
      <c r="BS245" s="751">
        <v>26906</v>
      </c>
      <c r="BT245" s="751">
        <v>1345319</v>
      </c>
      <c r="BU245" s="751">
        <v>41899</v>
      </c>
      <c r="BV245" s="751">
        <v>9427</v>
      </c>
      <c r="BW245" s="751">
        <v>1047</v>
      </c>
      <c r="BX245" s="751">
        <v>52373</v>
      </c>
      <c r="BY245" s="751">
        <v>0</v>
      </c>
      <c r="BZ245" s="751">
        <v>0</v>
      </c>
      <c r="CA245" s="751">
        <v>0</v>
      </c>
      <c r="CB245" s="751">
        <v>0</v>
      </c>
      <c r="CC245" s="751">
        <v>1451</v>
      </c>
      <c r="CD245" s="751">
        <v>326</v>
      </c>
      <c r="CE245" s="751">
        <v>36</v>
      </c>
      <c r="CF245" s="751">
        <v>1813</v>
      </c>
      <c r="CG245" s="751">
        <v>8189</v>
      </c>
      <c r="CH245" s="751">
        <v>1842</v>
      </c>
      <c r="CI245" s="751">
        <v>205</v>
      </c>
      <c r="CJ245" s="751">
        <v>10236</v>
      </c>
      <c r="CK245" s="751">
        <v>0</v>
      </c>
      <c r="CL245" s="751">
        <v>0</v>
      </c>
      <c r="CM245" s="751">
        <v>0</v>
      </c>
      <c r="CN245" s="751">
        <v>0</v>
      </c>
      <c r="CO245" s="751">
        <v>0</v>
      </c>
      <c r="CP245" s="751">
        <v>0</v>
      </c>
      <c r="CQ245" s="751">
        <v>0</v>
      </c>
      <c r="CR245" s="751">
        <v>0</v>
      </c>
      <c r="CS245" s="751">
        <v>0</v>
      </c>
      <c r="CT245" s="751">
        <v>0</v>
      </c>
      <c r="CU245" s="751">
        <v>0</v>
      </c>
      <c r="CV245" s="751">
        <v>0</v>
      </c>
      <c r="CW245" s="751">
        <v>1839994</v>
      </c>
      <c r="CX245" s="751">
        <v>365875</v>
      </c>
      <c r="CY245" s="751">
        <v>39533</v>
      </c>
      <c r="CZ245" s="751">
        <v>2245402</v>
      </c>
      <c r="DA245" s="662" t="s">
        <v>350</v>
      </c>
      <c r="DB245" s="324" t="s">
        <v>564</v>
      </c>
      <c r="DC245" s="663" t="s">
        <v>1917</v>
      </c>
      <c r="DD245" s="529" t="s">
        <v>1451</v>
      </c>
    </row>
    <row r="246" spans="1:108" ht="12.75" x14ac:dyDescent="0.2">
      <c r="A246" s="664">
        <v>239</v>
      </c>
      <c r="B246" s="665" t="s">
        <v>353</v>
      </c>
      <c r="C246" s="666" t="s">
        <v>1217</v>
      </c>
      <c r="D246" s="667" t="s">
        <v>1283</v>
      </c>
      <c r="E246" s="668" t="s">
        <v>352</v>
      </c>
      <c r="F246" s="750">
        <v>29201908</v>
      </c>
      <c r="G246" s="751">
        <v>0</v>
      </c>
      <c r="H246" s="751">
        <v>378330</v>
      </c>
      <c r="I246" s="751">
        <v>143322</v>
      </c>
      <c r="J246" s="751">
        <v>0</v>
      </c>
      <c r="K246" s="751">
        <v>143322</v>
      </c>
      <c r="L246" s="751">
        <v>0</v>
      </c>
      <c r="M246" s="751">
        <v>0</v>
      </c>
      <c r="N246" s="751">
        <v>0</v>
      </c>
      <c r="O246" s="751">
        <v>0</v>
      </c>
      <c r="P246" s="751">
        <v>0</v>
      </c>
      <c r="Q246" s="751">
        <v>0</v>
      </c>
      <c r="R246" s="751">
        <v>28680256</v>
      </c>
      <c r="S246" s="749">
        <v>0.5</v>
      </c>
      <c r="T246" s="749">
        <v>0.49</v>
      </c>
      <c r="U246" s="749">
        <v>0</v>
      </c>
      <c r="V246" s="749">
        <v>0.01</v>
      </c>
      <c r="W246" s="749">
        <v>1</v>
      </c>
      <c r="X246" s="751">
        <v>14340128</v>
      </c>
      <c r="Y246" s="751">
        <v>14053325</v>
      </c>
      <c r="Z246" s="751">
        <v>0</v>
      </c>
      <c r="AA246" s="751">
        <v>286803</v>
      </c>
      <c r="AB246" s="751">
        <v>28680256</v>
      </c>
      <c r="AC246" s="751">
        <v>0</v>
      </c>
      <c r="AD246" s="751">
        <v>0</v>
      </c>
      <c r="AE246" s="751">
        <v>14340128</v>
      </c>
      <c r="AF246" s="751">
        <v>14053325</v>
      </c>
      <c r="AG246" s="751">
        <v>0</v>
      </c>
      <c r="AH246" s="751">
        <v>286803</v>
      </c>
      <c r="AI246" s="751">
        <v>28680256</v>
      </c>
      <c r="AJ246" s="751">
        <v>143322</v>
      </c>
      <c r="AK246" s="751">
        <v>143322</v>
      </c>
      <c r="AL246" s="751">
        <v>0</v>
      </c>
      <c r="AM246" s="751">
        <v>0</v>
      </c>
      <c r="AN246" s="751">
        <v>0</v>
      </c>
      <c r="AO246" s="751">
        <v>0</v>
      </c>
      <c r="AP246" s="751">
        <v>0</v>
      </c>
      <c r="AQ246" s="751">
        <v>0</v>
      </c>
      <c r="AR246" s="751">
        <v>0</v>
      </c>
      <c r="AS246" s="751">
        <v>0</v>
      </c>
      <c r="AT246" s="751">
        <v>0</v>
      </c>
      <c r="AU246" s="751">
        <v>0</v>
      </c>
      <c r="AV246" s="751">
        <v>0</v>
      </c>
      <c r="AW246" s="751">
        <v>0</v>
      </c>
      <c r="AX246" s="751">
        <v>0</v>
      </c>
      <c r="AY246" s="751">
        <v>0</v>
      </c>
      <c r="AZ246" s="751">
        <v>0</v>
      </c>
      <c r="BA246" s="751">
        <v>0</v>
      </c>
      <c r="BB246" s="751">
        <v>0</v>
      </c>
      <c r="BC246" s="751">
        <v>-6192921</v>
      </c>
      <c r="BD246" s="751">
        <v>-6069063</v>
      </c>
      <c r="BE246" s="751">
        <v>0</v>
      </c>
      <c r="BF246" s="751">
        <v>-123858</v>
      </c>
      <c r="BG246" s="751">
        <v>-12385843</v>
      </c>
      <c r="BH246" s="751">
        <v>8147207</v>
      </c>
      <c r="BI246" s="751">
        <v>8127584</v>
      </c>
      <c r="BJ246" s="751">
        <v>0</v>
      </c>
      <c r="BK246" s="751">
        <v>162945</v>
      </c>
      <c r="BL246" s="751">
        <v>16437735</v>
      </c>
      <c r="BM246" s="751">
        <v>732237</v>
      </c>
      <c r="BN246" s="751">
        <v>0</v>
      </c>
      <c r="BO246" s="751">
        <v>14944</v>
      </c>
      <c r="BP246" s="751">
        <v>747181</v>
      </c>
      <c r="BQ246" s="751">
        <v>1569895</v>
      </c>
      <c r="BR246" s="751">
        <v>0</v>
      </c>
      <c r="BS246" s="751">
        <v>32039</v>
      </c>
      <c r="BT246" s="751">
        <v>1601934</v>
      </c>
      <c r="BU246" s="751">
        <v>77770</v>
      </c>
      <c r="BV246" s="751">
        <v>0</v>
      </c>
      <c r="BW246" s="751">
        <v>1587</v>
      </c>
      <c r="BX246" s="751">
        <v>79357</v>
      </c>
      <c r="BY246" s="751">
        <v>0</v>
      </c>
      <c r="BZ246" s="751">
        <v>0</v>
      </c>
      <c r="CA246" s="751">
        <v>0</v>
      </c>
      <c r="CB246" s="751">
        <v>0</v>
      </c>
      <c r="CC246" s="751">
        <v>0</v>
      </c>
      <c r="CD246" s="751">
        <v>0</v>
      </c>
      <c r="CE246" s="751">
        <v>0</v>
      </c>
      <c r="CF246" s="751">
        <v>0</v>
      </c>
      <c r="CG246" s="751">
        <v>15466</v>
      </c>
      <c r="CH246" s="751">
        <v>0</v>
      </c>
      <c r="CI246" s="751">
        <v>316</v>
      </c>
      <c r="CJ246" s="751">
        <v>15782</v>
      </c>
      <c r="CK246" s="751">
        <v>0</v>
      </c>
      <c r="CL246" s="751">
        <v>0</v>
      </c>
      <c r="CM246" s="751">
        <v>0</v>
      </c>
      <c r="CN246" s="751">
        <v>0</v>
      </c>
      <c r="CO246" s="751">
        <v>0</v>
      </c>
      <c r="CP246" s="751">
        <v>0</v>
      </c>
      <c r="CQ246" s="751">
        <v>0</v>
      </c>
      <c r="CR246" s="751">
        <v>0</v>
      </c>
      <c r="CS246" s="751">
        <v>0</v>
      </c>
      <c r="CT246" s="751">
        <v>0</v>
      </c>
      <c r="CU246" s="751">
        <v>0</v>
      </c>
      <c r="CV246" s="751">
        <v>0</v>
      </c>
      <c r="CW246" s="751">
        <v>2395368</v>
      </c>
      <c r="CX246" s="751">
        <v>0</v>
      </c>
      <c r="CY246" s="751">
        <v>48886</v>
      </c>
      <c r="CZ246" s="751">
        <v>2444254</v>
      </c>
      <c r="DA246" s="662" t="s">
        <v>352</v>
      </c>
      <c r="DB246" s="324" t="s">
        <v>570</v>
      </c>
      <c r="DC246" s="663" t="s">
        <v>573</v>
      </c>
      <c r="DD246" s="529" t="s">
        <v>1452</v>
      </c>
    </row>
    <row r="247" spans="1:108" ht="12.75" x14ac:dyDescent="0.2">
      <c r="A247" s="664">
        <v>240</v>
      </c>
      <c r="B247" s="665" t="s">
        <v>354</v>
      </c>
      <c r="C247" s="666" t="s">
        <v>486</v>
      </c>
      <c r="D247" s="667" t="s">
        <v>1202</v>
      </c>
      <c r="E247" s="668" t="s">
        <v>531</v>
      </c>
      <c r="F247" s="750">
        <v>100554005</v>
      </c>
      <c r="G247" s="751">
        <v>0</v>
      </c>
      <c r="H247" s="751">
        <v>587972</v>
      </c>
      <c r="I247" s="751">
        <v>303696</v>
      </c>
      <c r="J247" s="751">
        <v>0</v>
      </c>
      <c r="K247" s="751">
        <v>303696</v>
      </c>
      <c r="L247" s="751">
        <v>0</v>
      </c>
      <c r="M247" s="751">
        <v>0</v>
      </c>
      <c r="N247" s="751">
        <v>0</v>
      </c>
      <c r="O247" s="751">
        <v>0</v>
      </c>
      <c r="P247" s="751">
        <v>0</v>
      </c>
      <c r="Q247" s="751">
        <v>0</v>
      </c>
      <c r="R247" s="751">
        <v>99662337</v>
      </c>
      <c r="S247" s="749">
        <v>0.5</v>
      </c>
      <c r="T247" s="749">
        <v>0.49</v>
      </c>
      <c r="U247" s="749">
        <v>0</v>
      </c>
      <c r="V247" s="749">
        <v>0.01</v>
      </c>
      <c r="W247" s="749">
        <v>1</v>
      </c>
      <c r="X247" s="751">
        <v>49831169</v>
      </c>
      <c r="Y247" s="751">
        <v>48834545</v>
      </c>
      <c r="Z247" s="751">
        <v>0</v>
      </c>
      <c r="AA247" s="751">
        <v>996623</v>
      </c>
      <c r="AB247" s="751">
        <v>99662337</v>
      </c>
      <c r="AC247" s="751">
        <v>0</v>
      </c>
      <c r="AD247" s="751">
        <v>0</v>
      </c>
      <c r="AE247" s="751">
        <v>49831169</v>
      </c>
      <c r="AF247" s="751">
        <v>48834545</v>
      </c>
      <c r="AG247" s="751">
        <v>0</v>
      </c>
      <c r="AH247" s="751">
        <v>996623</v>
      </c>
      <c r="AI247" s="751">
        <v>99662337</v>
      </c>
      <c r="AJ247" s="751">
        <v>303696</v>
      </c>
      <c r="AK247" s="751">
        <v>303696</v>
      </c>
      <c r="AL247" s="751">
        <v>0</v>
      </c>
      <c r="AM247" s="751">
        <v>0</v>
      </c>
      <c r="AN247" s="751">
        <v>0</v>
      </c>
      <c r="AO247" s="751">
        <v>0</v>
      </c>
      <c r="AP247" s="751">
        <v>0</v>
      </c>
      <c r="AQ247" s="751">
        <v>0</v>
      </c>
      <c r="AR247" s="751">
        <v>0</v>
      </c>
      <c r="AS247" s="751">
        <v>0</v>
      </c>
      <c r="AT247" s="751">
        <v>0</v>
      </c>
      <c r="AU247" s="751">
        <v>0</v>
      </c>
      <c r="AV247" s="751">
        <v>0</v>
      </c>
      <c r="AW247" s="751">
        <v>0</v>
      </c>
      <c r="AX247" s="751">
        <v>0</v>
      </c>
      <c r="AY247" s="751">
        <v>0</v>
      </c>
      <c r="AZ247" s="751">
        <v>0</v>
      </c>
      <c r="BA247" s="751">
        <v>0</v>
      </c>
      <c r="BB247" s="751">
        <v>0</v>
      </c>
      <c r="BC247" s="751">
        <v>-26197404</v>
      </c>
      <c r="BD247" s="751">
        <v>-25584870</v>
      </c>
      <c r="BE247" s="751">
        <v>0</v>
      </c>
      <c r="BF247" s="751">
        <v>-523053</v>
      </c>
      <c r="BG247" s="751">
        <v>-52305327</v>
      </c>
      <c r="BH247" s="751">
        <v>23633765</v>
      </c>
      <c r="BI247" s="751">
        <v>23553371</v>
      </c>
      <c r="BJ247" s="751">
        <v>0</v>
      </c>
      <c r="BK247" s="751">
        <v>473570</v>
      </c>
      <c r="BL247" s="751">
        <v>47660706</v>
      </c>
      <c r="BM247" s="751">
        <v>2544485</v>
      </c>
      <c r="BN247" s="751">
        <v>0</v>
      </c>
      <c r="BO247" s="751">
        <v>51928</v>
      </c>
      <c r="BP247" s="751">
        <v>2596413</v>
      </c>
      <c r="BQ247" s="751">
        <v>2350809</v>
      </c>
      <c r="BR247" s="751">
        <v>0</v>
      </c>
      <c r="BS247" s="751">
        <v>47976</v>
      </c>
      <c r="BT247" s="751">
        <v>2398785</v>
      </c>
      <c r="BU247" s="751">
        <v>191785</v>
      </c>
      <c r="BV247" s="751">
        <v>0</v>
      </c>
      <c r="BW247" s="751">
        <v>3914</v>
      </c>
      <c r="BX247" s="751">
        <v>195699</v>
      </c>
      <c r="BY247" s="751">
        <v>5741</v>
      </c>
      <c r="BZ247" s="751">
        <v>0</v>
      </c>
      <c r="CA247" s="751">
        <v>117</v>
      </c>
      <c r="CB247" s="751">
        <v>5858</v>
      </c>
      <c r="CC247" s="751">
        <v>0</v>
      </c>
      <c r="CD247" s="751">
        <v>0</v>
      </c>
      <c r="CE247" s="751">
        <v>0</v>
      </c>
      <c r="CF247" s="751">
        <v>0</v>
      </c>
      <c r="CG247" s="751">
        <v>12983</v>
      </c>
      <c r="CH247" s="751">
        <v>0</v>
      </c>
      <c r="CI247" s="751">
        <v>265</v>
      </c>
      <c r="CJ247" s="751">
        <v>13248</v>
      </c>
      <c r="CK247" s="751">
        <v>0</v>
      </c>
      <c r="CL247" s="751">
        <v>0</v>
      </c>
      <c r="CM247" s="751">
        <v>0</v>
      </c>
      <c r="CN247" s="751">
        <v>0</v>
      </c>
      <c r="CO247" s="751">
        <v>0</v>
      </c>
      <c r="CP247" s="751">
        <v>0</v>
      </c>
      <c r="CQ247" s="751">
        <v>0</v>
      </c>
      <c r="CR247" s="751">
        <v>0</v>
      </c>
      <c r="CS247" s="751">
        <v>0</v>
      </c>
      <c r="CT247" s="751">
        <v>0</v>
      </c>
      <c r="CU247" s="751">
        <v>0</v>
      </c>
      <c r="CV247" s="751">
        <v>0</v>
      </c>
      <c r="CW247" s="751">
        <v>5105803</v>
      </c>
      <c r="CX247" s="751">
        <v>0</v>
      </c>
      <c r="CY247" s="751">
        <v>104200</v>
      </c>
      <c r="CZ247" s="751">
        <v>5210003</v>
      </c>
      <c r="DA247" s="662" t="s">
        <v>531</v>
      </c>
      <c r="DB247" s="324" t="s">
        <v>486</v>
      </c>
      <c r="DC247" s="663" t="s">
        <v>1914</v>
      </c>
      <c r="DD247" s="529" t="s">
        <v>1453</v>
      </c>
    </row>
    <row r="248" spans="1:108" ht="12.75" x14ac:dyDescent="0.2">
      <c r="A248" s="664">
        <v>241</v>
      </c>
      <c r="B248" s="665" t="s">
        <v>355</v>
      </c>
      <c r="C248" s="666" t="s">
        <v>486</v>
      </c>
      <c r="D248" s="667" t="s">
        <v>1211</v>
      </c>
      <c r="E248" s="668" t="s">
        <v>526</v>
      </c>
      <c r="F248" s="750">
        <v>44289901</v>
      </c>
      <c r="G248" s="751">
        <v>0</v>
      </c>
      <c r="H248" s="751">
        <v>220768</v>
      </c>
      <c r="I248" s="751">
        <v>217524</v>
      </c>
      <c r="J248" s="751">
        <v>0</v>
      </c>
      <c r="K248" s="751">
        <v>217524</v>
      </c>
      <c r="L248" s="751">
        <v>0</v>
      </c>
      <c r="M248" s="751">
        <v>0</v>
      </c>
      <c r="N248" s="751">
        <v>0</v>
      </c>
      <c r="O248" s="751">
        <v>0</v>
      </c>
      <c r="P248" s="751">
        <v>0</v>
      </c>
      <c r="Q248" s="751">
        <v>0</v>
      </c>
      <c r="R248" s="751">
        <v>43851609</v>
      </c>
      <c r="S248" s="749">
        <v>0.5</v>
      </c>
      <c r="T248" s="749">
        <v>0.49</v>
      </c>
      <c r="U248" s="749">
        <v>0</v>
      </c>
      <c r="V248" s="749">
        <v>0.01</v>
      </c>
      <c r="W248" s="749">
        <v>1</v>
      </c>
      <c r="X248" s="751">
        <v>21925805</v>
      </c>
      <c r="Y248" s="751">
        <v>21487288</v>
      </c>
      <c r="Z248" s="751">
        <v>0</v>
      </c>
      <c r="AA248" s="751">
        <v>438516</v>
      </c>
      <c r="AB248" s="751">
        <v>43851609</v>
      </c>
      <c r="AC248" s="751">
        <v>0</v>
      </c>
      <c r="AD248" s="751">
        <v>0</v>
      </c>
      <c r="AE248" s="751">
        <v>21925805</v>
      </c>
      <c r="AF248" s="751">
        <v>21487288</v>
      </c>
      <c r="AG248" s="751">
        <v>0</v>
      </c>
      <c r="AH248" s="751">
        <v>438516</v>
      </c>
      <c r="AI248" s="751">
        <v>43851609</v>
      </c>
      <c r="AJ248" s="751">
        <v>217524</v>
      </c>
      <c r="AK248" s="751">
        <v>217524</v>
      </c>
      <c r="AL248" s="751">
        <v>0</v>
      </c>
      <c r="AM248" s="751">
        <v>0</v>
      </c>
      <c r="AN248" s="751">
        <v>0</v>
      </c>
      <c r="AO248" s="751">
        <v>0</v>
      </c>
      <c r="AP248" s="751">
        <v>0</v>
      </c>
      <c r="AQ248" s="751">
        <v>0</v>
      </c>
      <c r="AR248" s="751">
        <v>0</v>
      </c>
      <c r="AS248" s="751">
        <v>0</v>
      </c>
      <c r="AT248" s="751">
        <v>0</v>
      </c>
      <c r="AU248" s="751">
        <v>0</v>
      </c>
      <c r="AV248" s="751">
        <v>0</v>
      </c>
      <c r="AW248" s="751">
        <v>0</v>
      </c>
      <c r="AX248" s="751">
        <v>0</v>
      </c>
      <c r="AY248" s="751">
        <v>0</v>
      </c>
      <c r="AZ248" s="751">
        <v>0</v>
      </c>
      <c r="BA248" s="751">
        <v>0</v>
      </c>
      <c r="BB248" s="751">
        <v>0</v>
      </c>
      <c r="BC248" s="751">
        <v>-13192430</v>
      </c>
      <c r="BD248" s="751">
        <v>-12928582</v>
      </c>
      <c r="BE248" s="751">
        <v>0</v>
      </c>
      <c r="BF248" s="751">
        <v>-263849</v>
      </c>
      <c r="BG248" s="751">
        <v>-26384860</v>
      </c>
      <c r="BH248" s="751">
        <v>8733375</v>
      </c>
      <c r="BI248" s="751">
        <v>8776230</v>
      </c>
      <c r="BJ248" s="751">
        <v>0</v>
      </c>
      <c r="BK248" s="751">
        <v>174667</v>
      </c>
      <c r="BL248" s="751">
        <v>17684273</v>
      </c>
      <c r="BM248" s="751">
        <v>1119578</v>
      </c>
      <c r="BN248" s="751">
        <v>0</v>
      </c>
      <c r="BO248" s="751">
        <v>22849</v>
      </c>
      <c r="BP248" s="751">
        <v>1142427</v>
      </c>
      <c r="BQ248" s="751">
        <v>2879354</v>
      </c>
      <c r="BR248" s="751">
        <v>0</v>
      </c>
      <c r="BS248" s="751">
        <v>58762</v>
      </c>
      <c r="BT248" s="751">
        <v>2938116</v>
      </c>
      <c r="BU248" s="751">
        <v>120060</v>
      </c>
      <c r="BV248" s="751">
        <v>0</v>
      </c>
      <c r="BW248" s="751">
        <v>2450</v>
      </c>
      <c r="BX248" s="751">
        <v>122510</v>
      </c>
      <c r="BY248" s="751">
        <v>4606</v>
      </c>
      <c r="BZ248" s="751">
        <v>0</v>
      </c>
      <c r="CA248" s="751">
        <v>94</v>
      </c>
      <c r="CB248" s="751">
        <v>4700</v>
      </c>
      <c r="CC248" s="751">
        <v>0</v>
      </c>
      <c r="CD248" s="751">
        <v>0</v>
      </c>
      <c r="CE248" s="751">
        <v>0</v>
      </c>
      <c r="CF248" s="751">
        <v>0</v>
      </c>
      <c r="CG248" s="751">
        <v>4049</v>
      </c>
      <c r="CH248" s="751">
        <v>0</v>
      </c>
      <c r="CI248" s="751">
        <v>83</v>
      </c>
      <c r="CJ248" s="751">
        <v>4132</v>
      </c>
      <c r="CK248" s="751">
        <v>0</v>
      </c>
      <c r="CL248" s="751">
        <v>0</v>
      </c>
      <c r="CM248" s="751">
        <v>0</v>
      </c>
      <c r="CN248" s="751">
        <v>0</v>
      </c>
      <c r="CO248" s="751">
        <v>0</v>
      </c>
      <c r="CP248" s="751">
        <v>0</v>
      </c>
      <c r="CQ248" s="751">
        <v>0</v>
      </c>
      <c r="CR248" s="751">
        <v>0</v>
      </c>
      <c r="CS248" s="751">
        <v>0</v>
      </c>
      <c r="CT248" s="751">
        <v>0</v>
      </c>
      <c r="CU248" s="751">
        <v>0</v>
      </c>
      <c r="CV248" s="751">
        <v>0</v>
      </c>
      <c r="CW248" s="751">
        <v>4127647</v>
      </c>
      <c r="CX248" s="751">
        <v>0</v>
      </c>
      <c r="CY248" s="751">
        <v>84238</v>
      </c>
      <c r="CZ248" s="751">
        <v>4211885</v>
      </c>
      <c r="DA248" s="662" t="s">
        <v>526</v>
      </c>
      <c r="DB248" s="324" t="s">
        <v>486</v>
      </c>
      <c r="DC248" s="663" t="s">
        <v>1913</v>
      </c>
      <c r="DD248" s="529" t="s">
        <v>1454</v>
      </c>
    </row>
    <row r="249" spans="1:108" ht="12.75" x14ac:dyDescent="0.2">
      <c r="A249" s="664">
        <v>242</v>
      </c>
      <c r="B249" s="665" t="s">
        <v>357</v>
      </c>
      <c r="C249" s="666" t="s">
        <v>1257</v>
      </c>
      <c r="D249" s="667" t="s">
        <v>1214</v>
      </c>
      <c r="E249" s="668" t="s">
        <v>356</v>
      </c>
      <c r="F249" s="750">
        <v>320415194</v>
      </c>
      <c r="G249" s="751">
        <v>2420162</v>
      </c>
      <c r="H249" s="751">
        <v>0</v>
      </c>
      <c r="I249" s="751">
        <v>773290</v>
      </c>
      <c r="J249" s="751">
        <v>0</v>
      </c>
      <c r="K249" s="751">
        <v>773290</v>
      </c>
      <c r="L249" s="751">
        <v>0</v>
      </c>
      <c r="M249" s="751">
        <v>0</v>
      </c>
      <c r="N249" s="751">
        <v>0</v>
      </c>
      <c r="O249" s="751">
        <v>0</v>
      </c>
      <c r="P249" s="751">
        <v>0</v>
      </c>
      <c r="Q249" s="751">
        <v>0</v>
      </c>
      <c r="R249" s="751">
        <v>322062066</v>
      </c>
      <c r="S249" s="749">
        <v>0.33</v>
      </c>
      <c r="T249" s="749">
        <v>0.3</v>
      </c>
      <c r="U249" s="749">
        <v>0.37</v>
      </c>
      <c r="V249" s="749">
        <v>0</v>
      </c>
      <c r="W249" s="749">
        <v>1</v>
      </c>
      <c r="X249" s="751">
        <v>106280482</v>
      </c>
      <c r="Y249" s="751">
        <v>96618620</v>
      </c>
      <c r="Z249" s="751">
        <v>119162964</v>
      </c>
      <c r="AA249" s="751">
        <v>0</v>
      </c>
      <c r="AB249" s="751">
        <v>322062066</v>
      </c>
      <c r="AC249" s="751">
        <v>0</v>
      </c>
      <c r="AD249" s="751">
        <v>0</v>
      </c>
      <c r="AE249" s="751">
        <v>106280482</v>
      </c>
      <c r="AF249" s="751">
        <v>96618620</v>
      </c>
      <c r="AG249" s="751">
        <v>119162964</v>
      </c>
      <c r="AH249" s="751">
        <v>0</v>
      </c>
      <c r="AI249" s="751">
        <v>322062066</v>
      </c>
      <c r="AJ249" s="751">
        <v>773290</v>
      </c>
      <c r="AK249" s="751">
        <v>773290</v>
      </c>
      <c r="AL249" s="751">
        <v>0</v>
      </c>
      <c r="AM249" s="751">
        <v>0</v>
      </c>
      <c r="AN249" s="751">
        <v>0</v>
      </c>
      <c r="AO249" s="751">
        <v>0</v>
      </c>
      <c r="AP249" s="751">
        <v>0</v>
      </c>
      <c r="AQ249" s="751">
        <v>0</v>
      </c>
      <c r="AR249" s="751">
        <v>0</v>
      </c>
      <c r="AS249" s="751">
        <v>0</v>
      </c>
      <c r="AT249" s="751">
        <v>0</v>
      </c>
      <c r="AU249" s="751">
        <v>0</v>
      </c>
      <c r="AV249" s="751">
        <v>0</v>
      </c>
      <c r="AW249" s="751">
        <v>0</v>
      </c>
      <c r="AX249" s="751">
        <v>0</v>
      </c>
      <c r="AY249" s="751">
        <v>0</v>
      </c>
      <c r="AZ249" s="751">
        <v>0</v>
      </c>
      <c r="BA249" s="751">
        <v>0</v>
      </c>
      <c r="BB249" s="751">
        <v>0</v>
      </c>
      <c r="BC249" s="751">
        <v>-35241784</v>
      </c>
      <c r="BD249" s="751">
        <v>-33095380</v>
      </c>
      <c r="BE249" s="751">
        <v>-39470409</v>
      </c>
      <c r="BF249" s="751">
        <v>0</v>
      </c>
      <c r="BG249" s="751">
        <v>-107807573</v>
      </c>
      <c r="BH249" s="751">
        <v>71038698</v>
      </c>
      <c r="BI249" s="751">
        <v>64296530</v>
      </c>
      <c r="BJ249" s="751">
        <v>79692555</v>
      </c>
      <c r="BK249" s="751">
        <v>0</v>
      </c>
      <c r="BL249" s="751">
        <v>215027783</v>
      </c>
      <c r="BM249" s="751">
        <v>5034237</v>
      </c>
      <c r="BN249" s="751">
        <v>6208892</v>
      </c>
      <c r="BO249" s="751">
        <v>0</v>
      </c>
      <c r="BP249" s="751">
        <v>11243129</v>
      </c>
      <c r="BQ249" s="751">
        <v>2340705</v>
      </c>
      <c r="BR249" s="751">
        <v>2886871</v>
      </c>
      <c r="BS249" s="751">
        <v>0</v>
      </c>
      <c r="BT249" s="751">
        <v>5227576</v>
      </c>
      <c r="BU249" s="751">
        <v>186088</v>
      </c>
      <c r="BV249" s="751">
        <v>229509</v>
      </c>
      <c r="BW249" s="751">
        <v>0</v>
      </c>
      <c r="BX249" s="751">
        <v>415597</v>
      </c>
      <c r="BY249" s="751">
        <v>0</v>
      </c>
      <c r="BZ249" s="751">
        <v>0</v>
      </c>
      <c r="CA249" s="751">
        <v>0</v>
      </c>
      <c r="CB249" s="751">
        <v>0</v>
      </c>
      <c r="CC249" s="751">
        <v>0</v>
      </c>
      <c r="CD249" s="751">
        <v>0</v>
      </c>
      <c r="CE249" s="751">
        <v>0</v>
      </c>
      <c r="CF249" s="751">
        <v>0</v>
      </c>
      <c r="CG249" s="751">
        <v>120565</v>
      </c>
      <c r="CH249" s="751">
        <v>148697</v>
      </c>
      <c r="CI249" s="751">
        <v>0</v>
      </c>
      <c r="CJ249" s="751">
        <v>269262</v>
      </c>
      <c r="CK249" s="751">
        <v>0</v>
      </c>
      <c r="CL249" s="751">
        <v>0</v>
      </c>
      <c r="CM249" s="751">
        <v>0</v>
      </c>
      <c r="CN249" s="751">
        <v>0</v>
      </c>
      <c r="CO249" s="751">
        <v>0</v>
      </c>
      <c r="CP249" s="751">
        <v>0</v>
      </c>
      <c r="CQ249" s="751">
        <v>0</v>
      </c>
      <c r="CR249" s="751">
        <v>0</v>
      </c>
      <c r="CS249" s="751">
        <v>0</v>
      </c>
      <c r="CT249" s="751">
        <v>0</v>
      </c>
      <c r="CU249" s="751">
        <v>0</v>
      </c>
      <c r="CV249" s="751">
        <v>0</v>
      </c>
      <c r="CW249" s="751">
        <v>7681595</v>
      </c>
      <c r="CX249" s="751">
        <v>9473969</v>
      </c>
      <c r="CY249" s="751">
        <v>0</v>
      </c>
      <c r="CZ249" s="751">
        <v>17155564</v>
      </c>
      <c r="DA249" s="662" t="s">
        <v>356</v>
      </c>
      <c r="DB249" s="324" t="s">
        <v>576</v>
      </c>
      <c r="DC249" s="669" t="s">
        <v>485</v>
      </c>
      <c r="DD249" s="529" t="s">
        <v>1455</v>
      </c>
    </row>
    <row r="250" spans="1:108" ht="12.75" x14ac:dyDescent="0.2">
      <c r="A250" s="664">
        <v>243</v>
      </c>
      <c r="B250" s="665" t="s">
        <v>359</v>
      </c>
      <c r="C250" s="666" t="s">
        <v>1201</v>
      </c>
      <c r="D250" s="667" t="s">
        <v>1202</v>
      </c>
      <c r="E250" s="668" t="s">
        <v>358</v>
      </c>
      <c r="F250" s="750">
        <v>42991412</v>
      </c>
      <c r="G250" s="751">
        <v>53374</v>
      </c>
      <c r="H250" s="751">
        <v>0</v>
      </c>
      <c r="I250" s="751">
        <v>122447</v>
      </c>
      <c r="J250" s="751">
        <v>0</v>
      </c>
      <c r="K250" s="751">
        <v>122447</v>
      </c>
      <c r="L250" s="751">
        <v>0</v>
      </c>
      <c r="M250" s="751">
        <v>0</v>
      </c>
      <c r="N250" s="751">
        <v>0</v>
      </c>
      <c r="O250" s="751">
        <v>0</v>
      </c>
      <c r="P250" s="751">
        <v>0</v>
      </c>
      <c r="Q250" s="751">
        <v>0</v>
      </c>
      <c r="R250" s="751">
        <v>42922339</v>
      </c>
      <c r="S250" s="749">
        <v>0.5</v>
      </c>
      <c r="T250" s="749">
        <v>0.4</v>
      </c>
      <c r="U250" s="749">
        <v>0.1</v>
      </c>
      <c r="V250" s="749">
        <v>0</v>
      </c>
      <c r="W250" s="749">
        <v>1</v>
      </c>
      <c r="X250" s="751">
        <v>21461169</v>
      </c>
      <c r="Y250" s="751">
        <v>17168936</v>
      </c>
      <c r="Z250" s="751">
        <v>4292234</v>
      </c>
      <c r="AA250" s="751">
        <v>0</v>
      </c>
      <c r="AB250" s="751">
        <v>42922339</v>
      </c>
      <c r="AC250" s="751">
        <v>0</v>
      </c>
      <c r="AD250" s="751">
        <v>0</v>
      </c>
      <c r="AE250" s="751">
        <v>21461169</v>
      </c>
      <c r="AF250" s="751">
        <v>17168936</v>
      </c>
      <c r="AG250" s="751">
        <v>4292234</v>
      </c>
      <c r="AH250" s="751">
        <v>0</v>
      </c>
      <c r="AI250" s="751">
        <v>42922339</v>
      </c>
      <c r="AJ250" s="751">
        <v>122447</v>
      </c>
      <c r="AK250" s="751">
        <v>122447</v>
      </c>
      <c r="AL250" s="751">
        <v>0</v>
      </c>
      <c r="AM250" s="751">
        <v>0</v>
      </c>
      <c r="AN250" s="751">
        <v>0</v>
      </c>
      <c r="AO250" s="751">
        <v>0</v>
      </c>
      <c r="AP250" s="751">
        <v>0</v>
      </c>
      <c r="AQ250" s="751">
        <v>0</v>
      </c>
      <c r="AR250" s="751">
        <v>0</v>
      </c>
      <c r="AS250" s="751">
        <v>0</v>
      </c>
      <c r="AT250" s="751">
        <v>0</v>
      </c>
      <c r="AU250" s="751">
        <v>0</v>
      </c>
      <c r="AV250" s="751">
        <v>0</v>
      </c>
      <c r="AW250" s="751">
        <v>0</v>
      </c>
      <c r="AX250" s="751">
        <v>0</v>
      </c>
      <c r="AY250" s="751">
        <v>0</v>
      </c>
      <c r="AZ250" s="751">
        <v>0</v>
      </c>
      <c r="BA250" s="751">
        <v>0</v>
      </c>
      <c r="BB250" s="751">
        <v>0</v>
      </c>
      <c r="BC250" s="751">
        <v>-11792399</v>
      </c>
      <c r="BD250" s="751">
        <v>-9433919</v>
      </c>
      <c r="BE250" s="751">
        <v>-2358480</v>
      </c>
      <c r="BF250" s="751">
        <v>0</v>
      </c>
      <c r="BG250" s="751">
        <v>-23584797</v>
      </c>
      <c r="BH250" s="751">
        <v>9668770</v>
      </c>
      <c r="BI250" s="751">
        <v>7857464</v>
      </c>
      <c r="BJ250" s="751">
        <v>1933754</v>
      </c>
      <c r="BK250" s="751">
        <v>0</v>
      </c>
      <c r="BL250" s="751">
        <v>19459989</v>
      </c>
      <c r="BM250" s="751">
        <v>894574</v>
      </c>
      <c r="BN250" s="751">
        <v>223643</v>
      </c>
      <c r="BO250" s="751">
        <v>0</v>
      </c>
      <c r="BP250" s="751">
        <v>1118217</v>
      </c>
      <c r="BQ250" s="751">
        <v>788916</v>
      </c>
      <c r="BR250" s="751">
        <v>197229</v>
      </c>
      <c r="BS250" s="751">
        <v>0</v>
      </c>
      <c r="BT250" s="751">
        <v>986145</v>
      </c>
      <c r="BU250" s="751">
        <v>66791</v>
      </c>
      <c r="BV250" s="751">
        <v>16698</v>
      </c>
      <c r="BW250" s="751">
        <v>0</v>
      </c>
      <c r="BX250" s="751">
        <v>83489</v>
      </c>
      <c r="BY250" s="751">
        <v>0</v>
      </c>
      <c r="BZ250" s="751">
        <v>0</v>
      </c>
      <c r="CA250" s="751">
        <v>0</v>
      </c>
      <c r="CB250" s="751">
        <v>0</v>
      </c>
      <c r="CC250" s="751">
        <v>0</v>
      </c>
      <c r="CD250" s="751">
        <v>0</v>
      </c>
      <c r="CE250" s="751">
        <v>0</v>
      </c>
      <c r="CF250" s="751">
        <v>0</v>
      </c>
      <c r="CG250" s="751">
        <v>5082</v>
      </c>
      <c r="CH250" s="751">
        <v>1271</v>
      </c>
      <c r="CI250" s="751">
        <v>0</v>
      </c>
      <c r="CJ250" s="751">
        <v>6353</v>
      </c>
      <c r="CK250" s="751">
        <v>0</v>
      </c>
      <c r="CL250" s="751">
        <v>0</v>
      </c>
      <c r="CM250" s="751">
        <v>0</v>
      </c>
      <c r="CN250" s="751">
        <v>0</v>
      </c>
      <c r="CO250" s="751">
        <v>0</v>
      </c>
      <c r="CP250" s="751">
        <v>0</v>
      </c>
      <c r="CQ250" s="751">
        <v>0</v>
      </c>
      <c r="CR250" s="751">
        <v>0</v>
      </c>
      <c r="CS250" s="751">
        <v>0</v>
      </c>
      <c r="CT250" s="751">
        <v>0</v>
      </c>
      <c r="CU250" s="751">
        <v>0</v>
      </c>
      <c r="CV250" s="751">
        <v>0</v>
      </c>
      <c r="CW250" s="751">
        <v>1755363</v>
      </c>
      <c r="CX250" s="751">
        <v>438841</v>
      </c>
      <c r="CY250" s="751">
        <v>0</v>
      </c>
      <c r="CZ250" s="751">
        <v>2194204</v>
      </c>
      <c r="DA250" s="662" t="s">
        <v>358</v>
      </c>
      <c r="DB250" s="324" t="s">
        <v>566</v>
      </c>
      <c r="DC250" s="663" t="s">
        <v>512</v>
      </c>
      <c r="DD250" s="529" t="s">
        <v>1456</v>
      </c>
    </row>
    <row r="251" spans="1:108" ht="12.75" x14ac:dyDescent="0.2">
      <c r="A251" s="664">
        <v>244</v>
      </c>
      <c r="B251" s="665" t="s">
        <v>361</v>
      </c>
      <c r="C251" s="666" t="s">
        <v>1201</v>
      </c>
      <c r="D251" s="667" t="s">
        <v>1211</v>
      </c>
      <c r="E251" s="668" t="s">
        <v>360</v>
      </c>
      <c r="F251" s="750">
        <v>61734027</v>
      </c>
      <c r="G251" s="751">
        <v>6840</v>
      </c>
      <c r="H251" s="751">
        <v>0</v>
      </c>
      <c r="I251" s="751">
        <v>179597</v>
      </c>
      <c r="J251" s="751">
        <v>0</v>
      </c>
      <c r="K251" s="751">
        <v>179597</v>
      </c>
      <c r="L251" s="751">
        <v>0</v>
      </c>
      <c r="M251" s="751">
        <v>131133</v>
      </c>
      <c r="N251" s="751">
        <v>0</v>
      </c>
      <c r="O251" s="751">
        <v>0</v>
      </c>
      <c r="P251" s="751">
        <v>0</v>
      </c>
      <c r="Q251" s="751">
        <v>0</v>
      </c>
      <c r="R251" s="751">
        <v>61430137</v>
      </c>
      <c r="S251" s="749">
        <v>0.5</v>
      </c>
      <c r="T251" s="749">
        <v>0.4</v>
      </c>
      <c r="U251" s="749">
        <v>0.1</v>
      </c>
      <c r="V251" s="749">
        <v>0</v>
      </c>
      <c r="W251" s="749">
        <v>1</v>
      </c>
      <c r="X251" s="751">
        <v>30715068</v>
      </c>
      <c r="Y251" s="751">
        <v>24572055</v>
      </c>
      <c r="Z251" s="751">
        <v>6143014</v>
      </c>
      <c r="AA251" s="751">
        <v>0</v>
      </c>
      <c r="AB251" s="751">
        <v>61430137</v>
      </c>
      <c r="AC251" s="751">
        <v>0</v>
      </c>
      <c r="AD251" s="751">
        <v>0</v>
      </c>
      <c r="AE251" s="751">
        <v>30715068</v>
      </c>
      <c r="AF251" s="751">
        <v>24572055</v>
      </c>
      <c r="AG251" s="751">
        <v>6143014</v>
      </c>
      <c r="AH251" s="751">
        <v>0</v>
      </c>
      <c r="AI251" s="751">
        <v>61430137</v>
      </c>
      <c r="AJ251" s="751">
        <v>179597</v>
      </c>
      <c r="AK251" s="751">
        <v>179597</v>
      </c>
      <c r="AL251" s="751">
        <v>131133</v>
      </c>
      <c r="AM251" s="751">
        <v>131133</v>
      </c>
      <c r="AN251" s="751">
        <v>0</v>
      </c>
      <c r="AO251" s="751">
        <v>0</v>
      </c>
      <c r="AP251" s="751">
        <v>0</v>
      </c>
      <c r="AQ251" s="751">
        <v>0</v>
      </c>
      <c r="AR251" s="751">
        <v>0</v>
      </c>
      <c r="AS251" s="751">
        <v>0</v>
      </c>
      <c r="AT251" s="751">
        <v>0</v>
      </c>
      <c r="AU251" s="751">
        <v>0</v>
      </c>
      <c r="AV251" s="751">
        <v>0</v>
      </c>
      <c r="AW251" s="751">
        <v>0</v>
      </c>
      <c r="AX251" s="751">
        <v>0</v>
      </c>
      <c r="AY251" s="751">
        <v>0</v>
      </c>
      <c r="AZ251" s="751">
        <v>0</v>
      </c>
      <c r="BA251" s="751">
        <v>0</v>
      </c>
      <c r="BB251" s="751">
        <v>0</v>
      </c>
      <c r="BC251" s="751">
        <v>-15447167</v>
      </c>
      <c r="BD251" s="751">
        <v>-12888884</v>
      </c>
      <c r="BE251" s="751">
        <v>-4328786</v>
      </c>
      <c r="BF251" s="751">
        <v>0</v>
      </c>
      <c r="BG251" s="751">
        <v>-32664837</v>
      </c>
      <c r="BH251" s="751">
        <v>15267902</v>
      </c>
      <c r="BI251" s="751">
        <v>11993901</v>
      </c>
      <c r="BJ251" s="751">
        <v>1814228</v>
      </c>
      <c r="BK251" s="751">
        <v>0</v>
      </c>
      <c r="BL251" s="751">
        <v>29076030</v>
      </c>
      <c r="BM251" s="751">
        <v>1287140</v>
      </c>
      <c r="BN251" s="751">
        <v>320077</v>
      </c>
      <c r="BO251" s="751">
        <v>0</v>
      </c>
      <c r="BP251" s="751">
        <v>1607217</v>
      </c>
      <c r="BQ251" s="751">
        <v>1044551</v>
      </c>
      <c r="BR251" s="751">
        <v>257206</v>
      </c>
      <c r="BS251" s="751">
        <v>0</v>
      </c>
      <c r="BT251" s="751">
        <v>1301757</v>
      </c>
      <c r="BU251" s="751">
        <v>0</v>
      </c>
      <c r="BV251" s="751">
        <v>0</v>
      </c>
      <c r="BW251" s="751">
        <v>0</v>
      </c>
      <c r="BX251" s="751">
        <v>0</v>
      </c>
      <c r="BY251" s="751">
        <v>0</v>
      </c>
      <c r="BZ251" s="751">
        <v>0</v>
      </c>
      <c r="CA251" s="751">
        <v>0</v>
      </c>
      <c r="CB251" s="751">
        <v>0</v>
      </c>
      <c r="CC251" s="751">
        <v>0</v>
      </c>
      <c r="CD251" s="751">
        <v>0</v>
      </c>
      <c r="CE251" s="751">
        <v>0</v>
      </c>
      <c r="CF251" s="751">
        <v>0</v>
      </c>
      <c r="CG251" s="751">
        <v>6097</v>
      </c>
      <c r="CH251" s="751">
        <v>1524</v>
      </c>
      <c r="CI251" s="751">
        <v>0</v>
      </c>
      <c r="CJ251" s="751">
        <v>7621</v>
      </c>
      <c r="CK251" s="751">
        <v>0</v>
      </c>
      <c r="CL251" s="751">
        <v>0</v>
      </c>
      <c r="CM251" s="751">
        <v>0</v>
      </c>
      <c r="CN251" s="751">
        <v>0</v>
      </c>
      <c r="CO251" s="751">
        <v>0</v>
      </c>
      <c r="CP251" s="751">
        <v>0</v>
      </c>
      <c r="CQ251" s="751">
        <v>0</v>
      </c>
      <c r="CR251" s="751">
        <v>0</v>
      </c>
      <c r="CS251" s="751">
        <v>631</v>
      </c>
      <c r="CT251" s="751">
        <v>158</v>
      </c>
      <c r="CU251" s="751">
        <v>0</v>
      </c>
      <c r="CV251" s="751">
        <v>789</v>
      </c>
      <c r="CW251" s="751">
        <v>2338419</v>
      </c>
      <c r="CX251" s="751">
        <v>578965</v>
      </c>
      <c r="CY251" s="751">
        <v>0</v>
      </c>
      <c r="CZ251" s="751">
        <v>2917384</v>
      </c>
      <c r="DA251" s="662" t="s">
        <v>360</v>
      </c>
      <c r="DB251" s="324" t="s">
        <v>536</v>
      </c>
      <c r="DC251" s="663" t="s">
        <v>512</v>
      </c>
      <c r="DD251" s="529" t="s">
        <v>1457</v>
      </c>
    </row>
    <row r="252" spans="1:108" ht="12.75" x14ac:dyDescent="0.2">
      <c r="A252" s="664">
        <v>245</v>
      </c>
      <c r="B252" s="665" t="s">
        <v>362</v>
      </c>
      <c r="C252" s="666" t="s">
        <v>1217</v>
      </c>
      <c r="D252" s="667" t="s">
        <v>1204</v>
      </c>
      <c r="E252" s="668" t="s">
        <v>817</v>
      </c>
      <c r="F252" s="750">
        <v>51777195</v>
      </c>
      <c r="G252" s="751">
        <v>0</v>
      </c>
      <c r="H252" s="751">
        <v>391260</v>
      </c>
      <c r="I252" s="751">
        <v>186006</v>
      </c>
      <c r="J252" s="751">
        <v>0</v>
      </c>
      <c r="K252" s="751">
        <v>186006</v>
      </c>
      <c r="L252" s="751">
        <v>0</v>
      </c>
      <c r="M252" s="751">
        <v>0</v>
      </c>
      <c r="N252" s="751">
        <v>0</v>
      </c>
      <c r="O252" s="751">
        <v>0</v>
      </c>
      <c r="P252" s="751">
        <v>0</v>
      </c>
      <c r="Q252" s="751">
        <v>0</v>
      </c>
      <c r="R252" s="751">
        <v>51199929</v>
      </c>
      <c r="S252" s="749">
        <v>0</v>
      </c>
      <c r="T252" s="749">
        <v>0.99</v>
      </c>
      <c r="U252" s="749">
        <v>0</v>
      </c>
      <c r="V252" s="749">
        <v>0.01</v>
      </c>
      <c r="W252" s="749">
        <v>1</v>
      </c>
      <c r="X252" s="751">
        <v>0</v>
      </c>
      <c r="Y252" s="751">
        <v>50687930</v>
      </c>
      <c r="Z252" s="751">
        <v>0</v>
      </c>
      <c r="AA252" s="751">
        <v>511999</v>
      </c>
      <c r="AB252" s="751">
        <v>51199929</v>
      </c>
      <c r="AC252" s="751">
        <v>0</v>
      </c>
      <c r="AD252" s="751">
        <v>0</v>
      </c>
      <c r="AE252" s="751">
        <v>0</v>
      </c>
      <c r="AF252" s="751">
        <v>50687930</v>
      </c>
      <c r="AG252" s="751">
        <v>0</v>
      </c>
      <c r="AH252" s="751">
        <v>511999</v>
      </c>
      <c r="AI252" s="751">
        <v>51199929</v>
      </c>
      <c r="AJ252" s="751">
        <v>186006</v>
      </c>
      <c r="AK252" s="751">
        <v>186006</v>
      </c>
      <c r="AL252" s="751">
        <v>0</v>
      </c>
      <c r="AM252" s="751">
        <v>0</v>
      </c>
      <c r="AN252" s="751">
        <v>0</v>
      </c>
      <c r="AO252" s="751">
        <v>0</v>
      </c>
      <c r="AP252" s="751">
        <v>0</v>
      </c>
      <c r="AQ252" s="751">
        <v>0</v>
      </c>
      <c r="AR252" s="751">
        <v>0</v>
      </c>
      <c r="AS252" s="751">
        <v>0</v>
      </c>
      <c r="AT252" s="751">
        <v>0</v>
      </c>
      <c r="AU252" s="751">
        <v>0</v>
      </c>
      <c r="AV252" s="751">
        <v>0</v>
      </c>
      <c r="AW252" s="751">
        <v>0</v>
      </c>
      <c r="AX252" s="751">
        <v>0</v>
      </c>
      <c r="AY252" s="751">
        <v>0</v>
      </c>
      <c r="AZ252" s="751">
        <v>0</v>
      </c>
      <c r="BA252" s="751">
        <v>0</v>
      </c>
      <c r="BB252" s="751">
        <v>0</v>
      </c>
      <c r="BC252" s="751">
        <v>0</v>
      </c>
      <c r="BD252" s="751">
        <v>-20614358</v>
      </c>
      <c r="BE252" s="751">
        <v>0</v>
      </c>
      <c r="BF252" s="751">
        <v>-208226</v>
      </c>
      <c r="BG252" s="751">
        <v>-20822583</v>
      </c>
      <c r="BH252" s="751">
        <v>0</v>
      </c>
      <c r="BI252" s="751">
        <v>30259579</v>
      </c>
      <c r="BJ252" s="751">
        <v>0</v>
      </c>
      <c r="BK252" s="751">
        <v>303773</v>
      </c>
      <c r="BL252" s="751">
        <v>30563352</v>
      </c>
      <c r="BM252" s="751">
        <v>2641054</v>
      </c>
      <c r="BN252" s="751">
        <v>0</v>
      </c>
      <c r="BO252" s="751">
        <v>26677</v>
      </c>
      <c r="BP252" s="751">
        <v>2667731</v>
      </c>
      <c r="BQ252" s="751">
        <v>4067047</v>
      </c>
      <c r="BR252" s="751">
        <v>0</v>
      </c>
      <c r="BS252" s="751">
        <v>41081</v>
      </c>
      <c r="BT252" s="751">
        <v>4108128</v>
      </c>
      <c r="BU252" s="751">
        <v>223996</v>
      </c>
      <c r="BV252" s="751">
        <v>0</v>
      </c>
      <c r="BW252" s="751">
        <v>2263</v>
      </c>
      <c r="BX252" s="751">
        <v>226259</v>
      </c>
      <c r="BY252" s="751">
        <v>8480</v>
      </c>
      <c r="BZ252" s="751">
        <v>0</v>
      </c>
      <c r="CA252" s="751">
        <v>86</v>
      </c>
      <c r="CB252" s="751">
        <v>8566</v>
      </c>
      <c r="CC252" s="751">
        <v>0</v>
      </c>
      <c r="CD252" s="751">
        <v>0</v>
      </c>
      <c r="CE252" s="751">
        <v>0</v>
      </c>
      <c r="CF252" s="751">
        <v>0</v>
      </c>
      <c r="CG252" s="751">
        <v>20440</v>
      </c>
      <c r="CH252" s="751">
        <v>0</v>
      </c>
      <c r="CI252" s="751">
        <v>206</v>
      </c>
      <c r="CJ252" s="751">
        <v>20646</v>
      </c>
      <c r="CK252" s="751">
        <v>0</v>
      </c>
      <c r="CL252" s="751">
        <v>0</v>
      </c>
      <c r="CM252" s="751">
        <v>0</v>
      </c>
      <c r="CN252" s="751">
        <v>0</v>
      </c>
      <c r="CO252" s="751">
        <v>0</v>
      </c>
      <c r="CP252" s="751">
        <v>0</v>
      </c>
      <c r="CQ252" s="751">
        <v>0</v>
      </c>
      <c r="CR252" s="751">
        <v>0</v>
      </c>
      <c r="CS252" s="751">
        <v>0</v>
      </c>
      <c r="CT252" s="751">
        <v>0</v>
      </c>
      <c r="CU252" s="751">
        <v>0</v>
      </c>
      <c r="CV252" s="751">
        <v>0</v>
      </c>
      <c r="CW252" s="751">
        <v>6961017</v>
      </c>
      <c r="CX252" s="751">
        <v>0</v>
      </c>
      <c r="CY252" s="751">
        <v>70313</v>
      </c>
      <c r="CZ252" s="751">
        <v>7031330</v>
      </c>
      <c r="DA252" s="662" t="s">
        <v>817</v>
      </c>
      <c r="DB252" s="324" t="s">
        <v>570</v>
      </c>
      <c r="DC252" s="663" t="s">
        <v>571</v>
      </c>
      <c r="DD252" s="529" t="s">
        <v>1458</v>
      </c>
    </row>
    <row r="253" spans="1:108" ht="12.75" x14ac:dyDescent="0.2">
      <c r="A253" s="664">
        <v>246</v>
      </c>
      <c r="B253" s="665" t="s">
        <v>364</v>
      </c>
      <c r="C253" s="666" t="s">
        <v>1201</v>
      </c>
      <c r="D253" s="667" t="s">
        <v>1228</v>
      </c>
      <c r="E253" s="668" t="s">
        <v>363</v>
      </c>
      <c r="F253" s="750">
        <v>47998354</v>
      </c>
      <c r="G253" s="751">
        <v>0</v>
      </c>
      <c r="H253" s="751">
        <v>29033</v>
      </c>
      <c r="I253" s="751">
        <v>170681</v>
      </c>
      <c r="J253" s="751">
        <v>0</v>
      </c>
      <c r="K253" s="751">
        <v>170681</v>
      </c>
      <c r="L253" s="751">
        <v>0</v>
      </c>
      <c r="M253" s="751">
        <v>0</v>
      </c>
      <c r="N253" s="751">
        <v>0</v>
      </c>
      <c r="O253" s="751">
        <v>0</v>
      </c>
      <c r="P253" s="751">
        <v>0</v>
      </c>
      <c r="Q253" s="751">
        <v>0</v>
      </c>
      <c r="R253" s="751">
        <v>47798640</v>
      </c>
      <c r="S253" s="749">
        <v>0.5</v>
      </c>
      <c r="T253" s="749">
        <v>0.4</v>
      </c>
      <c r="U253" s="749">
        <v>0.09</v>
      </c>
      <c r="V253" s="749">
        <v>0.01</v>
      </c>
      <c r="W253" s="749">
        <v>1</v>
      </c>
      <c r="X253" s="751">
        <v>23899320</v>
      </c>
      <c r="Y253" s="751">
        <v>19119456</v>
      </c>
      <c r="Z253" s="751">
        <v>4301878</v>
      </c>
      <c r="AA253" s="751">
        <v>477986</v>
      </c>
      <c r="AB253" s="751">
        <v>47798640</v>
      </c>
      <c r="AC253" s="751">
        <v>0</v>
      </c>
      <c r="AD253" s="751">
        <v>0</v>
      </c>
      <c r="AE253" s="751">
        <v>23899320</v>
      </c>
      <c r="AF253" s="751">
        <v>19119456</v>
      </c>
      <c r="AG253" s="751">
        <v>4301878</v>
      </c>
      <c r="AH253" s="751">
        <v>477986</v>
      </c>
      <c r="AI253" s="751">
        <v>47798640</v>
      </c>
      <c r="AJ253" s="751">
        <v>170681</v>
      </c>
      <c r="AK253" s="751">
        <v>170681</v>
      </c>
      <c r="AL253" s="751">
        <v>0</v>
      </c>
      <c r="AM253" s="751">
        <v>0</v>
      </c>
      <c r="AN253" s="751">
        <v>0</v>
      </c>
      <c r="AO253" s="751">
        <v>0</v>
      </c>
      <c r="AP253" s="751">
        <v>0</v>
      </c>
      <c r="AQ253" s="751">
        <v>0</v>
      </c>
      <c r="AR253" s="751">
        <v>0</v>
      </c>
      <c r="AS253" s="751">
        <v>0</v>
      </c>
      <c r="AT253" s="751">
        <v>0</v>
      </c>
      <c r="AU253" s="751">
        <v>0</v>
      </c>
      <c r="AV253" s="751">
        <v>0</v>
      </c>
      <c r="AW253" s="751">
        <v>0</v>
      </c>
      <c r="AX253" s="751">
        <v>0</v>
      </c>
      <c r="AY253" s="751">
        <v>0</v>
      </c>
      <c r="AZ253" s="751">
        <v>0</v>
      </c>
      <c r="BA253" s="751">
        <v>0</v>
      </c>
      <c r="BB253" s="751">
        <v>0</v>
      </c>
      <c r="BC253" s="751">
        <v>-11224287</v>
      </c>
      <c r="BD253" s="751">
        <v>-8875424</v>
      </c>
      <c r="BE253" s="751">
        <v>-1866963</v>
      </c>
      <c r="BF253" s="751">
        <v>-221886</v>
      </c>
      <c r="BG253" s="751">
        <v>-22188560</v>
      </c>
      <c r="BH253" s="751">
        <v>12675033</v>
      </c>
      <c r="BI253" s="751">
        <v>10414713</v>
      </c>
      <c r="BJ253" s="751">
        <v>2434915</v>
      </c>
      <c r="BK253" s="751">
        <v>256100</v>
      </c>
      <c r="BL253" s="751">
        <v>25780761</v>
      </c>
      <c r="BM253" s="751">
        <v>996204</v>
      </c>
      <c r="BN253" s="751">
        <v>224146</v>
      </c>
      <c r="BO253" s="751">
        <v>24905</v>
      </c>
      <c r="BP253" s="751">
        <v>1245255</v>
      </c>
      <c r="BQ253" s="751">
        <v>1506251</v>
      </c>
      <c r="BR253" s="751">
        <v>338906</v>
      </c>
      <c r="BS253" s="751">
        <v>37656</v>
      </c>
      <c r="BT253" s="751">
        <v>1882813</v>
      </c>
      <c r="BU253" s="751">
        <v>91218</v>
      </c>
      <c r="BV253" s="751">
        <v>20524</v>
      </c>
      <c r="BW253" s="751">
        <v>2280</v>
      </c>
      <c r="BX253" s="751">
        <v>114022</v>
      </c>
      <c r="BY253" s="751">
        <v>0</v>
      </c>
      <c r="BZ253" s="751">
        <v>0</v>
      </c>
      <c r="CA253" s="751">
        <v>0</v>
      </c>
      <c r="CB253" s="751">
        <v>0</v>
      </c>
      <c r="CC253" s="751">
        <v>6752</v>
      </c>
      <c r="CD253" s="751">
        <v>1519</v>
      </c>
      <c r="CE253" s="751">
        <v>169</v>
      </c>
      <c r="CF253" s="751">
        <v>8440</v>
      </c>
      <c r="CG253" s="751">
        <v>8173</v>
      </c>
      <c r="CH253" s="751">
        <v>1839</v>
      </c>
      <c r="CI253" s="751">
        <v>204</v>
      </c>
      <c r="CJ253" s="751">
        <v>10216</v>
      </c>
      <c r="CK253" s="751">
        <v>0</v>
      </c>
      <c r="CL253" s="751">
        <v>0</v>
      </c>
      <c r="CM253" s="751">
        <v>0</v>
      </c>
      <c r="CN253" s="751">
        <v>0</v>
      </c>
      <c r="CO253" s="751">
        <v>0</v>
      </c>
      <c r="CP253" s="751">
        <v>0</v>
      </c>
      <c r="CQ253" s="751">
        <v>0</v>
      </c>
      <c r="CR253" s="751">
        <v>0</v>
      </c>
      <c r="CS253" s="751">
        <v>0</v>
      </c>
      <c r="CT253" s="751">
        <v>0</v>
      </c>
      <c r="CU253" s="751">
        <v>0</v>
      </c>
      <c r="CV253" s="751">
        <v>0</v>
      </c>
      <c r="CW253" s="751">
        <v>2608598</v>
      </c>
      <c r="CX253" s="751">
        <v>586934</v>
      </c>
      <c r="CY253" s="751">
        <v>65214</v>
      </c>
      <c r="CZ253" s="751">
        <v>3260746</v>
      </c>
      <c r="DA253" s="662" t="s">
        <v>363</v>
      </c>
      <c r="DB253" s="324" t="s">
        <v>564</v>
      </c>
      <c r="DC253" s="663" t="s">
        <v>1917</v>
      </c>
      <c r="DD253" s="529" t="s">
        <v>1459</v>
      </c>
    </row>
    <row r="254" spans="1:108" ht="12.75" x14ac:dyDescent="0.2">
      <c r="A254" s="664">
        <v>247</v>
      </c>
      <c r="B254" s="665" t="s">
        <v>366</v>
      </c>
      <c r="C254" s="666" t="s">
        <v>1201</v>
      </c>
      <c r="D254" s="667" t="s">
        <v>1228</v>
      </c>
      <c r="E254" s="668" t="s">
        <v>365</v>
      </c>
      <c r="F254" s="750">
        <v>19825462</v>
      </c>
      <c r="G254" s="751">
        <v>293836</v>
      </c>
      <c r="H254" s="751">
        <v>0</v>
      </c>
      <c r="I254" s="751">
        <v>112647</v>
      </c>
      <c r="J254" s="751">
        <v>0</v>
      </c>
      <c r="K254" s="751">
        <v>112647</v>
      </c>
      <c r="L254" s="751">
        <v>0</v>
      </c>
      <c r="M254" s="751">
        <v>0</v>
      </c>
      <c r="N254" s="751">
        <v>0</v>
      </c>
      <c r="O254" s="751">
        <v>0</v>
      </c>
      <c r="P254" s="751">
        <v>0</v>
      </c>
      <c r="Q254" s="751">
        <v>0</v>
      </c>
      <c r="R254" s="751">
        <v>20006651</v>
      </c>
      <c r="S254" s="749">
        <v>0.5</v>
      </c>
      <c r="T254" s="749">
        <v>0.4</v>
      </c>
      <c r="U254" s="749">
        <v>0.09</v>
      </c>
      <c r="V254" s="749">
        <v>0.01</v>
      </c>
      <c r="W254" s="749">
        <v>1</v>
      </c>
      <c r="X254" s="751">
        <v>10003325</v>
      </c>
      <c r="Y254" s="751">
        <v>8002660</v>
      </c>
      <c r="Z254" s="751">
        <v>1800599</v>
      </c>
      <c r="AA254" s="751">
        <v>200067</v>
      </c>
      <c r="AB254" s="751">
        <v>20006651</v>
      </c>
      <c r="AC254" s="751">
        <v>0</v>
      </c>
      <c r="AD254" s="751">
        <v>0</v>
      </c>
      <c r="AE254" s="751">
        <v>10003325</v>
      </c>
      <c r="AF254" s="751">
        <v>8002660</v>
      </c>
      <c r="AG254" s="751">
        <v>1800599</v>
      </c>
      <c r="AH254" s="751">
        <v>200067</v>
      </c>
      <c r="AI254" s="751">
        <v>20006651</v>
      </c>
      <c r="AJ254" s="751">
        <v>112647</v>
      </c>
      <c r="AK254" s="751">
        <v>112647</v>
      </c>
      <c r="AL254" s="751">
        <v>0</v>
      </c>
      <c r="AM254" s="751">
        <v>0</v>
      </c>
      <c r="AN254" s="751">
        <v>0</v>
      </c>
      <c r="AO254" s="751">
        <v>0</v>
      </c>
      <c r="AP254" s="751">
        <v>0</v>
      </c>
      <c r="AQ254" s="751">
        <v>0</v>
      </c>
      <c r="AR254" s="751">
        <v>0</v>
      </c>
      <c r="AS254" s="751">
        <v>0</v>
      </c>
      <c r="AT254" s="751">
        <v>0</v>
      </c>
      <c r="AU254" s="751">
        <v>0</v>
      </c>
      <c r="AV254" s="751">
        <v>0</v>
      </c>
      <c r="AW254" s="751">
        <v>0</v>
      </c>
      <c r="AX254" s="751">
        <v>0</v>
      </c>
      <c r="AY254" s="751">
        <v>0</v>
      </c>
      <c r="AZ254" s="751">
        <v>0</v>
      </c>
      <c r="BA254" s="751">
        <v>0</v>
      </c>
      <c r="BB254" s="751">
        <v>0</v>
      </c>
      <c r="BC254" s="751">
        <v>-5293377</v>
      </c>
      <c r="BD254" s="751">
        <v>-3989344</v>
      </c>
      <c r="BE254" s="751">
        <v>-590905</v>
      </c>
      <c r="BF254" s="751">
        <v>-99734</v>
      </c>
      <c r="BG254" s="751">
        <v>-9973359</v>
      </c>
      <c r="BH254" s="751">
        <v>4709948</v>
      </c>
      <c r="BI254" s="751">
        <v>4125963</v>
      </c>
      <c r="BJ254" s="751">
        <v>1209694</v>
      </c>
      <c r="BK254" s="751">
        <v>100333</v>
      </c>
      <c r="BL254" s="751">
        <v>10145939</v>
      </c>
      <c r="BM254" s="751">
        <v>416972</v>
      </c>
      <c r="BN254" s="751">
        <v>93819</v>
      </c>
      <c r="BO254" s="751">
        <v>10424</v>
      </c>
      <c r="BP254" s="751">
        <v>521215</v>
      </c>
      <c r="BQ254" s="751">
        <v>1165183</v>
      </c>
      <c r="BR254" s="751">
        <v>262166</v>
      </c>
      <c r="BS254" s="751">
        <v>29130</v>
      </c>
      <c r="BT254" s="751">
        <v>1456479</v>
      </c>
      <c r="BU254" s="751">
        <v>38541</v>
      </c>
      <c r="BV254" s="751">
        <v>8672</v>
      </c>
      <c r="BW254" s="751">
        <v>964</v>
      </c>
      <c r="BX254" s="751">
        <v>48177</v>
      </c>
      <c r="BY254" s="751">
        <v>0</v>
      </c>
      <c r="BZ254" s="751">
        <v>0</v>
      </c>
      <c r="CA254" s="751">
        <v>0</v>
      </c>
      <c r="CB254" s="751">
        <v>0</v>
      </c>
      <c r="CC254" s="751">
        <v>4978</v>
      </c>
      <c r="CD254" s="751">
        <v>1120</v>
      </c>
      <c r="CE254" s="751">
        <v>124</v>
      </c>
      <c r="CF254" s="751">
        <v>6222</v>
      </c>
      <c r="CG254" s="751">
        <v>0</v>
      </c>
      <c r="CH254" s="751">
        <v>0</v>
      </c>
      <c r="CI254" s="751">
        <v>0</v>
      </c>
      <c r="CJ254" s="751">
        <v>0</v>
      </c>
      <c r="CK254" s="751">
        <v>0</v>
      </c>
      <c r="CL254" s="751">
        <v>0</v>
      </c>
      <c r="CM254" s="751">
        <v>0</v>
      </c>
      <c r="CN254" s="751">
        <v>0</v>
      </c>
      <c r="CO254" s="751">
        <v>0</v>
      </c>
      <c r="CP254" s="751">
        <v>0</v>
      </c>
      <c r="CQ254" s="751">
        <v>0</v>
      </c>
      <c r="CR254" s="751">
        <v>0</v>
      </c>
      <c r="CS254" s="751">
        <v>0</v>
      </c>
      <c r="CT254" s="751">
        <v>0</v>
      </c>
      <c r="CU254" s="751">
        <v>0</v>
      </c>
      <c r="CV254" s="751">
        <v>0</v>
      </c>
      <c r="CW254" s="751">
        <v>1625674</v>
      </c>
      <c r="CX254" s="751">
        <v>365777</v>
      </c>
      <c r="CY254" s="751">
        <v>40642</v>
      </c>
      <c r="CZ254" s="751">
        <v>2032093</v>
      </c>
      <c r="DA254" s="662" t="s">
        <v>365</v>
      </c>
      <c r="DB254" s="324" t="s">
        <v>564</v>
      </c>
      <c r="DC254" s="663" t="s">
        <v>1917</v>
      </c>
      <c r="DD254" s="529" t="s">
        <v>1460</v>
      </c>
    </row>
    <row r="255" spans="1:108" ht="12.75" x14ac:dyDescent="0.2">
      <c r="A255" s="664">
        <v>248</v>
      </c>
      <c r="B255" s="665" t="s">
        <v>368</v>
      </c>
      <c r="C255" s="666" t="s">
        <v>1201</v>
      </c>
      <c r="D255" s="667" t="s">
        <v>1211</v>
      </c>
      <c r="E255" s="668" t="s">
        <v>367</v>
      </c>
      <c r="F255" s="750">
        <v>45718720</v>
      </c>
      <c r="G255" s="751">
        <v>0</v>
      </c>
      <c r="H255" s="751">
        <v>147684</v>
      </c>
      <c r="I255" s="751">
        <v>106627</v>
      </c>
      <c r="J255" s="751">
        <v>0</v>
      </c>
      <c r="K255" s="751">
        <v>106627</v>
      </c>
      <c r="L255" s="751">
        <v>0</v>
      </c>
      <c r="M255" s="751">
        <v>0</v>
      </c>
      <c r="N255" s="751">
        <v>0</v>
      </c>
      <c r="O255" s="751">
        <v>0</v>
      </c>
      <c r="P255" s="751">
        <v>0</v>
      </c>
      <c r="Q255" s="751">
        <v>0</v>
      </c>
      <c r="R255" s="751">
        <v>45464409</v>
      </c>
      <c r="S255" s="749">
        <v>0.5</v>
      </c>
      <c r="T255" s="749">
        <v>0.4</v>
      </c>
      <c r="U255" s="749">
        <v>0.1</v>
      </c>
      <c r="V255" s="749">
        <v>0</v>
      </c>
      <c r="W255" s="749">
        <v>1</v>
      </c>
      <c r="X255" s="751">
        <v>22732204</v>
      </c>
      <c r="Y255" s="751">
        <v>18185764</v>
      </c>
      <c r="Z255" s="751">
        <v>4546441</v>
      </c>
      <c r="AA255" s="751">
        <v>0</v>
      </c>
      <c r="AB255" s="751">
        <v>45464409</v>
      </c>
      <c r="AC255" s="751">
        <v>0</v>
      </c>
      <c r="AD255" s="751">
        <v>0</v>
      </c>
      <c r="AE255" s="751">
        <v>22732204</v>
      </c>
      <c r="AF255" s="751">
        <v>18185764</v>
      </c>
      <c r="AG255" s="751">
        <v>4546441</v>
      </c>
      <c r="AH255" s="751">
        <v>0</v>
      </c>
      <c r="AI255" s="751">
        <v>45464409</v>
      </c>
      <c r="AJ255" s="751">
        <v>106627</v>
      </c>
      <c r="AK255" s="751">
        <v>106627</v>
      </c>
      <c r="AL255" s="751">
        <v>0</v>
      </c>
      <c r="AM255" s="751">
        <v>0</v>
      </c>
      <c r="AN255" s="751">
        <v>0</v>
      </c>
      <c r="AO255" s="751">
        <v>0</v>
      </c>
      <c r="AP255" s="751">
        <v>0</v>
      </c>
      <c r="AQ255" s="751">
        <v>0</v>
      </c>
      <c r="AR255" s="751">
        <v>0</v>
      </c>
      <c r="AS255" s="751">
        <v>0</v>
      </c>
      <c r="AT255" s="751">
        <v>0</v>
      </c>
      <c r="AU255" s="751">
        <v>0</v>
      </c>
      <c r="AV255" s="751">
        <v>0</v>
      </c>
      <c r="AW255" s="751">
        <v>0</v>
      </c>
      <c r="AX255" s="751">
        <v>0</v>
      </c>
      <c r="AY255" s="751">
        <v>0</v>
      </c>
      <c r="AZ255" s="751">
        <v>0</v>
      </c>
      <c r="BA255" s="751">
        <v>0</v>
      </c>
      <c r="BB255" s="751">
        <v>0</v>
      </c>
      <c r="BC255" s="751">
        <v>-9980392</v>
      </c>
      <c r="BD255" s="751">
        <v>-7632402</v>
      </c>
      <c r="BE255" s="751">
        <v>-1174951</v>
      </c>
      <c r="BF255" s="751">
        <v>0</v>
      </c>
      <c r="BG255" s="751">
        <v>-18787746</v>
      </c>
      <c r="BH255" s="751">
        <v>12751812</v>
      </c>
      <c r="BI255" s="751">
        <v>10659989</v>
      </c>
      <c r="BJ255" s="751">
        <v>3371490</v>
      </c>
      <c r="BK255" s="751">
        <v>0</v>
      </c>
      <c r="BL255" s="751">
        <v>26783290</v>
      </c>
      <c r="BM255" s="751">
        <v>947555</v>
      </c>
      <c r="BN255" s="751">
        <v>236889</v>
      </c>
      <c r="BO255" s="751">
        <v>0</v>
      </c>
      <c r="BP255" s="751">
        <v>1184444</v>
      </c>
      <c r="BQ255" s="751">
        <v>611511</v>
      </c>
      <c r="BR255" s="751">
        <v>152878</v>
      </c>
      <c r="BS255" s="751">
        <v>0</v>
      </c>
      <c r="BT255" s="751">
        <v>764389</v>
      </c>
      <c r="BU255" s="751">
        <v>59673</v>
      </c>
      <c r="BV255" s="751">
        <v>14918</v>
      </c>
      <c r="BW255" s="751">
        <v>0</v>
      </c>
      <c r="BX255" s="751">
        <v>74591</v>
      </c>
      <c r="BY255" s="751">
        <v>0</v>
      </c>
      <c r="BZ255" s="751">
        <v>0</v>
      </c>
      <c r="CA255" s="751">
        <v>0</v>
      </c>
      <c r="CB255" s="751">
        <v>0</v>
      </c>
      <c r="CC255" s="751">
        <v>0</v>
      </c>
      <c r="CD255" s="751">
        <v>0</v>
      </c>
      <c r="CE255" s="751">
        <v>0</v>
      </c>
      <c r="CF255" s="751">
        <v>0</v>
      </c>
      <c r="CG255" s="751">
        <v>421</v>
      </c>
      <c r="CH255" s="751">
        <v>105</v>
      </c>
      <c r="CI255" s="751">
        <v>0</v>
      </c>
      <c r="CJ255" s="751">
        <v>526</v>
      </c>
      <c r="CK255" s="751">
        <v>0</v>
      </c>
      <c r="CL255" s="751">
        <v>0</v>
      </c>
      <c r="CM255" s="751">
        <v>0</v>
      </c>
      <c r="CN255" s="751">
        <v>0</v>
      </c>
      <c r="CO255" s="751">
        <v>0</v>
      </c>
      <c r="CP255" s="751">
        <v>0</v>
      </c>
      <c r="CQ255" s="751">
        <v>0</v>
      </c>
      <c r="CR255" s="751">
        <v>0</v>
      </c>
      <c r="CS255" s="751">
        <v>0</v>
      </c>
      <c r="CT255" s="751">
        <v>0</v>
      </c>
      <c r="CU255" s="751">
        <v>0</v>
      </c>
      <c r="CV255" s="751">
        <v>0</v>
      </c>
      <c r="CW255" s="751">
        <v>1619160</v>
      </c>
      <c r="CX255" s="751">
        <v>404790</v>
      </c>
      <c r="CY255" s="751">
        <v>0</v>
      </c>
      <c r="CZ255" s="751">
        <v>2023950</v>
      </c>
      <c r="DA255" s="662" t="s">
        <v>367</v>
      </c>
      <c r="DB255" s="324" t="s">
        <v>536</v>
      </c>
      <c r="DC255" s="663" t="s">
        <v>512</v>
      </c>
      <c r="DD255" s="529" t="s">
        <v>1461</v>
      </c>
    </row>
    <row r="256" spans="1:108" ht="12.75" x14ac:dyDescent="0.2">
      <c r="A256" s="664">
        <v>249</v>
      </c>
      <c r="B256" s="665" t="s">
        <v>370</v>
      </c>
      <c r="C256" s="666" t="s">
        <v>1217</v>
      </c>
      <c r="D256" s="667" t="s">
        <v>1204</v>
      </c>
      <c r="E256" s="668" t="s">
        <v>369</v>
      </c>
      <c r="F256" s="750">
        <v>82870836</v>
      </c>
      <c r="G256" s="751">
        <v>0</v>
      </c>
      <c r="H256" s="751">
        <v>1212610</v>
      </c>
      <c r="I256" s="751">
        <v>424084</v>
      </c>
      <c r="J256" s="751">
        <v>0</v>
      </c>
      <c r="K256" s="751">
        <v>424084</v>
      </c>
      <c r="L256" s="751">
        <v>0</v>
      </c>
      <c r="M256" s="751">
        <v>0</v>
      </c>
      <c r="N256" s="751">
        <v>0</v>
      </c>
      <c r="O256" s="751">
        <v>0</v>
      </c>
      <c r="P256" s="751">
        <v>0</v>
      </c>
      <c r="Q256" s="751">
        <v>0</v>
      </c>
      <c r="R256" s="751">
        <v>81234142</v>
      </c>
      <c r="S256" s="749">
        <v>0</v>
      </c>
      <c r="T256" s="749">
        <v>0.99</v>
      </c>
      <c r="U256" s="749">
        <v>0</v>
      </c>
      <c r="V256" s="749">
        <v>0.01</v>
      </c>
      <c r="W256" s="749">
        <v>1</v>
      </c>
      <c r="X256" s="751">
        <v>0</v>
      </c>
      <c r="Y256" s="751">
        <v>80421801</v>
      </c>
      <c r="Z256" s="751">
        <v>0</v>
      </c>
      <c r="AA256" s="751">
        <v>812341</v>
      </c>
      <c r="AB256" s="751">
        <v>81234142</v>
      </c>
      <c r="AC256" s="751">
        <v>0</v>
      </c>
      <c r="AD256" s="751">
        <v>0</v>
      </c>
      <c r="AE256" s="751">
        <v>0</v>
      </c>
      <c r="AF256" s="751">
        <v>80421801</v>
      </c>
      <c r="AG256" s="751">
        <v>0</v>
      </c>
      <c r="AH256" s="751">
        <v>812341</v>
      </c>
      <c r="AI256" s="751">
        <v>81234142</v>
      </c>
      <c r="AJ256" s="751">
        <v>424084</v>
      </c>
      <c r="AK256" s="751">
        <v>424084</v>
      </c>
      <c r="AL256" s="751">
        <v>0</v>
      </c>
      <c r="AM256" s="751">
        <v>0</v>
      </c>
      <c r="AN256" s="751">
        <v>0</v>
      </c>
      <c r="AO256" s="751">
        <v>0</v>
      </c>
      <c r="AP256" s="751">
        <v>0</v>
      </c>
      <c r="AQ256" s="751">
        <v>0</v>
      </c>
      <c r="AR256" s="751">
        <v>0</v>
      </c>
      <c r="AS256" s="751">
        <v>0</v>
      </c>
      <c r="AT256" s="751">
        <v>0</v>
      </c>
      <c r="AU256" s="751">
        <v>0</v>
      </c>
      <c r="AV256" s="751">
        <v>0</v>
      </c>
      <c r="AW256" s="751">
        <v>0</v>
      </c>
      <c r="AX256" s="751">
        <v>0</v>
      </c>
      <c r="AY256" s="751">
        <v>0</v>
      </c>
      <c r="AZ256" s="751">
        <v>0</v>
      </c>
      <c r="BA256" s="751">
        <v>0</v>
      </c>
      <c r="BB256" s="751">
        <v>0</v>
      </c>
      <c r="BC256" s="751">
        <v>0</v>
      </c>
      <c r="BD256" s="751">
        <v>-40589552</v>
      </c>
      <c r="BE256" s="751">
        <v>0</v>
      </c>
      <c r="BF256" s="751">
        <v>-409995</v>
      </c>
      <c r="BG256" s="751">
        <v>-40999548</v>
      </c>
      <c r="BH256" s="751">
        <v>0</v>
      </c>
      <c r="BI256" s="751">
        <v>40256333</v>
      </c>
      <c r="BJ256" s="751">
        <v>0</v>
      </c>
      <c r="BK256" s="751">
        <v>402346</v>
      </c>
      <c r="BL256" s="751">
        <v>40658678</v>
      </c>
      <c r="BM256" s="751">
        <v>4190314</v>
      </c>
      <c r="BN256" s="751">
        <v>0</v>
      </c>
      <c r="BO256" s="751">
        <v>42326</v>
      </c>
      <c r="BP256" s="751">
        <v>4232640</v>
      </c>
      <c r="BQ256" s="751">
        <v>9017930</v>
      </c>
      <c r="BR256" s="751">
        <v>0</v>
      </c>
      <c r="BS256" s="751">
        <v>91090</v>
      </c>
      <c r="BT256" s="751">
        <v>9109020</v>
      </c>
      <c r="BU256" s="751">
        <v>449733</v>
      </c>
      <c r="BV256" s="751">
        <v>0</v>
      </c>
      <c r="BW256" s="751">
        <v>4543</v>
      </c>
      <c r="BX256" s="751">
        <v>454276</v>
      </c>
      <c r="BY256" s="751">
        <v>2966</v>
      </c>
      <c r="BZ256" s="751">
        <v>0</v>
      </c>
      <c r="CA256" s="751">
        <v>30</v>
      </c>
      <c r="CB256" s="751">
        <v>2996</v>
      </c>
      <c r="CC256" s="751">
        <v>0</v>
      </c>
      <c r="CD256" s="751">
        <v>0</v>
      </c>
      <c r="CE256" s="751">
        <v>0</v>
      </c>
      <c r="CF256" s="751">
        <v>0</v>
      </c>
      <c r="CG256" s="751">
        <v>29049</v>
      </c>
      <c r="CH256" s="751">
        <v>0</v>
      </c>
      <c r="CI256" s="751">
        <v>293</v>
      </c>
      <c r="CJ256" s="751">
        <v>29342</v>
      </c>
      <c r="CK256" s="751">
        <v>0</v>
      </c>
      <c r="CL256" s="751">
        <v>0</v>
      </c>
      <c r="CM256" s="751">
        <v>0</v>
      </c>
      <c r="CN256" s="751">
        <v>0</v>
      </c>
      <c r="CO256" s="751">
        <v>0</v>
      </c>
      <c r="CP256" s="751">
        <v>0</v>
      </c>
      <c r="CQ256" s="751">
        <v>0</v>
      </c>
      <c r="CR256" s="751">
        <v>0</v>
      </c>
      <c r="CS256" s="751">
        <v>0</v>
      </c>
      <c r="CT256" s="751">
        <v>0</v>
      </c>
      <c r="CU256" s="751">
        <v>0</v>
      </c>
      <c r="CV256" s="751">
        <v>0</v>
      </c>
      <c r="CW256" s="751">
        <v>13689992</v>
      </c>
      <c r="CX256" s="751">
        <v>0</v>
      </c>
      <c r="CY256" s="751">
        <v>138282</v>
      </c>
      <c r="CZ256" s="751">
        <v>13828274</v>
      </c>
      <c r="DA256" s="662" t="s">
        <v>369</v>
      </c>
      <c r="DB256" s="324" t="s">
        <v>570</v>
      </c>
      <c r="DC256" s="663" t="s">
        <v>1915</v>
      </c>
      <c r="DD256" s="529" t="s">
        <v>1462</v>
      </c>
    </row>
    <row r="257" spans="1:108" ht="12.75" x14ac:dyDescent="0.2">
      <c r="A257" s="664">
        <v>250</v>
      </c>
      <c r="B257" s="665" t="s">
        <v>372</v>
      </c>
      <c r="C257" s="666" t="s">
        <v>486</v>
      </c>
      <c r="D257" s="667" t="s">
        <v>1283</v>
      </c>
      <c r="E257" s="668" t="s">
        <v>511</v>
      </c>
      <c r="F257" s="750">
        <v>83655758</v>
      </c>
      <c r="G257" s="751">
        <v>0</v>
      </c>
      <c r="H257" s="751">
        <v>933422</v>
      </c>
      <c r="I257" s="751">
        <v>233938</v>
      </c>
      <c r="J257" s="751">
        <v>0</v>
      </c>
      <c r="K257" s="751">
        <v>233938</v>
      </c>
      <c r="L257" s="751">
        <v>0</v>
      </c>
      <c r="M257" s="751">
        <v>229350</v>
      </c>
      <c r="N257" s="751">
        <v>110637</v>
      </c>
      <c r="O257" s="751">
        <v>110637</v>
      </c>
      <c r="P257" s="751">
        <v>0</v>
      </c>
      <c r="Q257" s="751">
        <v>0</v>
      </c>
      <c r="R257" s="751">
        <v>82148411</v>
      </c>
      <c r="S257" s="749">
        <v>0.5</v>
      </c>
      <c r="T257" s="749">
        <v>0.49</v>
      </c>
      <c r="U257" s="749">
        <v>0</v>
      </c>
      <c r="V257" s="749">
        <v>0.01</v>
      </c>
      <c r="W257" s="749">
        <v>1</v>
      </c>
      <c r="X257" s="751">
        <v>41074206</v>
      </c>
      <c r="Y257" s="751">
        <v>40252721</v>
      </c>
      <c r="Z257" s="751">
        <v>0</v>
      </c>
      <c r="AA257" s="751">
        <v>821484</v>
      </c>
      <c r="AB257" s="751">
        <v>82148411</v>
      </c>
      <c r="AC257" s="751">
        <v>5577</v>
      </c>
      <c r="AD257" s="751">
        <v>5577</v>
      </c>
      <c r="AE257" s="751">
        <v>41068629</v>
      </c>
      <c r="AF257" s="751">
        <v>40252721</v>
      </c>
      <c r="AG257" s="751">
        <v>0</v>
      </c>
      <c r="AH257" s="751">
        <v>821484</v>
      </c>
      <c r="AI257" s="751">
        <v>82142834</v>
      </c>
      <c r="AJ257" s="751">
        <v>233938</v>
      </c>
      <c r="AK257" s="751">
        <v>233938</v>
      </c>
      <c r="AL257" s="751">
        <v>229350</v>
      </c>
      <c r="AM257" s="751">
        <v>229350</v>
      </c>
      <c r="AN257" s="751">
        <v>110637</v>
      </c>
      <c r="AO257" s="751">
        <v>0</v>
      </c>
      <c r="AP257" s="751">
        <v>110637</v>
      </c>
      <c r="AQ257" s="751">
        <v>0</v>
      </c>
      <c r="AR257" s="751">
        <v>0</v>
      </c>
      <c r="AS257" s="751">
        <v>0</v>
      </c>
      <c r="AT257" s="751">
        <v>0</v>
      </c>
      <c r="AU257" s="751">
        <v>5465</v>
      </c>
      <c r="AV257" s="751">
        <v>0</v>
      </c>
      <c r="AW257" s="751">
        <v>112</v>
      </c>
      <c r="AX257" s="751">
        <v>5577</v>
      </c>
      <c r="AY257" s="751">
        <v>0</v>
      </c>
      <c r="AZ257" s="751">
        <v>0</v>
      </c>
      <c r="BA257" s="751">
        <v>0</v>
      </c>
      <c r="BB257" s="751">
        <v>0</v>
      </c>
      <c r="BC257" s="751">
        <v>-16755452</v>
      </c>
      <c r="BD257" s="751">
        <v>-16420342</v>
      </c>
      <c r="BE257" s="751">
        <v>0</v>
      </c>
      <c r="BF257" s="751">
        <v>-335109</v>
      </c>
      <c r="BG257" s="751">
        <v>-33510903</v>
      </c>
      <c r="BH257" s="751">
        <v>24313178</v>
      </c>
      <c r="BI257" s="751">
        <v>24411769</v>
      </c>
      <c r="BJ257" s="751">
        <v>0</v>
      </c>
      <c r="BK257" s="751">
        <v>486487</v>
      </c>
      <c r="BL257" s="751">
        <v>49211433</v>
      </c>
      <c r="BM257" s="751">
        <v>2115336</v>
      </c>
      <c r="BN257" s="751">
        <v>0</v>
      </c>
      <c r="BO257" s="751">
        <v>42809</v>
      </c>
      <c r="BP257" s="751">
        <v>2158145</v>
      </c>
      <c r="BQ257" s="751">
        <v>2029691</v>
      </c>
      <c r="BR257" s="751">
        <v>0</v>
      </c>
      <c r="BS257" s="751">
        <v>40824</v>
      </c>
      <c r="BT257" s="751">
        <v>2070515</v>
      </c>
      <c r="BU257" s="751">
        <v>143244</v>
      </c>
      <c r="BV257" s="751">
        <v>0</v>
      </c>
      <c r="BW257" s="751">
        <v>2893</v>
      </c>
      <c r="BX257" s="751">
        <v>146137</v>
      </c>
      <c r="BY257" s="751">
        <v>0</v>
      </c>
      <c r="BZ257" s="751">
        <v>0</v>
      </c>
      <c r="CA257" s="751">
        <v>0</v>
      </c>
      <c r="CB257" s="751">
        <v>0</v>
      </c>
      <c r="CC257" s="751">
        <v>0</v>
      </c>
      <c r="CD257" s="751">
        <v>0</v>
      </c>
      <c r="CE257" s="751">
        <v>0</v>
      </c>
      <c r="CF257" s="751">
        <v>0</v>
      </c>
      <c r="CG257" s="751">
        <v>11205</v>
      </c>
      <c r="CH257" s="751">
        <v>0</v>
      </c>
      <c r="CI257" s="751">
        <v>229</v>
      </c>
      <c r="CJ257" s="751">
        <v>11434</v>
      </c>
      <c r="CK257" s="751">
        <v>0</v>
      </c>
      <c r="CL257" s="751">
        <v>0</v>
      </c>
      <c r="CM257" s="751">
        <v>0</v>
      </c>
      <c r="CN257" s="751">
        <v>0</v>
      </c>
      <c r="CO257" s="751">
        <v>0</v>
      </c>
      <c r="CP257" s="751">
        <v>0</v>
      </c>
      <c r="CQ257" s="751">
        <v>0</v>
      </c>
      <c r="CR257" s="751">
        <v>0</v>
      </c>
      <c r="CS257" s="751">
        <v>0</v>
      </c>
      <c r="CT257" s="751">
        <v>0</v>
      </c>
      <c r="CU257" s="751">
        <v>0</v>
      </c>
      <c r="CV257" s="751">
        <v>0</v>
      </c>
      <c r="CW257" s="751">
        <v>4299476</v>
      </c>
      <c r="CX257" s="751">
        <v>0</v>
      </c>
      <c r="CY257" s="751">
        <v>86755</v>
      </c>
      <c r="CZ257" s="751">
        <v>4386231</v>
      </c>
      <c r="DA257" s="662" t="s">
        <v>511</v>
      </c>
      <c r="DB257" s="324" t="s">
        <v>486</v>
      </c>
      <c r="DC257" s="663" t="s">
        <v>509</v>
      </c>
      <c r="DD257" s="529" t="s">
        <v>1463</v>
      </c>
    </row>
    <row r="258" spans="1:108" ht="12.75" x14ac:dyDescent="0.2">
      <c r="A258" s="664">
        <v>251</v>
      </c>
      <c r="B258" s="665" t="s">
        <v>374</v>
      </c>
      <c r="C258" s="666" t="s">
        <v>486</v>
      </c>
      <c r="D258" s="667" t="s">
        <v>1228</v>
      </c>
      <c r="E258" s="668" t="s">
        <v>563</v>
      </c>
      <c r="F258" s="750">
        <v>88019387</v>
      </c>
      <c r="G258" s="751">
        <v>0</v>
      </c>
      <c r="H258" s="751">
        <v>151464</v>
      </c>
      <c r="I258" s="751">
        <v>353831</v>
      </c>
      <c r="J258" s="751">
        <v>0</v>
      </c>
      <c r="K258" s="751">
        <v>353831</v>
      </c>
      <c r="L258" s="751">
        <v>0</v>
      </c>
      <c r="M258" s="751">
        <v>1133933</v>
      </c>
      <c r="N258" s="751">
        <v>0</v>
      </c>
      <c r="O258" s="751">
        <v>0</v>
      </c>
      <c r="P258" s="751">
        <v>0</v>
      </c>
      <c r="Q258" s="751">
        <v>0</v>
      </c>
      <c r="R258" s="751">
        <v>86380159</v>
      </c>
      <c r="S258" s="749">
        <v>0.5</v>
      </c>
      <c r="T258" s="749">
        <v>0.49</v>
      </c>
      <c r="U258" s="749">
        <v>0</v>
      </c>
      <c r="V258" s="749">
        <v>0.01</v>
      </c>
      <c r="W258" s="749">
        <v>1</v>
      </c>
      <c r="X258" s="751">
        <v>43190079</v>
      </c>
      <c r="Y258" s="751">
        <v>42326278</v>
      </c>
      <c r="Z258" s="751">
        <v>0</v>
      </c>
      <c r="AA258" s="751">
        <v>863802</v>
      </c>
      <c r="AB258" s="751">
        <v>86380159</v>
      </c>
      <c r="AC258" s="751">
        <v>438552</v>
      </c>
      <c r="AD258" s="751">
        <v>438552</v>
      </c>
      <c r="AE258" s="751">
        <v>42751527</v>
      </c>
      <c r="AF258" s="751">
        <v>42326278</v>
      </c>
      <c r="AG258" s="751">
        <v>0</v>
      </c>
      <c r="AH258" s="751">
        <v>863802</v>
      </c>
      <c r="AI258" s="751">
        <v>85941607</v>
      </c>
      <c r="AJ258" s="751">
        <v>353831</v>
      </c>
      <c r="AK258" s="751">
        <v>353831</v>
      </c>
      <c r="AL258" s="751">
        <v>1133933</v>
      </c>
      <c r="AM258" s="751">
        <v>1133933</v>
      </c>
      <c r="AN258" s="751">
        <v>0</v>
      </c>
      <c r="AO258" s="751">
        <v>0</v>
      </c>
      <c r="AP258" s="751">
        <v>0</v>
      </c>
      <c r="AQ258" s="751">
        <v>0</v>
      </c>
      <c r="AR258" s="751">
        <v>0</v>
      </c>
      <c r="AS258" s="751">
        <v>0</v>
      </c>
      <c r="AT258" s="751">
        <v>0</v>
      </c>
      <c r="AU258" s="751">
        <v>438552</v>
      </c>
      <c r="AV258" s="751">
        <v>0</v>
      </c>
      <c r="AW258" s="751">
        <v>0</v>
      </c>
      <c r="AX258" s="751">
        <v>438552</v>
      </c>
      <c r="AY258" s="751">
        <v>0</v>
      </c>
      <c r="AZ258" s="751">
        <v>0</v>
      </c>
      <c r="BA258" s="751">
        <v>0</v>
      </c>
      <c r="BB258" s="751">
        <v>0</v>
      </c>
      <c r="BC258" s="751">
        <v>-21713079</v>
      </c>
      <c r="BD258" s="751">
        <v>-20588093</v>
      </c>
      <c r="BE258" s="751">
        <v>0</v>
      </c>
      <c r="BF258" s="751">
        <v>-427285</v>
      </c>
      <c r="BG258" s="751">
        <v>-42728456</v>
      </c>
      <c r="BH258" s="751">
        <v>21038448</v>
      </c>
      <c r="BI258" s="751">
        <v>23664501</v>
      </c>
      <c r="BJ258" s="751">
        <v>0</v>
      </c>
      <c r="BK258" s="751">
        <v>436517</v>
      </c>
      <c r="BL258" s="751">
        <v>45139467</v>
      </c>
      <c r="BM258" s="751">
        <v>2287310</v>
      </c>
      <c r="BN258" s="751">
        <v>0</v>
      </c>
      <c r="BO258" s="751">
        <v>45008</v>
      </c>
      <c r="BP258" s="751">
        <v>2332318</v>
      </c>
      <c r="BQ258" s="751">
        <v>3917100</v>
      </c>
      <c r="BR258" s="751">
        <v>0</v>
      </c>
      <c r="BS258" s="751">
        <v>79154</v>
      </c>
      <c r="BT258" s="751">
        <v>3996254</v>
      </c>
      <c r="BU258" s="751">
        <v>164437</v>
      </c>
      <c r="BV258" s="751">
        <v>0</v>
      </c>
      <c r="BW258" s="751">
        <v>3356</v>
      </c>
      <c r="BX258" s="751">
        <v>167793</v>
      </c>
      <c r="BY258" s="751">
        <v>2051</v>
      </c>
      <c r="BZ258" s="751">
        <v>0</v>
      </c>
      <c r="CA258" s="751">
        <v>42</v>
      </c>
      <c r="CB258" s="751">
        <v>2093</v>
      </c>
      <c r="CC258" s="751">
        <v>0</v>
      </c>
      <c r="CD258" s="751">
        <v>0</v>
      </c>
      <c r="CE258" s="751">
        <v>0</v>
      </c>
      <c r="CF258" s="751">
        <v>0</v>
      </c>
      <c r="CG258" s="751">
        <v>8832</v>
      </c>
      <c r="CH258" s="751">
        <v>0</v>
      </c>
      <c r="CI258" s="751">
        <v>180</v>
      </c>
      <c r="CJ258" s="751">
        <v>9012</v>
      </c>
      <c r="CK258" s="751">
        <v>0</v>
      </c>
      <c r="CL258" s="751">
        <v>0</v>
      </c>
      <c r="CM258" s="751">
        <v>0</v>
      </c>
      <c r="CN258" s="751">
        <v>0</v>
      </c>
      <c r="CO258" s="751">
        <v>0</v>
      </c>
      <c r="CP258" s="751">
        <v>0</v>
      </c>
      <c r="CQ258" s="751">
        <v>0</v>
      </c>
      <c r="CR258" s="751">
        <v>0</v>
      </c>
      <c r="CS258" s="751">
        <v>773</v>
      </c>
      <c r="CT258" s="751">
        <v>0</v>
      </c>
      <c r="CU258" s="751">
        <v>16</v>
      </c>
      <c r="CV258" s="751">
        <v>789</v>
      </c>
      <c r="CW258" s="751">
        <v>6380503</v>
      </c>
      <c r="CX258" s="751">
        <v>0</v>
      </c>
      <c r="CY258" s="751">
        <v>127756</v>
      </c>
      <c r="CZ258" s="751">
        <v>6508259</v>
      </c>
      <c r="DA258" s="662" t="s">
        <v>563</v>
      </c>
      <c r="DB258" s="324" t="s">
        <v>486</v>
      </c>
      <c r="DC258" s="663" t="s">
        <v>1917</v>
      </c>
      <c r="DD258" s="529" t="s">
        <v>1464</v>
      </c>
    </row>
    <row r="259" spans="1:108" ht="12.75" x14ac:dyDescent="0.2">
      <c r="A259" s="664">
        <v>252</v>
      </c>
      <c r="B259" s="665" t="s">
        <v>376</v>
      </c>
      <c r="C259" s="666" t="s">
        <v>1201</v>
      </c>
      <c r="D259" s="667" t="s">
        <v>1228</v>
      </c>
      <c r="E259" s="668" t="s">
        <v>375</v>
      </c>
      <c r="F259" s="750">
        <v>57145614</v>
      </c>
      <c r="G259" s="751">
        <v>0</v>
      </c>
      <c r="H259" s="751">
        <v>23703</v>
      </c>
      <c r="I259" s="751">
        <v>227880</v>
      </c>
      <c r="J259" s="751">
        <v>0</v>
      </c>
      <c r="K259" s="751">
        <v>227880</v>
      </c>
      <c r="L259" s="751">
        <v>0</v>
      </c>
      <c r="M259" s="751">
        <v>0</v>
      </c>
      <c r="N259" s="751">
        <v>28942</v>
      </c>
      <c r="O259" s="751">
        <v>28942</v>
      </c>
      <c r="P259" s="751">
        <v>0</v>
      </c>
      <c r="Q259" s="751">
        <v>0</v>
      </c>
      <c r="R259" s="751">
        <v>56865089</v>
      </c>
      <c r="S259" s="749">
        <v>0.5</v>
      </c>
      <c r="T259" s="749">
        <v>0.4</v>
      </c>
      <c r="U259" s="749">
        <v>0.1</v>
      </c>
      <c r="V259" s="749">
        <v>0</v>
      </c>
      <c r="W259" s="749">
        <v>1</v>
      </c>
      <c r="X259" s="751">
        <v>28432544</v>
      </c>
      <c r="Y259" s="751">
        <v>22746036</v>
      </c>
      <c r="Z259" s="751">
        <v>5686509</v>
      </c>
      <c r="AA259" s="751">
        <v>0</v>
      </c>
      <c r="AB259" s="751">
        <v>56865089</v>
      </c>
      <c r="AC259" s="751">
        <v>0</v>
      </c>
      <c r="AD259" s="751">
        <v>0</v>
      </c>
      <c r="AE259" s="751">
        <v>28432544</v>
      </c>
      <c r="AF259" s="751">
        <v>22746036</v>
      </c>
      <c r="AG259" s="751">
        <v>5686509</v>
      </c>
      <c r="AH259" s="751">
        <v>0</v>
      </c>
      <c r="AI259" s="751">
        <v>56865089</v>
      </c>
      <c r="AJ259" s="751">
        <v>227880</v>
      </c>
      <c r="AK259" s="751">
        <v>227880</v>
      </c>
      <c r="AL259" s="751">
        <v>0</v>
      </c>
      <c r="AM259" s="751">
        <v>0</v>
      </c>
      <c r="AN259" s="751">
        <v>28942</v>
      </c>
      <c r="AO259" s="751">
        <v>0</v>
      </c>
      <c r="AP259" s="751">
        <v>28942</v>
      </c>
      <c r="AQ259" s="751">
        <v>0</v>
      </c>
      <c r="AR259" s="751">
        <v>0</v>
      </c>
      <c r="AS259" s="751">
        <v>0</v>
      </c>
      <c r="AT259" s="751">
        <v>0</v>
      </c>
      <c r="AU259" s="751">
        <v>0</v>
      </c>
      <c r="AV259" s="751">
        <v>0</v>
      </c>
      <c r="AW259" s="751">
        <v>0</v>
      </c>
      <c r="AX259" s="751">
        <v>0</v>
      </c>
      <c r="AY259" s="751">
        <v>0</v>
      </c>
      <c r="AZ259" s="751">
        <v>0</v>
      </c>
      <c r="BA259" s="751">
        <v>0</v>
      </c>
      <c r="BB259" s="751">
        <v>0</v>
      </c>
      <c r="BC259" s="751">
        <v>-12910321</v>
      </c>
      <c r="BD259" s="751">
        <v>-10328257</v>
      </c>
      <c r="BE259" s="751">
        <v>-2582064</v>
      </c>
      <c r="BF259" s="751">
        <v>0</v>
      </c>
      <c r="BG259" s="751">
        <v>-25820643</v>
      </c>
      <c r="BH259" s="751">
        <v>15522223</v>
      </c>
      <c r="BI259" s="751">
        <v>12674601</v>
      </c>
      <c r="BJ259" s="751">
        <v>3104445</v>
      </c>
      <c r="BK259" s="751">
        <v>0</v>
      </c>
      <c r="BL259" s="751">
        <v>31301268</v>
      </c>
      <c r="BM259" s="751">
        <v>1186672</v>
      </c>
      <c r="BN259" s="751">
        <v>296291</v>
      </c>
      <c r="BO259" s="751">
        <v>0</v>
      </c>
      <c r="BP259" s="751">
        <v>1482963</v>
      </c>
      <c r="BQ259" s="751">
        <v>1860413</v>
      </c>
      <c r="BR259" s="751">
        <v>465103</v>
      </c>
      <c r="BS259" s="751">
        <v>0</v>
      </c>
      <c r="BT259" s="751">
        <v>2325516</v>
      </c>
      <c r="BU259" s="751">
        <v>124262</v>
      </c>
      <c r="BV259" s="751">
        <v>31065</v>
      </c>
      <c r="BW259" s="751">
        <v>0</v>
      </c>
      <c r="BX259" s="751">
        <v>155327</v>
      </c>
      <c r="BY259" s="751">
        <v>0</v>
      </c>
      <c r="BZ259" s="751">
        <v>0</v>
      </c>
      <c r="CA259" s="751">
        <v>0</v>
      </c>
      <c r="CB259" s="751">
        <v>0</v>
      </c>
      <c r="CC259" s="751">
        <v>9146</v>
      </c>
      <c r="CD259" s="751">
        <v>2287</v>
      </c>
      <c r="CE259" s="751">
        <v>0</v>
      </c>
      <c r="CF259" s="751">
        <v>11433</v>
      </c>
      <c r="CG259" s="751">
        <v>8207</v>
      </c>
      <c r="CH259" s="751">
        <v>2052</v>
      </c>
      <c r="CI259" s="751">
        <v>0</v>
      </c>
      <c r="CJ259" s="751">
        <v>10259</v>
      </c>
      <c r="CK259" s="751">
        <v>0</v>
      </c>
      <c r="CL259" s="751">
        <v>0</v>
      </c>
      <c r="CM259" s="751">
        <v>0</v>
      </c>
      <c r="CN259" s="751">
        <v>0</v>
      </c>
      <c r="CO259" s="751">
        <v>0</v>
      </c>
      <c r="CP259" s="751">
        <v>0</v>
      </c>
      <c r="CQ259" s="751">
        <v>0</v>
      </c>
      <c r="CR259" s="751">
        <v>0</v>
      </c>
      <c r="CS259" s="751">
        <v>0</v>
      </c>
      <c r="CT259" s="751">
        <v>0</v>
      </c>
      <c r="CU259" s="751">
        <v>0</v>
      </c>
      <c r="CV259" s="751">
        <v>0</v>
      </c>
      <c r="CW259" s="751">
        <v>3188700</v>
      </c>
      <c r="CX259" s="751">
        <v>796798</v>
      </c>
      <c r="CY259" s="751">
        <v>0</v>
      </c>
      <c r="CZ259" s="751">
        <v>3985498</v>
      </c>
      <c r="DA259" s="662" t="s">
        <v>375</v>
      </c>
      <c r="DB259" s="324" t="s">
        <v>567</v>
      </c>
      <c r="DC259" s="663" t="s">
        <v>512</v>
      </c>
      <c r="DD259" s="529" t="s">
        <v>1465</v>
      </c>
    </row>
    <row r="260" spans="1:108" ht="12.75" x14ac:dyDescent="0.2">
      <c r="A260" s="664">
        <v>253</v>
      </c>
      <c r="B260" s="665" t="s">
        <v>378</v>
      </c>
      <c r="C260" s="666" t="s">
        <v>1201</v>
      </c>
      <c r="D260" s="667" t="s">
        <v>1224</v>
      </c>
      <c r="E260" s="668" t="s">
        <v>377</v>
      </c>
      <c r="F260" s="750">
        <v>30613101</v>
      </c>
      <c r="G260" s="751">
        <v>9027</v>
      </c>
      <c r="H260" s="751">
        <v>0</v>
      </c>
      <c r="I260" s="751">
        <v>155764</v>
      </c>
      <c r="J260" s="751">
        <v>0</v>
      </c>
      <c r="K260" s="751">
        <v>155764</v>
      </c>
      <c r="L260" s="751">
        <v>0</v>
      </c>
      <c r="M260" s="751">
        <v>0</v>
      </c>
      <c r="N260" s="751">
        <v>1377076</v>
      </c>
      <c r="O260" s="751">
        <v>358196</v>
      </c>
      <c r="P260" s="751">
        <v>1018880</v>
      </c>
      <c r="Q260" s="751">
        <v>0</v>
      </c>
      <c r="R260" s="751">
        <v>29089288</v>
      </c>
      <c r="S260" s="749">
        <v>0.5</v>
      </c>
      <c r="T260" s="749">
        <v>0.4</v>
      </c>
      <c r="U260" s="749">
        <v>0.1</v>
      </c>
      <c r="V260" s="749">
        <v>0</v>
      </c>
      <c r="W260" s="749">
        <v>1</v>
      </c>
      <c r="X260" s="751">
        <v>14544644</v>
      </c>
      <c r="Y260" s="751">
        <v>11635715</v>
      </c>
      <c r="Z260" s="751">
        <v>2908929</v>
      </c>
      <c r="AA260" s="751">
        <v>0</v>
      </c>
      <c r="AB260" s="751">
        <v>29089288</v>
      </c>
      <c r="AC260" s="751">
        <v>0</v>
      </c>
      <c r="AD260" s="751">
        <v>0</v>
      </c>
      <c r="AE260" s="751">
        <v>14544644</v>
      </c>
      <c r="AF260" s="751">
        <v>11635715</v>
      </c>
      <c r="AG260" s="751">
        <v>2908929</v>
      </c>
      <c r="AH260" s="751">
        <v>0</v>
      </c>
      <c r="AI260" s="751">
        <v>29089288</v>
      </c>
      <c r="AJ260" s="751">
        <v>155764</v>
      </c>
      <c r="AK260" s="751">
        <v>155764</v>
      </c>
      <c r="AL260" s="751">
        <v>0</v>
      </c>
      <c r="AM260" s="751">
        <v>0</v>
      </c>
      <c r="AN260" s="751">
        <v>358196</v>
      </c>
      <c r="AO260" s="751">
        <v>1018880</v>
      </c>
      <c r="AP260" s="751">
        <v>1377076</v>
      </c>
      <c r="AQ260" s="751">
        <v>0</v>
      </c>
      <c r="AR260" s="751">
        <v>0</v>
      </c>
      <c r="AS260" s="751">
        <v>0</v>
      </c>
      <c r="AT260" s="751">
        <v>0</v>
      </c>
      <c r="AU260" s="751">
        <v>0</v>
      </c>
      <c r="AV260" s="751">
        <v>0</v>
      </c>
      <c r="AW260" s="751">
        <v>0</v>
      </c>
      <c r="AX260" s="751">
        <v>0</v>
      </c>
      <c r="AY260" s="751">
        <v>0</v>
      </c>
      <c r="AZ260" s="751">
        <v>0</v>
      </c>
      <c r="BA260" s="751">
        <v>0</v>
      </c>
      <c r="BB260" s="751">
        <v>0</v>
      </c>
      <c r="BC260" s="751">
        <v>-5357246</v>
      </c>
      <c r="BD260" s="751">
        <v>-4285797</v>
      </c>
      <c r="BE260" s="751">
        <v>-1071449</v>
      </c>
      <c r="BF260" s="751">
        <v>0</v>
      </c>
      <c r="BG260" s="751">
        <v>-10714492</v>
      </c>
      <c r="BH260" s="751">
        <v>9187398</v>
      </c>
      <c r="BI260" s="751">
        <v>7863878</v>
      </c>
      <c r="BJ260" s="751">
        <v>2856360</v>
      </c>
      <c r="BK260" s="751">
        <v>0</v>
      </c>
      <c r="BL260" s="751">
        <v>19907636</v>
      </c>
      <c r="BM260" s="751">
        <v>624933</v>
      </c>
      <c r="BN260" s="751">
        <v>204655</v>
      </c>
      <c r="BO260" s="751">
        <v>0</v>
      </c>
      <c r="BP260" s="751">
        <v>829588</v>
      </c>
      <c r="BQ260" s="751">
        <v>1325621</v>
      </c>
      <c r="BR260" s="751">
        <v>331405</v>
      </c>
      <c r="BS260" s="751">
        <v>0</v>
      </c>
      <c r="BT260" s="751">
        <v>1657026</v>
      </c>
      <c r="BU260" s="751">
        <v>46717</v>
      </c>
      <c r="BV260" s="751">
        <v>11679</v>
      </c>
      <c r="BW260" s="751">
        <v>0</v>
      </c>
      <c r="BX260" s="751">
        <v>58396</v>
      </c>
      <c r="BY260" s="751">
        <v>0</v>
      </c>
      <c r="BZ260" s="751">
        <v>0</v>
      </c>
      <c r="CA260" s="751">
        <v>0</v>
      </c>
      <c r="CB260" s="751">
        <v>0</v>
      </c>
      <c r="CC260" s="751">
        <v>12315</v>
      </c>
      <c r="CD260" s="751">
        <v>3079</v>
      </c>
      <c r="CE260" s="751">
        <v>0</v>
      </c>
      <c r="CF260" s="751">
        <v>15394</v>
      </c>
      <c r="CG260" s="751">
        <v>14919</v>
      </c>
      <c r="CH260" s="751">
        <v>3730</v>
      </c>
      <c r="CI260" s="751">
        <v>0</v>
      </c>
      <c r="CJ260" s="751">
        <v>18649</v>
      </c>
      <c r="CK260" s="751">
        <v>0</v>
      </c>
      <c r="CL260" s="751">
        <v>0</v>
      </c>
      <c r="CM260" s="751">
        <v>0</v>
      </c>
      <c r="CN260" s="751">
        <v>0</v>
      </c>
      <c r="CO260" s="751">
        <v>0</v>
      </c>
      <c r="CP260" s="751">
        <v>0</v>
      </c>
      <c r="CQ260" s="751">
        <v>0</v>
      </c>
      <c r="CR260" s="751">
        <v>0</v>
      </c>
      <c r="CS260" s="751">
        <v>631</v>
      </c>
      <c r="CT260" s="751">
        <v>158</v>
      </c>
      <c r="CU260" s="751">
        <v>0</v>
      </c>
      <c r="CV260" s="751">
        <v>789</v>
      </c>
      <c r="CW260" s="751">
        <v>2025136</v>
      </c>
      <c r="CX260" s="751">
        <v>554706</v>
      </c>
      <c r="CY260" s="751">
        <v>0</v>
      </c>
      <c r="CZ260" s="751">
        <v>2579842</v>
      </c>
      <c r="DA260" s="662" t="s">
        <v>377</v>
      </c>
      <c r="DB260" s="324" t="s">
        <v>529</v>
      </c>
      <c r="DC260" s="663" t="s">
        <v>512</v>
      </c>
      <c r="DD260" s="529" t="s">
        <v>1466</v>
      </c>
    </row>
    <row r="261" spans="1:108" ht="12.75" x14ac:dyDescent="0.2">
      <c r="A261" s="664">
        <v>254</v>
      </c>
      <c r="B261" s="665" t="s">
        <v>380</v>
      </c>
      <c r="C261" s="666" t="s">
        <v>1217</v>
      </c>
      <c r="D261" s="667" t="s">
        <v>1283</v>
      </c>
      <c r="E261" s="668" t="s">
        <v>379</v>
      </c>
      <c r="F261" s="750">
        <v>90549587</v>
      </c>
      <c r="G261" s="751">
        <v>0</v>
      </c>
      <c r="H261" s="751">
        <v>671842</v>
      </c>
      <c r="I261" s="751">
        <v>329742</v>
      </c>
      <c r="J261" s="751">
        <v>0</v>
      </c>
      <c r="K261" s="751">
        <v>329742</v>
      </c>
      <c r="L261" s="751">
        <v>0</v>
      </c>
      <c r="M261" s="751">
        <v>1507605</v>
      </c>
      <c r="N261" s="751">
        <v>0</v>
      </c>
      <c r="O261" s="751">
        <v>0</v>
      </c>
      <c r="P261" s="751">
        <v>0</v>
      </c>
      <c r="Q261" s="751">
        <v>0</v>
      </c>
      <c r="R261" s="751">
        <v>88040398</v>
      </c>
      <c r="S261" s="749">
        <v>0.5</v>
      </c>
      <c r="T261" s="749">
        <v>0.49</v>
      </c>
      <c r="U261" s="749">
        <v>0</v>
      </c>
      <c r="V261" s="749">
        <v>0.01</v>
      </c>
      <c r="W261" s="749">
        <v>1</v>
      </c>
      <c r="X261" s="751">
        <v>44020199</v>
      </c>
      <c r="Y261" s="751">
        <v>43139795</v>
      </c>
      <c r="Z261" s="751">
        <v>0</v>
      </c>
      <c r="AA261" s="751">
        <v>880404</v>
      </c>
      <c r="AB261" s="751">
        <v>88040398</v>
      </c>
      <c r="AC261" s="751">
        <v>0</v>
      </c>
      <c r="AD261" s="751">
        <v>0</v>
      </c>
      <c r="AE261" s="751">
        <v>44020199</v>
      </c>
      <c r="AF261" s="751">
        <v>43139795</v>
      </c>
      <c r="AG261" s="751">
        <v>0</v>
      </c>
      <c r="AH261" s="751">
        <v>880404</v>
      </c>
      <c r="AI261" s="751">
        <v>88040398</v>
      </c>
      <c r="AJ261" s="751">
        <v>329742</v>
      </c>
      <c r="AK261" s="751">
        <v>329742</v>
      </c>
      <c r="AL261" s="751">
        <v>1507605</v>
      </c>
      <c r="AM261" s="751">
        <v>1507605</v>
      </c>
      <c r="AN261" s="751">
        <v>0</v>
      </c>
      <c r="AO261" s="751">
        <v>0</v>
      </c>
      <c r="AP261" s="751">
        <v>0</v>
      </c>
      <c r="AQ261" s="751">
        <v>0</v>
      </c>
      <c r="AR261" s="751">
        <v>0</v>
      </c>
      <c r="AS261" s="751">
        <v>0</v>
      </c>
      <c r="AT261" s="751">
        <v>0</v>
      </c>
      <c r="AU261" s="751">
        <v>0</v>
      </c>
      <c r="AV261" s="751">
        <v>0</v>
      </c>
      <c r="AW261" s="751">
        <v>0</v>
      </c>
      <c r="AX261" s="751">
        <v>0</v>
      </c>
      <c r="AY261" s="751">
        <v>0</v>
      </c>
      <c r="AZ261" s="751">
        <v>0</v>
      </c>
      <c r="BA261" s="751">
        <v>0</v>
      </c>
      <c r="BB261" s="751">
        <v>0</v>
      </c>
      <c r="BC261" s="751">
        <v>-20505942</v>
      </c>
      <c r="BD261" s="751">
        <v>-20095823</v>
      </c>
      <c r="BE261" s="751">
        <v>0</v>
      </c>
      <c r="BF261" s="751">
        <v>-410119</v>
      </c>
      <c r="BG261" s="751">
        <v>-41011884</v>
      </c>
      <c r="BH261" s="751">
        <v>23514257</v>
      </c>
      <c r="BI261" s="751">
        <v>24881319</v>
      </c>
      <c r="BJ261" s="751">
        <v>0</v>
      </c>
      <c r="BK261" s="751">
        <v>470285</v>
      </c>
      <c r="BL261" s="751">
        <v>48865861</v>
      </c>
      <c r="BM261" s="751">
        <v>2326317</v>
      </c>
      <c r="BN261" s="751">
        <v>0</v>
      </c>
      <c r="BO261" s="751">
        <v>45873</v>
      </c>
      <c r="BP261" s="751">
        <v>2372190</v>
      </c>
      <c r="BQ261" s="751">
        <v>3133296</v>
      </c>
      <c r="BR261" s="751">
        <v>0</v>
      </c>
      <c r="BS261" s="751">
        <v>63945</v>
      </c>
      <c r="BT261" s="751">
        <v>3197241</v>
      </c>
      <c r="BU261" s="751">
        <v>149687</v>
      </c>
      <c r="BV261" s="751">
        <v>0</v>
      </c>
      <c r="BW261" s="751">
        <v>3040</v>
      </c>
      <c r="BX261" s="751">
        <v>152727</v>
      </c>
      <c r="BY261" s="751">
        <v>0</v>
      </c>
      <c r="BZ261" s="751">
        <v>0</v>
      </c>
      <c r="CA261" s="751">
        <v>0</v>
      </c>
      <c r="CB261" s="751">
        <v>0</v>
      </c>
      <c r="CC261" s="751">
        <v>916</v>
      </c>
      <c r="CD261" s="751">
        <v>0</v>
      </c>
      <c r="CE261" s="751">
        <v>19</v>
      </c>
      <c r="CF261" s="751">
        <v>935</v>
      </c>
      <c r="CG261" s="751">
        <v>11749</v>
      </c>
      <c r="CH261" s="751">
        <v>0</v>
      </c>
      <c r="CI261" s="751">
        <v>240</v>
      </c>
      <c r="CJ261" s="751">
        <v>11989</v>
      </c>
      <c r="CK261" s="751">
        <v>0</v>
      </c>
      <c r="CL261" s="751">
        <v>0</v>
      </c>
      <c r="CM261" s="751">
        <v>0</v>
      </c>
      <c r="CN261" s="751">
        <v>0</v>
      </c>
      <c r="CO261" s="751">
        <v>0</v>
      </c>
      <c r="CP261" s="751">
        <v>0</v>
      </c>
      <c r="CQ261" s="751">
        <v>0</v>
      </c>
      <c r="CR261" s="751">
        <v>0</v>
      </c>
      <c r="CS261" s="751">
        <v>0</v>
      </c>
      <c r="CT261" s="751">
        <v>0</v>
      </c>
      <c r="CU261" s="751">
        <v>0</v>
      </c>
      <c r="CV261" s="751">
        <v>0</v>
      </c>
      <c r="CW261" s="751">
        <v>5621965</v>
      </c>
      <c r="CX261" s="751">
        <v>0</v>
      </c>
      <c r="CY261" s="751">
        <v>113117</v>
      </c>
      <c r="CZ261" s="751">
        <v>5735082</v>
      </c>
      <c r="DA261" s="662" t="s">
        <v>379</v>
      </c>
      <c r="DB261" s="324" t="s">
        <v>570</v>
      </c>
      <c r="DC261" s="663" t="s">
        <v>573</v>
      </c>
      <c r="DD261" s="529" t="s">
        <v>1467</v>
      </c>
    </row>
    <row r="262" spans="1:108" ht="12.75" x14ac:dyDescent="0.2">
      <c r="A262" s="664">
        <v>255</v>
      </c>
      <c r="B262" s="665" t="s">
        <v>382</v>
      </c>
      <c r="C262" s="666" t="s">
        <v>1201</v>
      </c>
      <c r="D262" s="667" t="s">
        <v>1202</v>
      </c>
      <c r="E262" s="668" t="s">
        <v>381</v>
      </c>
      <c r="F262" s="750">
        <v>36205024</v>
      </c>
      <c r="G262" s="751">
        <v>14466</v>
      </c>
      <c r="H262" s="751">
        <v>0</v>
      </c>
      <c r="I262" s="751">
        <v>127577</v>
      </c>
      <c r="J262" s="751">
        <v>0</v>
      </c>
      <c r="K262" s="751">
        <v>127577</v>
      </c>
      <c r="L262" s="751">
        <v>0</v>
      </c>
      <c r="M262" s="751">
        <v>0</v>
      </c>
      <c r="N262" s="751">
        <v>0</v>
      </c>
      <c r="O262" s="751">
        <v>0</v>
      </c>
      <c r="P262" s="751">
        <v>0</v>
      </c>
      <c r="Q262" s="751">
        <v>0</v>
      </c>
      <c r="R262" s="751">
        <v>36091913</v>
      </c>
      <c r="S262" s="749">
        <v>0.5</v>
      </c>
      <c r="T262" s="749">
        <v>0.4</v>
      </c>
      <c r="U262" s="749">
        <v>0.1</v>
      </c>
      <c r="V262" s="749">
        <v>0</v>
      </c>
      <c r="W262" s="749">
        <v>1</v>
      </c>
      <c r="X262" s="751">
        <v>18045957</v>
      </c>
      <c r="Y262" s="751">
        <v>14436765</v>
      </c>
      <c r="Z262" s="751">
        <v>3609191</v>
      </c>
      <c r="AA262" s="751">
        <v>0</v>
      </c>
      <c r="AB262" s="751">
        <v>36091913</v>
      </c>
      <c r="AC262" s="751">
        <v>0</v>
      </c>
      <c r="AD262" s="751">
        <v>0</v>
      </c>
      <c r="AE262" s="751">
        <v>18045957</v>
      </c>
      <c r="AF262" s="751">
        <v>14436765</v>
      </c>
      <c r="AG262" s="751">
        <v>3609191</v>
      </c>
      <c r="AH262" s="751">
        <v>0</v>
      </c>
      <c r="AI262" s="751">
        <v>36091913</v>
      </c>
      <c r="AJ262" s="751">
        <v>127577</v>
      </c>
      <c r="AK262" s="751">
        <v>127577</v>
      </c>
      <c r="AL262" s="751">
        <v>0</v>
      </c>
      <c r="AM262" s="751">
        <v>0</v>
      </c>
      <c r="AN262" s="751">
        <v>0</v>
      </c>
      <c r="AO262" s="751">
        <v>0</v>
      </c>
      <c r="AP262" s="751">
        <v>0</v>
      </c>
      <c r="AQ262" s="751">
        <v>0</v>
      </c>
      <c r="AR262" s="751">
        <v>0</v>
      </c>
      <c r="AS262" s="751">
        <v>0</v>
      </c>
      <c r="AT262" s="751">
        <v>0</v>
      </c>
      <c r="AU262" s="751">
        <v>0</v>
      </c>
      <c r="AV262" s="751">
        <v>0</v>
      </c>
      <c r="AW262" s="751">
        <v>0</v>
      </c>
      <c r="AX262" s="751">
        <v>0</v>
      </c>
      <c r="AY262" s="751">
        <v>0</v>
      </c>
      <c r="AZ262" s="751">
        <v>0</v>
      </c>
      <c r="BA262" s="751">
        <v>0</v>
      </c>
      <c r="BB262" s="751">
        <v>0</v>
      </c>
      <c r="BC262" s="751">
        <v>-9440999</v>
      </c>
      <c r="BD262" s="751">
        <v>-7552799</v>
      </c>
      <c r="BE262" s="751">
        <v>-1888200</v>
      </c>
      <c r="BF262" s="751">
        <v>0</v>
      </c>
      <c r="BG262" s="751">
        <v>-18881997</v>
      </c>
      <c r="BH262" s="751">
        <v>8604958</v>
      </c>
      <c r="BI262" s="751">
        <v>7011543</v>
      </c>
      <c r="BJ262" s="751">
        <v>1720991</v>
      </c>
      <c r="BK262" s="751">
        <v>0</v>
      </c>
      <c r="BL262" s="751">
        <v>17337493</v>
      </c>
      <c r="BM262" s="751">
        <v>752216</v>
      </c>
      <c r="BN262" s="751">
        <v>188054</v>
      </c>
      <c r="BO262" s="751">
        <v>0</v>
      </c>
      <c r="BP262" s="751">
        <v>940270</v>
      </c>
      <c r="BQ262" s="751">
        <v>963466</v>
      </c>
      <c r="BR262" s="751">
        <v>240867</v>
      </c>
      <c r="BS262" s="751">
        <v>0</v>
      </c>
      <c r="BT262" s="751">
        <v>1204333</v>
      </c>
      <c r="BU262" s="751">
        <v>0</v>
      </c>
      <c r="BV262" s="751">
        <v>0</v>
      </c>
      <c r="BW262" s="751">
        <v>0</v>
      </c>
      <c r="BX262" s="751">
        <v>0</v>
      </c>
      <c r="BY262" s="751">
        <v>3306</v>
      </c>
      <c r="BZ262" s="751">
        <v>827</v>
      </c>
      <c r="CA262" s="751">
        <v>0</v>
      </c>
      <c r="CB262" s="751">
        <v>4133</v>
      </c>
      <c r="CC262" s="751">
        <v>0</v>
      </c>
      <c r="CD262" s="751">
        <v>0</v>
      </c>
      <c r="CE262" s="751">
        <v>0</v>
      </c>
      <c r="CF262" s="751">
        <v>0</v>
      </c>
      <c r="CG262" s="751">
        <v>7209</v>
      </c>
      <c r="CH262" s="751">
        <v>1802</v>
      </c>
      <c r="CI262" s="751">
        <v>0</v>
      </c>
      <c r="CJ262" s="751">
        <v>9011</v>
      </c>
      <c r="CK262" s="751">
        <v>0</v>
      </c>
      <c r="CL262" s="751">
        <v>0</v>
      </c>
      <c r="CM262" s="751">
        <v>0</v>
      </c>
      <c r="CN262" s="751">
        <v>0</v>
      </c>
      <c r="CO262" s="751">
        <v>0</v>
      </c>
      <c r="CP262" s="751">
        <v>0</v>
      </c>
      <c r="CQ262" s="751">
        <v>0</v>
      </c>
      <c r="CR262" s="751">
        <v>0</v>
      </c>
      <c r="CS262" s="751">
        <v>0</v>
      </c>
      <c r="CT262" s="751">
        <v>0</v>
      </c>
      <c r="CU262" s="751">
        <v>0</v>
      </c>
      <c r="CV262" s="751">
        <v>0</v>
      </c>
      <c r="CW262" s="751">
        <v>1726197</v>
      </c>
      <c r="CX262" s="751">
        <v>431550</v>
      </c>
      <c r="CY262" s="751">
        <v>0</v>
      </c>
      <c r="CZ262" s="751">
        <v>2157747</v>
      </c>
      <c r="DA262" s="662" t="s">
        <v>381</v>
      </c>
      <c r="DB262" s="324" t="s">
        <v>566</v>
      </c>
      <c r="DC262" s="663" t="s">
        <v>512</v>
      </c>
      <c r="DD262" s="529" t="s">
        <v>1468</v>
      </c>
    </row>
    <row r="263" spans="1:108" ht="12.75" x14ac:dyDescent="0.2">
      <c r="A263" s="664">
        <v>256</v>
      </c>
      <c r="B263" s="665" t="s">
        <v>384</v>
      </c>
      <c r="C263" s="666" t="s">
        <v>1213</v>
      </c>
      <c r="D263" s="667" t="s">
        <v>1214</v>
      </c>
      <c r="E263" s="668" t="s">
        <v>383</v>
      </c>
      <c r="F263" s="750">
        <v>59818781</v>
      </c>
      <c r="G263" s="751">
        <v>0</v>
      </c>
      <c r="H263" s="751">
        <v>21034</v>
      </c>
      <c r="I263" s="751">
        <v>186893</v>
      </c>
      <c r="J263" s="751">
        <v>0</v>
      </c>
      <c r="K263" s="751">
        <v>186893</v>
      </c>
      <c r="L263" s="751">
        <v>0</v>
      </c>
      <c r="M263" s="751">
        <v>0</v>
      </c>
      <c r="N263" s="751">
        <v>1387520</v>
      </c>
      <c r="O263" s="751">
        <v>1387520</v>
      </c>
      <c r="P263" s="751">
        <v>0</v>
      </c>
      <c r="Q263" s="751">
        <v>0</v>
      </c>
      <c r="R263" s="751">
        <v>58223334</v>
      </c>
      <c r="S263" s="749">
        <v>0.33</v>
      </c>
      <c r="T263" s="749">
        <v>0.3</v>
      </c>
      <c r="U263" s="749">
        <v>0.37</v>
      </c>
      <c r="V263" s="749">
        <v>0</v>
      </c>
      <c r="W263" s="749">
        <v>1</v>
      </c>
      <c r="X263" s="751">
        <v>19213700</v>
      </c>
      <c r="Y263" s="751">
        <v>17467000</v>
      </c>
      <c r="Z263" s="751">
        <v>21542634</v>
      </c>
      <c r="AA263" s="751">
        <v>0</v>
      </c>
      <c r="AB263" s="751">
        <v>58223334</v>
      </c>
      <c r="AC263" s="751">
        <v>0</v>
      </c>
      <c r="AD263" s="751">
        <v>0</v>
      </c>
      <c r="AE263" s="751">
        <v>19213700</v>
      </c>
      <c r="AF263" s="751">
        <v>17467000</v>
      </c>
      <c r="AG263" s="751">
        <v>21542634</v>
      </c>
      <c r="AH263" s="751">
        <v>0</v>
      </c>
      <c r="AI263" s="751">
        <v>58223334</v>
      </c>
      <c r="AJ263" s="751">
        <v>186893</v>
      </c>
      <c r="AK263" s="751">
        <v>186893</v>
      </c>
      <c r="AL263" s="751">
        <v>0</v>
      </c>
      <c r="AM263" s="751">
        <v>0</v>
      </c>
      <c r="AN263" s="751">
        <v>1387520</v>
      </c>
      <c r="AO263" s="751">
        <v>0</v>
      </c>
      <c r="AP263" s="751">
        <v>1387520</v>
      </c>
      <c r="AQ263" s="751">
        <v>0</v>
      </c>
      <c r="AR263" s="751">
        <v>0</v>
      </c>
      <c r="AS263" s="751">
        <v>0</v>
      </c>
      <c r="AT263" s="751">
        <v>0</v>
      </c>
      <c r="AU263" s="751">
        <v>0</v>
      </c>
      <c r="AV263" s="751">
        <v>0</v>
      </c>
      <c r="AW263" s="751">
        <v>0</v>
      </c>
      <c r="AX263" s="751">
        <v>0</v>
      </c>
      <c r="AY263" s="751">
        <v>0</v>
      </c>
      <c r="AZ263" s="751">
        <v>0</v>
      </c>
      <c r="BA263" s="751">
        <v>0</v>
      </c>
      <c r="BB263" s="751">
        <v>0</v>
      </c>
      <c r="BC263" s="751">
        <v>-9926557</v>
      </c>
      <c r="BD263" s="751">
        <v>-8841859</v>
      </c>
      <c r="BE263" s="751">
        <v>-11137207</v>
      </c>
      <c r="BF263" s="751">
        <v>0</v>
      </c>
      <c r="BG263" s="751">
        <v>-29905624</v>
      </c>
      <c r="BH263" s="751">
        <v>9287143</v>
      </c>
      <c r="BI263" s="751">
        <v>10199554</v>
      </c>
      <c r="BJ263" s="751">
        <v>10405427</v>
      </c>
      <c r="BK263" s="751">
        <v>0</v>
      </c>
      <c r="BL263" s="751">
        <v>29892123</v>
      </c>
      <c r="BM263" s="751">
        <v>982400</v>
      </c>
      <c r="BN263" s="751">
        <v>1122462</v>
      </c>
      <c r="BO263" s="751">
        <v>0</v>
      </c>
      <c r="BP263" s="751">
        <v>2104862</v>
      </c>
      <c r="BQ263" s="751">
        <v>1194206</v>
      </c>
      <c r="BR263" s="751">
        <v>1472854</v>
      </c>
      <c r="BS263" s="751">
        <v>0</v>
      </c>
      <c r="BT263" s="751">
        <v>2667060</v>
      </c>
      <c r="BU263" s="751">
        <v>50957</v>
      </c>
      <c r="BV263" s="751">
        <v>62847</v>
      </c>
      <c r="BW263" s="751">
        <v>0</v>
      </c>
      <c r="BX263" s="751">
        <v>113804</v>
      </c>
      <c r="BY263" s="751">
        <v>2583</v>
      </c>
      <c r="BZ263" s="751">
        <v>3186</v>
      </c>
      <c r="CA263" s="751">
        <v>0</v>
      </c>
      <c r="CB263" s="751">
        <v>5769</v>
      </c>
      <c r="CC263" s="751">
        <v>0</v>
      </c>
      <c r="CD263" s="751">
        <v>0</v>
      </c>
      <c r="CE263" s="751">
        <v>0</v>
      </c>
      <c r="CF263" s="751">
        <v>0</v>
      </c>
      <c r="CG263" s="751">
        <v>4404</v>
      </c>
      <c r="CH263" s="751">
        <v>5432</v>
      </c>
      <c r="CI263" s="751">
        <v>0</v>
      </c>
      <c r="CJ263" s="751">
        <v>9836</v>
      </c>
      <c r="CK263" s="751">
        <v>0</v>
      </c>
      <c r="CL263" s="751">
        <v>0</v>
      </c>
      <c r="CM263" s="751">
        <v>0</v>
      </c>
      <c r="CN263" s="751">
        <v>0</v>
      </c>
      <c r="CO263" s="751">
        <v>0</v>
      </c>
      <c r="CP263" s="751">
        <v>0</v>
      </c>
      <c r="CQ263" s="751">
        <v>0</v>
      </c>
      <c r="CR263" s="751">
        <v>0</v>
      </c>
      <c r="CS263" s="751">
        <v>0</v>
      </c>
      <c r="CT263" s="751">
        <v>0</v>
      </c>
      <c r="CU263" s="751">
        <v>0</v>
      </c>
      <c r="CV263" s="751">
        <v>0</v>
      </c>
      <c r="CW263" s="751">
        <v>2234550</v>
      </c>
      <c r="CX263" s="751">
        <v>2666781</v>
      </c>
      <c r="CY263" s="751">
        <v>0</v>
      </c>
      <c r="CZ263" s="751">
        <v>4901331</v>
      </c>
      <c r="DA263" s="662" t="s">
        <v>383</v>
      </c>
      <c r="DB263" s="324" t="s">
        <v>576</v>
      </c>
      <c r="DC263" s="669" t="s">
        <v>485</v>
      </c>
      <c r="DD263" s="529" t="s">
        <v>1469</v>
      </c>
    </row>
    <row r="264" spans="1:108" ht="12.75" x14ac:dyDescent="0.2">
      <c r="A264" s="664">
        <v>257</v>
      </c>
      <c r="B264" s="665" t="s">
        <v>386</v>
      </c>
      <c r="C264" s="666" t="s">
        <v>1201</v>
      </c>
      <c r="D264" s="667" t="s">
        <v>1202</v>
      </c>
      <c r="E264" s="668" t="s">
        <v>385</v>
      </c>
      <c r="F264" s="750">
        <v>52016720</v>
      </c>
      <c r="G264" s="751">
        <v>71966</v>
      </c>
      <c r="H264" s="751">
        <v>0</v>
      </c>
      <c r="I264" s="751">
        <v>185523</v>
      </c>
      <c r="J264" s="751">
        <v>0</v>
      </c>
      <c r="K264" s="751">
        <v>185523</v>
      </c>
      <c r="L264" s="751">
        <v>0</v>
      </c>
      <c r="M264" s="751">
        <v>0</v>
      </c>
      <c r="N264" s="751">
        <v>1298208</v>
      </c>
      <c r="O264" s="751">
        <v>420128</v>
      </c>
      <c r="P264" s="751">
        <v>878080</v>
      </c>
      <c r="Q264" s="751">
        <v>0</v>
      </c>
      <c r="R264" s="751">
        <v>50604955</v>
      </c>
      <c r="S264" s="749">
        <v>0.5</v>
      </c>
      <c r="T264" s="749">
        <v>0.4</v>
      </c>
      <c r="U264" s="749">
        <v>0.09</v>
      </c>
      <c r="V264" s="749">
        <v>0.01</v>
      </c>
      <c r="W264" s="749">
        <v>1</v>
      </c>
      <c r="X264" s="751">
        <v>25302477</v>
      </c>
      <c r="Y264" s="751">
        <v>20241982</v>
      </c>
      <c r="Z264" s="751">
        <v>4554446</v>
      </c>
      <c r="AA264" s="751">
        <v>506050</v>
      </c>
      <c r="AB264" s="751">
        <v>50604955</v>
      </c>
      <c r="AC264" s="751">
        <v>0</v>
      </c>
      <c r="AD264" s="751">
        <v>0</v>
      </c>
      <c r="AE264" s="751">
        <v>25302477</v>
      </c>
      <c r="AF264" s="751">
        <v>20241982</v>
      </c>
      <c r="AG264" s="751">
        <v>4554446</v>
      </c>
      <c r="AH264" s="751">
        <v>506050</v>
      </c>
      <c r="AI264" s="751">
        <v>50604955</v>
      </c>
      <c r="AJ264" s="751">
        <v>185523</v>
      </c>
      <c r="AK264" s="751">
        <v>185523</v>
      </c>
      <c r="AL264" s="751">
        <v>0</v>
      </c>
      <c r="AM264" s="751">
        <v>0</v>
      </c>
      <c r="AN264" s="751">
        <v>420128</v>
      </c>
      <c r="AO264" s="751">
        <v>878080</v>
      </c>
      <c r="AP264" s="751">
        <v>1298208</v>
      </c>
      <c r="AQ264" s="751">
        <v>0</v>
      </c>
      <c r="AR264" s="751">
        <v>0</v>
      </c>
      <c r="AS264" s="751">
        <v>0</v>
      </c>
      <c r="AT264" s="751">
        <v>0</v>
      </c>
      <c r="AU264" s="751">
        <v>0</v>
      </c>
      <c r="AV264" s="751">
        <v>0</v>
      </c>
      <c r="AW264" s="751">
        <v>0</v>
      </c>
      <c r="AX264" s="751">
        <v>0</v>
      </c>
      <c r="AY264" s="751">
        <v>0</v>
      </c>
      <c r="AZ264" s="751">
        <v>0</v>
      </c>
      <c r="BA264" s="751">
        <v>0</v>
      </c>
      <c r="BB264" s="751">
        <v>0</v>
      </c>
      <c r="BC264" s="751">
        <v>-7546369</v>
      </c>
      <c r="BD264" s="751">
        <v>-6037095</v>
      </c>
      <c r="BE264" s="751">
        <v>-1358346</v>
      </c>
      <c r="BF264" s="751">
        <v>-150927</v>
      </c>
      <c r="BG264" s="751">
        <v>-15092739</v>
      </c>
      <c r="BH264" s="751">
        <v>17756108</v>
      </c>
      <c r="BI264" s="751">
        <v>14810538</v>
      </c>
      <c r="BJ264" s="751">
        <v>4074180</v>
      </c>
      <c r="BK264" s="751">
        <v>355123</v>
      </c>
      <c r="BL264" s="751">
        <v>36995947</v>
      </c>
      <c r="BM264" s="751">
        <v>1076583</v>
      </c>
      <c r="BN264" s="751">
        <v>283057</v>
      </c>
      <c r="BO264" s="751">
        <v>26367</v>
      </c>
      <c r="BP264" s="751">
        <v>1386007</v>
      </c>
      <c r="BQ264" s="751">
        <v>1818040</v>
      </c>
      <c r="BR264" s="751">
        <v>409059</v>
      </c>
      <c r="BS264" s="751">
        <v>45451</v>
      </c>
      <c r="BT264" s="751">
        <v>2272550</v>
      </c>
      <c r="BU264" s="751">
        <v>85410</v>
      </c>
      <c r="BV264" s="751">
        <v>19217</v>
      </c>
      <c r="BW264" s="751">
        <v>2135</v>
      </c>
      <c r="BX264" s="751">
        <v>106762</v>
      </c>
      <c r="BY264" s="751">
        <v>5464</v>
      </c>
      <c r="BZ264" s="751">
        <v>1230</v>
      </c>
      <c r="CA264" s="751">
        <v>137</v>
      </c>
      <c r="CB264" s="751">
        <v>6831</v>
      </c>
      <c r="CC264" s="751">
        <v>1752</v>
      </c>
      <c r="CD264" s="751">
        <v>394</v>
      </c>
      <c r="CE264" s="751">
        <v>44</v>
      </c>
      <c r="CF264" s="751">
        <v>2190</v>
      </c>
      <c r="CG264" s="751">
        <v>16452</v>
      </c>
      <c r="CH264" s="751">
        <v>3702</v>
      </c>
      <c r="CI264" s="751">
        <v>411</v>
      </c>
      <c r="CJ264" s="751">
        <v>20565</v>
      </c>
      <c r="CK264" s="751">
        <v>0</v>
      </c>
      <c r="CL264" s="751">
        <v>0</v>
      </c>
      <c r="CM264" s="751">
        <v>0</v>
      </c>
      <c r="CN264" s="751">
        <v>0</v>
      </c>
      <c r="CO264" s="751">
        <v>0</v>
      </c>
      <c r="CP264" s="751">
        <v>0</v>
      </c>
      <c r="CQ264" s="751">
        <v>0</v>
      </c>
      <c r="CR264" s="751">
        <v>0</v>
      </c>
      <c r="CS264" s="751">
        <v>631</v>
      </c>
      <c r="CT264" s="751">
        <v>142</v>
      </c>
      <c r="CU264" s="751">
        <v>16</v>
      </c>
      <c r="CV264" s="751">
        <v>789</v>
      </c>
      <c r="CW264" s="751">
        <v>3004332</v>
      </c>
      <c r="CX264" s="751">
        <v>716801</v>
      </c>
      <c r="CY264" s="751">
        <v>74561</v>
      </c>
      <c r="CZ264" s="751">
        <v>3795694</v>
      </c>
      <c r="DA264" s="662" t="s">
        <v>385</v>
      </c>
      <c r="DB264" s="324" t="s">
        <v>543</v>
      </c>
      <c r="DC264" s="663" t="s">
        <v>542</v>
      </c>
      <c r="DD264" s="529" t="s">
        <v>1470</v>
      </c>
    </row>
    <row r="265" spans="1:108" ht="12.75" x14ac:dyDescent="0.2">
      <c r="A265" s="664">
        <v>258</v>
      </c>
      <c r="B265" s="665" t="s">
        <v>387</v>
      </c>
      <c r="C265" s="666" t="s">
        <v>486</v>
      </c>
      <c r="D265" s="667" t="s">
        <v>1224</v>
      </c>
      <c r="E265" s="668" t="s">
        <v>569</v>
      </c>
      <c r="F265" s="750">
        <v>108622407</v>
      </c>
      <c r="G265" s="751">
        <v>0</v>
      </c>
      <c r="H265" s="751">
        <v>919057</v>
      </c>
      <c r="I265" s="751">
        <v>258999</v>
      </c>
      <c r="J265" s="751">
        <v>0</v>
      </c>
      <c r="K265" s="751">
        <v>258999</v>
      </c>
      <c r="L265" s="751">
        <v>0</v>
      </c>
      <c r="M265" s="751">
        <v>0</v>
      </c>
      <c r="N265" s="751">
        <v>591025</v>
      </c>
      <c r="O265" s="751">
        <v>591025</v>
      </c>
      <c r="P265" s="751">
        <v>0</v>
      </c>
      <c r="Q265" s="751">
        <v>0</v>
      </c>
      <c r="R265" s="751">
        <v>106853326</v>
      </c>
      <c r="S265" s="749">
        <v>0.5</v>
      </c>
      <c r="T265" s="749">
        <v>0.49</v>
      </c>
      <c r="U265" s="749">
        <v>0</v>
      </c>
      <c r="V265" s="749">
        <v>0.01</v>
      </c>
      <c r="W265" s="749">
        <v>1</v>
      </c>
      <c r="X265" s="751">
        <v>53426663</v>
      </c>
      <c r="Y265" s="751">
        <v>52358130</v>
      </c>
      <c r="Z265" s="751">
        <v>0</v>
      </c>
      <c r="AA265" s="751">
        <v>1068533</v>
      </c>
      <c r="AB265" s="751">
        <v>106853326</v>
      </c>
      <c r="AC265" s="751">
        <v>0</v>
      </c>
      <c r="AD265" s="751">
        <v>0</v>
      </c>
      <c r="AE265" s="751">
        <v>53426663</v>
      </c>
      <c r="AF265" s="751">
        <v>52358130</v>
      </c>
      <c r="AG265" s="751">
        <v>0</v>
      </c>
      <c r="AH265" s="751">
        <v>1068533</v>
      </c>
      <c r="AI265" s="751">
        <v>106853326</v>
      </c>
      <c r="AJ265" s="751">
        <v>258999</v>
      </c>
      <c r="AK265" s="751">
        <v>258999</v>
      </c>
      <c r="AL265" s="751">
        <v>0</v>
      </c>
      <c r="AM265" s="751">
        <v>0</v>
      </c>
      <c r="AN265" s="751">
        <v>591025</v>
      </c>
      <c r="AO265" s="751">
        <v>0</v>
      </c>
      <c r="AP265" s="751">
        <v>591025</v>
      </c>
      <c r="AQ265" s="751">
        <v>0</v>
      </c>
      <c r="AR265" s="751">
        <v>0</v>
      </c>
      <c r="AS265" s="751">
        <v>0</v>
      </c>
      <c r="AT265" s="751">
        <v>0</v>
      </c>
      <c r="AU265" s="751">
        <v>0</v>
      </c>
      <c r="AV265" s="751">
        <v>0</v>
      </c>
      <c r="AW265" s="751">
        <v>0</v>
      </c>
      <c r="AX265" s="751">
        <v>0</v>
      </c>
      <c r="AY265" s="751">
        <v>0</v>
      </c>
      <c r="AZ265" s="751">
        <v>0</v>
      </c>
      <c r="BA265" s="751">
        <v>0</v>
      </c>
      <c r="BB265" s="751">
        <v>0</v>
      </c>
      <c r="BC265" s="751">
        <v>-24073781</v>
      </c>
      <c r="BD265" s="751">
        <v>-23592305</v>
      </c>
      <c r="BE265" s="751">
        <v>0</v>
      </c>
      <c r="BF265" s="751">
        <v>-481476</v>
      </c>
      <c r="BG265" s="751">
        <v>-48147562</v>
      </c>
      <c r="BH265" s="751">
        <v>29352882</v>
      </c>
      <c r="BI265" s="751">
        <v>29615849</v>
      </c>
      <c r="BJ265" s="751">
        <v>0</v>
      </c>
      <c r="BK265" s="751">
        <v>587057</v>
      </c>
      <c r="BL265" s="751">
        <v>59555788</v>
      </c>
      <c r="BM265" s="751">
        <v>2758874</v>
      </c>
      <c r="BN265" s="751">
        <v>0</v>
      </c>
      <c r="BO265" s="751">
        <v>55675</v>
      </c>
      <c r="BP265" s="751">
        <v>2814549</v>
      </c>
      <c r="BQ265" s="751">
        <v>2103711</v>
      </c>
      <c r="BR265" s="751">
        <v>0</v>
      </c>
      <c r="BS265" s="751">
        <v>42933</v>
      </c>
      <c r="BT265" s="751">
        <v>2146644</v>
      </c>
      <c r="BU265" s="751">
        <v>159790</v>
      </c>
      <c r="BV265" s="751">
        <v>0</v>
      </c>
      <c r="BW265" s="751">
        <v>3261</v>
      </c>
      <c r="BX265" s="751">
        <v>163051</v>
      </c>
      <c r="BY265" s="751">
        <v>3897</v>
      </c>
      <c r="BZ265" s="751">
        <v>0</v>
      </c>
      <c r="CA265" s="751">
        <v>80</v>
      </c>
      <c r="CB265" s="751">
        <v>3977</v>
      </c>
      <c r="CC265" s="751">
        <v>2913</v>
      </c>
      <c r="CD265" s="751">
        <v>0</v>
      </c>
      <c r="CE265" s="751">
        <v>59</v>
      </c>
      <c r="CF265" s="751">
        <v>2972</v>
      </c>
      <c r="CG265" s="751">
        <v>4928</v>
      </c>
      <c r="CH265" s="751">
        <v>0</v>
      </c>
      <c r="CI265" s="751">
        <v>101</v>
      </c>
      <c r="CJ265" s="751">
        <v>5029</v>
      </c>
      <c r="CK265" s="751">
        <v>0</v>
      </c>
      <c r="CL265" s="751">
        <v>0</v>
      </c>
      <c r="CM265" s="751">
        <v>0</v>
      </c>
      <c r="CN265" s="751">
        <v>0</v>
      </c>
      <c r="CO265" s="751">
        <v>0</v>
      </c>
      <c r="CP265" s="751">
        <v>0</v>
      </c>
      <c r="CQ265" s="751">
        <v>0</v>
      </c>
      <c r="CR265" s="751">
        <v>0</v>
      </c>
      <c r="CS265" s="751">
        <v>0</v>
      </c>
      <c r="CT265" s="751">
        <v>0</v>
      </c>
      <c r="CU265" s="751">
        <v>0</v>
      </c>
      <c r="CV265" s="751">
        <v>0</v>
      </c>
      <c r="CW265" s="751">
        <v>5034113</v>
      </c>
      <c r="CX265" s="751">
        <v>0</v>
      </c>
      <c r="CY265" s="751">
        <v>102109</v>
      </c>
      <c r="CZ265" s="751">
        <v>5136222</v>
      </c>
      <c r="DA265" s="662" t="s">
        <v>569</v>
      </c>
      <c r="DB265" s="324" t="s">
        <v>486</v>
      </c>
      <c r="DC265" s="663" t="s">
        <v>1916</v>
      </c>
      <c r="DD265" s="529" t="s">
        <v>1471</v>
      </c>
    </row>
    <row r="266" spans="1:108" ht="12.75" x14ac:dyDescent="0.2">
      <c r="A266" s="664">
        <v>259</v>
      </c>
      <c r="B266" s="665" t="s">
        <v>389</v>
      </c>
      <c r="C266" s="666" t="s">
        <v>1217</v>
      </c>
      <c r="D266" s="667" t="s">
        <v>1204</v>
      </c>
      <c r="E266" s="668" t="s">
        <v>388</v>
      </c>
      <c r="F266" s="750">
        <v>54311332</v>
      </c>
      <c r="G266" s="751">
        <v>0</v>
      </c>
      <c r="H266" s="751">
        <v>767525</v>
      </c>
      <c r="I266" s="751">
        <v>286288</v>
      </c>
      <c r="J266" s="751">
        <v>0</v>
      </c>
      <c r="K266" s="751">
        <v>286288</v>
      </c>
      <c r="L266" s="751">
        <v>0</v>
      </c>
      <c r="M266" s="751">
        <v>0</v>
      </c>
      <c r="N266" s="751">
        <v>0</v>
      </c>
      <c r="O266" s="751">
        <v>0</v>
      </c>
      <c r="P266" s="751">
        <v>0</v>
      </c>
      <c r="Q266" s="751">
        <v>0</v>
      </c>
      <c r="R266" s="751">
        <v>53257519</v>
      </c>
      <c r="S266" s="749">
        <v>0</v>
      </c>
      <c r="T266" s="749">
        <v>0.99</v>
      </c>
      <c r="U266" s="749">
        <v>0</v>
      </c>
      <c r="V266" s="749">
        <v>0.01</v>
      </c>
      <c r="W266" s="749">
        <v>1</v>
      </c>
      <c r="X266" s="751">
        <v>0</v>
      </c>
      <c r="Y266" s="751">
        <v>52724944</v>
      </c>
      <c r="Z266" s="751">
        <v>0</v>
      </c>
      <c r="AA266" s="751">
        <v>532575</v>
      </c>
      <c r="AB266" s="751">
        <v>53257519</v>
      </c>
      <c r="AC266" s="751">
        <v>0</v>
      </c>
      <c r="AD266" s="751">
        <v>0</v>
      </c>
      <c r="AE266" s="751">
        <v>0</v>
      </c>
      <c r="AF266" s="751">
        <v>52724944</v>
      </c>
      <c r="AG266" s="751">
        <v>0</v>
      </c>
      <c r="AH266" s="751">
        <v>532575</v>
      </c>
      <c r="AI266" s="751">
        <v>53257519</v>
      </c>
      <c r="AJ266" s="751">
        <v>286288</v>
      </c>
      <c r="AK266" s="751">
        <v>286288</v>
      </c>
      <c r="AL266" s="751">
        <v>0</v>
      </c>
      <c r="AM266" s="751">
        <v>0</v>
      </c>
      <c r="AN266" s="751">
        <v>0</v>
      </c>
      <c r="AO266" s="751">
        <v>0</v>
      </c>
      <c r="AP266" s="751">
        <v>0</v>
      </c>
      <c r="AQ266" s="751">
        <v>0</v>
      </c>
      <c r="AR266" s="751">
        <v>0</v>
      </c>
      <c r="AS266" s="751">
        <v>0</v>
      </c>
      <c r="AT266" s="751">
        <v>0</v>
      </c>
      <c r="AU266" s="751">
        <v>0</v>
      </c>
      <c r="AV266" s="751">
        <v>0</v>
      </c>
      <c r="AW266" s="751">
        <v>0</v>
      </c>
      <c r="AX266" s="751">
        <v>0</v>
      </c>
      <c r="AY266" s="751">
        <v>0</v>
      </c>
      <c r="AZ266" s="751">
        <v>0</v>
      </c>
      <c r="BA266" s="751">
        <v>0</v>
      </c>
      <c r="BB266" s="751">
        <v>0</v>
      </c>
      <c r="BC266" s="751">
        <v>0</v>
      </c>
      <c r="BD266" s="751">
        <v>-28710018</v>
      </c>
      <c r="BE266" s="751">
        <v>0</v>
      </c>
      <c r="BF266" s="751">
        <v>-290000</v>
      </c>
      <c r="BG266" s="751">
        <v>-29000018</v>
      </c>
      <c r="BH266" s="751">
        <v>0</v>
      </c>
      <c r="BI266" s="751">
        <v>24301214</v>
      </c>
      <c r="BJ266" s="751">
        <v>0</v>
      </c>
      <c r="BK266" s="751">
        <v>242575</v>
      </c>
      <c r="BL266" s="751">
        <v>24543789</v>
      </c>
      <c r="BM266" s="751">
        <v>2747191</v>
      </c>
      <c r="BN266" s="751">
        <v>0</v>
      </c>
      <c r="BO266" s="751">
        <v>27749</v>
      </c>
      <c r="BP266" s="751">
        <v>2774940</v>
      </c>
      <c r="BQ266" s="751">
        <v>6780945</v>
      </c>
      <c r="BR266" s="751">
        <v>0</v>
      </c>
      <c r="BS266" s="751">
        <v>68494</v>
      </c>
      <c r="BT266" s="751">
        <v>6849439</v>
      </c>
      <c r="BU266" s="751">
        <v>266397</v>
      </c>
      <c r="BV266" s="751">
        <v>0</v>
      </c>
      <c r="BW266" s="751">
        <v>2691</v>
      </c>
      <c r="BX266" s="751">
        <v>269088</v>
      </c>
      <c r="BY266" s="751">
        <v>0</v>
      </c>
      <c r="BZ266" s="751">
        <v>0</v>
      </c>
      <c r="CA266" s="751">
        <v>0</v>
      </c>
      <c r="CB266" s="751">
        <v>0</v>
      </c>
      <c r="CC266" s="751">
        <v>0</v>
      </c>
      <c r="CD266" s="751">
        <v>0</v>
      </c>
      <c r="CE266" s="751">
        <v>0</v>
      </c>
      <c r="CF266" s="751">
        <v>0</v>
      </c>
      <c r="CG266" s="751">
        <v>21649</v>
      </c>
      <c r="CH266" s="751">
        <v>0</v>
      </c>
      <c r="CI266" s="751">
        <v>219</v>
      </c>
      <c r="CJ266" s="751">
        <v>21868</v>
      </c>
      <c r="CK266" s="751">
        <v>0</v>
      </c>
      <c r="CL266" s="751">
        <v>0</v>
      </c>
      <c r="CM266" s="751">
        <v>0</v>
      </c>
      <c r="CN266" s="751">
        <v>0</v>
      </c>
      <c r="CO266" s="751">
        <v>0</v>
      </c>
      <c r="CP266" s="751">
        <v>0</v>
      </c>
      <c r="CQ266" s="751">
        <v>0</v>
      </c>
      <c r="CR266" s="751">
        <v>0</v>
      </c>
      <c r="CS266" s="751">
        <v>1562</v>
      </c>
      <c r="CT266" s="751">
        <v>0</v>
      </c>
      <c r="CU266" s="751">
        <v>16</v>
      </c>
      <c r="CV266" s="751">
        <v>1578</v>
      </c>
      <c r="CW266" s="751">
        <v>9817744</v>
      </c>
      <c r="CX266" s="751">
        <v>0</v>
      </c>
      <c r="CY266" s="751">
        <v>99169</v>
      </c>
      <c r="CZ266" s="751">
        <v>9916913</v>
      </c>
      <c r="DA266" s="662" t="s">
        <v>388</v>
      </c>
      <c r="DB266" s="324" t="s">
        <v>570</v>
      </c>
      <c r="DC266" s="663" t="s">
        <v>1915</v>
      </c>
      <c r="DD266" s="529" t="s">
        <v>1472</v>
      </c>
    </row>
    <row r="267" spans="1:108" ht="12.75" x14ac:dyDescent="0.2">
      <c r="A267" s="664">
        <v>260</v>
      </c>
      <c r="B267" s="665" t="s">
        <v>391</v>
      </c>
      <c r="C267" s="666" t="s">
        <v>1201</v>
      </c>
      <c r="D267" s="667" t="s">
        <v>1228</v>
      </c>
      <c r="E267" s="668" t="s">
        <v>390</v>
      </c>
      <c r="F267" s="750">
        <v>33091010</v>
      </c>
      <c r="G267" s="751">
        <v>0</v>
      </c>
      <c r="H267" s="751">
        <v>87883</v>
      </c>
      <c r="I267" s="751">
        <v>87590</v>
      </c>
      <c r="J267" s="751">
        <v>0</v>
      </c>
      <c r="K267" s="751">
        <v>87590</v>
      </c>
      <c r="L267" s="751">
        <v>0</v>
      </c>
      <c r="M267" s="751">
        <v>0</v>
      </c>
      <c r="N267" s="751">
        <v>0</v>
      </c>
      <c r="O267" s="751">
        <v>0</v>
      </c>
      <c r="P267" s="751">
        <v>0</v>
      </c>
      <c r="Q267" s="751">
        <v>0</v>
      </c>
      <c r="R267" s="751">
        <v>32915537</v>
      </c>
      <c r="S267" s="749">
        <v>0.5</v>
      </c>
      <c r="T267" s="749">
        <v>0.4</v>
      </c>
      <c r="U267" s="749">
        <v>0.09</v>
      </c>
      <c r="V267" s="749">
        <v>0.01</v>
      </c>
      <c r="W267" s="749">
        <v>1</v>
      </c>
      <c r="X267" s="751">
        <v>16457769</v>
      </c>
      <c r="Y267" s="751">
        <v>13166215</v>
      </c>
      <c r="Z267" s="751">
        <v>2962398</v>
      </c>
      <c r="AA267" s="751">
        <v>329155</v>
      </c>
      <c r="AB267" s="751">
        <v>32915537</v>
      </c>
      <c r="AC267" s="751">
        <v>0</v>
      </c>
      <c r="AD267" s="751">
        <v>0</v>
      </c>
      <c r="AE267" s="751">
        <v>16457769</v>
      </c>
      <c r="AF267" s="751">
        <v>13166215</v>
      </c>
      <c r="AG267" s="751">
        <v>2962398</v>
      </c>
      <c r="AH267" s="751">
        <v>329155</v>
      </c>
      <c r="AI267" s="751">
        <v>32915537</v>
      </c>
      <c r="AJ267" s="751">
        <v>87590</v>
      </c>
      <c r="AK267" s="751">
        <v>87590</v>
      </c>
      <c r="AL267" s="751">
        <v>0</v>
      </c>
      <c r="AM267" s="751">
        <v>0</v>
      </c>
      <c r="AN267" s="751">
        <v>0</v>
      </c>
      <c r="AO267" s="751">
        <v>0</v>
      </c>
      <c r="AP267" s="751">
        <v>0</v>
      </c>
      <c r="AQ267" s="751">
        <v>0</v>
      </c>
      <c r="AR267" s="751">
        <v>0</v>
      </c>
      <c r="AS267" s="751">
        <v>0</v>
      </c>
      <c r="AT267" s="751">
        <v>0</v>
      </c>
      <c r="AU267" s="751">
        <v>0</v>
      </c>
      <c r="AV267" s="751">
        <v>0</v>
      </c>
      <c r="AW267" s="751">
        <v>0</v>
      </c>
      <c r="AX267" s="751">
        <v>0</v>
      </c>
      <c r="AY267" s="751">
        <v>0</v>
      </c>
      <c r="AZ267" s="751">
        <v>0</v>
      </c>
      <c r="BA267" s="751">
        <v>0</v>
      </c>
      <c r="BB267" s="751">
        <v>0</v>
      </c>
      <c r="BC267" s="751">
        <v>-8927609</v>
      </c>
      <c r="BD267" s="751">
        <v>-7137191</v>
      </c>
      <c r="BE267" s="751">
        <v>-1599749</v>
      </c>
      <c r="BF267" s="751">
        <v>-178430</v>
      </c>
      <c r="BG267" s="751">
        <v>-17842978</v>
      </c>
      <c r="BH267" s="751">
        <v>7530161</v>
      </c>
      <c r="BI267" s="751">
        <v>6116614</v>
      </c>
      <c r="BJ267" s="751">
        <v>1362649</v>
      </c>
      <c r="BK267" s="751">
        <v>150725</v>
      </c>
      <c r="BL267" s="751">
        <v>15160149</v>
      </c>
      <c r="BM267" s="751">
        <v>686015</v>
      </c>
      <c r="BN267" s="751">
        <v>154353</v>
      </c>
      <c r="BO267" s="751">
        <v>17150</v>
      </c>
      <c r="BP267" s="751">
        <v>857518</v>
      </c>
      <c r="BQ267" s="751">
        <v>753622</v>
      </c>
      <c r="BR267" s="751">
        <v>169565</v>
      </c>
      <c r="BS267" s="751">
        <v>18841</v>
      </c>
      <c r="BT267" s="751">
        <v>942028</v>
      </c>
      <c r="BU267" s="751">
        <v>51658</v>
      </c>
      <c r="BV267" s="751">
        <v>11623</v>
      </c>
      <c r="BW267" s="751">
        <v>1291</v>
      </c>
      <c r="BX267" s="751">
        <v>64572</v>
      </c>
      <c r="BY267" s="751">
        <v>1617</v>
      </c>
      <c r="BZ267" s="751">
        <v>364</v>
      </c>
      <c r="CA267" s="751">
        <v>40</v>
      </c>
      <c r="CB267" s="751">
        <v>2021</v>
      </c>
      <c r="CC267" s="751">
        <v>0</v>
      </c>
      <c r="CD267" s="751">
        <v>0</v>
      </c>
      <c r="CE267" s="751">
        <v>0</v>
      </c>
      <c r="CF267" s="751">
        <v>0</v>
      </c>
      <c r="CG267" s="751">
        <v>1870</v>
      </c>
      <c r="CH267" s="751">
        <v>421</v>
      </c>
      <c r="CI267" s="751">
        <v>47</v>
      </c>
      <c r="CJ267" s="751">
        <v>2338</v>
      </c>
      <c r="CK267" s="751">
        <v>0</v>
      </c>
      <c r="CL267" s="751">
        <v>0</v>
      </c>
      <c r="CM267" s="751">
        <v>0</v>
      </c>
      <c r="CN267" s="751">
        <v>0</v>
      </c>
      <c r="CO267" s="751">
        <v>0</v>
      </c>
      <c r="CP267" s="751">
        <v>0</v>
      </c>
      <c r="CQ267" s="751">
        <v>0</v>
      </c>
      <c r="CR267" s="751">
        <v>0</v>
      </c>
      <c r="CS267" s="751">
        <v>0</v>
      </c>
      <c r="CT267" s="751">
        <v>0</v>
      </c>
      <c r="CU267" s="751">
        <v>0</v>
      </c>
      <c r="CV267" s="751">
        <v>0</v>
      </c>
      <c r="CW267" s="751">
        <v>1494782</v>
      </c>
      <c r="CX267" s="751">
        <v>336326</v>
      </c>
      <c r="CY267" s="751">
        <v>37369</v>
      </c>
      <c r="CZ267" s="751">
        <v>1868477</v>
      </c>
      <c r="DA267" s="662" t="s">
        <v>390</v>
      </c>
      <c r="DB267" s="324" t="s">
        <v>564</v>
      </c>
      <c r="DC267" s="663" t="s">
        <v>1917</v>
      </c>
      <c r="DD267" s="529" t="s">
        <v>1473</v>
      </c>
    </row>
    <row r="268" spans="1:108" ht="12.75" x14ac:dyDescent="0.2">
      <c r="A268" s="664">
        <v>261</v>
      </c>
      <c r="B268" s="665" t="s">
        <v>393</v>
      </c>
      <c r="C268" s="666" t="s">
        <v>1201</v>
      </c>
      <c r="D268" s="667" t="s">
        <v>1202</v>
      </c>
      <c r="E268" s="668" t="s">
        <v>392</v>
      </c>
      <c r="F268" s="750">
        <v>21855952</v>
      </c>
      <c r="G268" s="751">
        <v>153248</v>
      </c>
      <c r="H268" s="751">
        <v>0</v>
      </c>
      <c r="I268" s="751">
        <v>121398</v>
      </c>
      <c r="J268" s="751">
        <v>0</v>
      </c>
      <c r="K268" s="751">
        <v>121398</v>
      </c>
      <c r="L268" s="751">
        <v>0</v>
      </c>
      <c r="M268" s="751">
        <v>0</v>
      </c>
      <c r="N268" s="751">
        <v>0</v>
      </c>
      <c r="O268" s="751">
        <v>0</v>
      </c>
      <c r="P268" s="751">
        <v>0</v>
      </c>
      <c r="Q268" s="751">
        <v>0</v>
      </c>
      <c r="R268" s="751">
        <v>21887802</v>
      </c>
      <c r="S268" s="749">
        <v>0.5</v>
      </c>
      <c r="T268" s="749">
        <v>0.4</v>
      </c>
      <c r="U268" s="749">
        <v>0.1</v>
      </c>
      <c r="V268" s="749">
        <v>0</v>
      </c>
      <c r="W268" s="749">
        <v>1</v>
      </c>
      <c r="X268" s="751">
        <v>10943901</v>
      </c>
      <c r="Y268" s="751">
        <v>8755121</v>
      </c>
      <c r="Z268" s="751">
        <v>2188780</v>
      </c>
      <c r="AA268" s="751">
        <v>0</v>
      </c>
      <c r="AB268" s="751">
        <v>21887802</v>
      </c>
      <c r="AC268" s="751">
        <v>0</v>
      </c>
      <c r="AD268" s="751">
        <v>0</v>
      </c>
      <c r="AE268" s="751">
        <v>10943901</v>
      </c>
      <c r="AF268" s="751">
        <v>8755121</v>
      </c>
      <c r="AG268" s="751">
        <v>2188780</v>
      </c>
      <c r="AH268" s="751">
        <v>0</v>
      </c>
      <c r="AI268" s="751">
        <v>21887802</v>
      </c>
      <c r="AJ268" s="751">
        <v>121398</v>
      </c>
      <c r="AK268" s="751">
        <v>121398</v>
      </c>
      <c r="AL268" s="751">
        <v>0</v>
      </c>
      <c r="AM268" s="751">
        <v>0</v>
      </c>
      <c r="AN268" s="751">
        <v>0</v>
      </c>
      <c r="AO268" s="751">
        <v>0</v>
      </c>
      <c r="AP268" s="751">
        <v>0</v>
      </c>
      <c r="AQ268" s="751">
        <v>0</v>
      </c>
      <c r="AR268" s="751">
        <v>0</v>
      </c>
      <c r="AS268" s="751">
        <v>0</v>
      </c>
      <c r="AT268" s="751">
        <v>0</v>
      </c>
      <c r="AU268" s="751">
        <v>0</v>
      </c>
      <c r="AV268" s="751">
        <v>0</v>
      </c>
      <c r="AW268" s="751">
        <v>0</v>
      </c>
      <c r="AX268" s="751">
        <v>0</v>
      </c>
      <c r="AY268" s="751">
        <v>0</v>
      </c>
      <c r="AZ268" s="751">
        <v>0</v>
      </c>
      <c r="BA268" s="751">
        <v>0</v>
      </c>
      <c r="BB268" s="751">
        <v>0</v>
      </c>
      <c r="BC268" s="751">
        <v>-5806123</v>
      </c>
      <c r="BD268" s="751">
        <v>-4644898</v>
      </c>
      <c r="BE268" s="751">
        <v>-1161225</v>
      </c>
      <c r="BF268" s="751">
        <v>0</v>
      </c>
      <c r="BG268" s="751">
        <v>-11612246</v>
      </c>
      <c r="BH268" s="751">
        <v>5137778</v>
      </c>
      <c r="BI268" s="751">
        <v>4231621</v>
      </c>
      <c r="BJ268" s="751">
        <v>1027555</v>
      </c>
      <c r="BK268" s="751">
        <v>0</v>
      </c>
      <c r="BL268" s="751">
        <v>10396954</v>
      </c>
      <c r="BM268" s="751">
        <v>456179</v>
      </c>
      <c r="BN268" s="751">
        <v>114045</v>
      </c>
      <c r="BO268" s="751">
        <v>0</v>
      </c>
      <c r="BP268" s="751">
        <v>570224</v>
      </c>
      <c r="BQ268" s="751">
        <v>1037900</v>
      </c>
      <c r="BR268" s="751">
        <v>259475</v>
      </c>
      <c r="BS268" s="751">
        <v>0</v>
      </c>
      <c r="BT268" s="751">
        <v>1297375</v>
      </c>
      <c r="BU268" s="751">
        <v>58231</v>
      </c>
      <c r="BV268" s="751">
        <v>14558</v>
      </c>
      <c r="BW268" s="751">
        <v>0</v>
      </c>
      <c r="BX268" s="751">
        <v>72789</v>
      </c>
      <c r="BY268" s="751">
        <v>0</v>
      </c>
      <c r="BZ268" s="751">
        <v>0</v>
      </c>
      <c r="CA268" s="751">
        <v>0</v>
      </c>
      <c r="CB268" s="751">
        <v>0</v>
      </c>
      <c r="CC268" s="751">
        <v>7453</v>
      </c>
      <c r="CD268" s="751">
        <v>1863</v>
      </c>
      <c r="CE268" s="751">
        <v>0</v>
      </c>
      <c r="CF268" s="751">
        <v>9316</v>
      </c>
      <c r="CG268" s="751">
        <v>36965</v>
      </c>
      <c r="CH268" s="751">
        <v>9241</v>
      </c>
      <c r="CI268" s="751">
        <v>0</v>
      </c>
      <c r="CJ268" s="751">
        <v>46206</v>
      </c>
      <c r="CK268" s="751">
        <v>0</v>
      </c>
      <c r="CL268" s="751">
        <v>0</v>
      </c>
      <c r="CM268" s="751">
        <v>0</v>
      </c>
      <c r="CN268" s="751">
        <v>0</v>
      </c>
      <c r="CO268" s="751">
        <v>0</v>
      </c>
      <c r="CP268" s="751">
        <v>0</v>
      </c>
      <c r="CQ268" s="751">
        <v>0</v>
      </c>
      <c r="CR268" s="751">
        <v>0</v>
      </c>
      <c r="CS268" s="751">
        <v>0</v>
      </c>
      <c r="CT268" s="751">
        <v>0</v>
      </c>
      <c r="CU268" s="751">
        <v>0</v>
      </c>
      <c r="CV268" s="751">
        <v>0</v>
      </c>
      <c r="CW268" s="751">
        <v>1596728</v>
      </c>
      <c r="CX268" s="751">
        <v>399182</v>
      </c>
      <c r="CY268" s="751">
        <v>0</v>
      </c>
      <c r="CZ268" s="751">
        <v>1995910</v>
      </c>
      <c r="DA268" s="662" t="s">
        <v>392</v>
      </c>
      <c r="DB268" s="324" t="s">
        <v>566</v>
      </c>
      <c r="DC268" s="663" t="s">
        <v>512</v>
      </c>
      <c r="DD268" s="529" t="s">
        <v>1474</v>
      </c>
    </row>
    <row r="269" spans="1:108" ht="12.75" x14ac:dyDescent="0.2">
      <c r="A269" s="664">
        <v>262</v>
      </c>
      <c r="B269" s="665" t="s">
        <v>395</v>
      </c>
      <c r="C269" s="666" t="s">
        <v>1201</v>
      </c>
      <c r="D269" s="667" t="s">
        <v>1224</v>
      </c>
      <c r="E269" s="668" t="s">
        <v>394</v>
      </c>
      <c r="F269" s="750">
        <v>31030582</v>
      </c>
      <c r="G269" s="751">
        <v>0</v>
      </c>
      <c r="H269" s="751">
        <v>155882</v>
      </c>
      <c r="I269" s="751">
        <v>193581</v>
      </c>
      <c r="J269" s="751">
        <v>0</v>
      </c>
      <c r="K269" s="751">
        <v>193581</v>
      </c>
      <c r="L269" s="751">
        <v>0</v>
      </c>
      <c r="M269" s="751">
        <v>0</v>
      </c>
      <c r="N269" s="751">
        <v>62164</v>
      </c>
      <c r="O269" s="751">
        <v>62164</v>
      </c>
      <c r="P269" s="751">
        <v>0</v>
      </c>
      <c r="Q269" s="751">
        <v>0</v>
      </c>
      <c r="R269" s="751">
        <v>30618955</v>
      </c>
      <c r="S269" s="749">
        <v>0.5</v>
      </c>
      <c r="T269" s="749">
        <v>0.4</v>
      </c>
      <c r="U269" s="749">
        <v>0.09</v>
      </c>
      <c r="V269" s="749">
        <v>0.01</v>
      </c>
      <c r="W269" s="749">
        <v>1</v>
      </c>
      <c r="X269" s="751">
        <v>15309477</v>
      </c>
      <c r="Y269" s="751">
        <v>12247582</v>
      </c>
      <c r="Z269" s="751">
        <v>2755706</v>
      </c>
      <c r="AA269" s="751">
        <v>306190</v>
      </c>
      <c r="AB269" s="751">
        <v>30618955</v>
      </c>
      <c r="AC269" s="751">
        <v>0</v>
      </c>
      <c r="AD269" s="751">
        <v>0</v>
      </c>
      <c r="AE269" s="751">
        <v>15309477</v>
      </c>
      <c r="AF269" s="751">
        <v>12247582</v>
      </c>
      <c r="AG269" s="751">
        <v>2755706</v>
      </c>
      <c r="AH269" s="751">
        <v>306190</v>
      </c>
      <c r="AI269" s="751">
        <v>30618955</v>
      </c>
      <c r="AJ269" s="751">
        <v>193581</v>
      </c>
      <c r="AK269" s="751">
        <v>193581</v>
      </c>
      <c r="AL269" s="751">
        <v>0</v>
      </c>
      <c r="AM269" s="751">
        <v>0</v>
      </c>
      <c r="AN269" s="751">
        <v>62164</v>
      </c>
      <c r="AO269" s="751">
        <v>0</v>
      </c>
      <c r="AP269" s="751">
        <v>62164</v>
      </c>
      <c r="AQ269" s="751">
        <v>0</v>
      </c>
      <c r="AR269" s="751">
        <v>0</v>
      </c>
      <c r="AS269" s="751">
        <v>0</v>
      </c>
      <c r="AT269" s="751">
        <v>0</v>
      </c>
      <c r="AU269" s="751">
        <v>0</v>
      </c>
      <c r="AV269" s="751">
        <v>0</v>
      </c>
      <c r="AW269" s="751">
        <v>0</v>
      </c>
      <c r="AX269" s="751">
        <v>0</v>
      </c>
      <c r="AY269" s="751">
        <v>0</v>
      </c>
      <c r="AZ269" s="751">
        <v>0</v>
      </c>
      <c r="BA269" s="751">
        <v>0</v>
      </c>
      <c r="BB269" s="751">
        <v>0</v>
      </c>
      <c r="BC269" s="751">
        <v>-8733871</v>
      </c>
      <c r="BD269" s="751">
        <v>-6987097</v>
      </c>
      <c r="BE269" s="751">
        <v>-1572097</v>
      </c>
      <c r="BF269" s="751">
        <v>-174677</v>
      </c>
      <c r="BG269" s="751">
        <v>-17467742</v>
      </c>
      <c r="BH269" s="751">
        <v>6575606</v>
      </c>
      <c r="BI269" s="751">
        <v>5516230</v>
      </c>
      <c r="BJ269" s="751">
        <v>1183609</v>
      </c>
      <c r="BK269" s="751">
        <v>131513</v>
      </c>
      <c r="BL269" s="751">
        <v>13406958</v>
      </c>
      <c r="BM269" s="751">
        <v>641390</v>
      </c>
      <c r="BN269" s="751">
        <v>143584</v>
      </c>
      <c r="BO269" s="751">
        <v>15954</v>
      </c>
      <c r="BP269" s="751">
        <v>800928</v>
      </c>
      <c r="BQ269" s="751">
        <v>1997768</v>
      </c>
      <c r="BR269" s="751">
        <v>449498</v>
      </c>
      <c r="BS269" s="751">
        <v>49944</v>
      </c>
      <c r="BT269" s="751">
        <v>2497210</v>
      </c>
      <c r="BU269" s="751">
        <v>88053</v>
      </c>
      <c r="BV269" s="751">
        <v>19614</v>
      </c>
      <c r="BW269" s="751">
        <v>2179</v>
      </c>
      <c r="BX269" s="751">
        <v>109846</v>
      </c>
      <c r="BY269" s="751">
        <v>299</v>
      </c>
      <c r="BZ269" s="751">
        <v>68</v>
      </c>
      <c r="CA269" s="751">
        <v>8</v>
      </c>
      <c r="CB269" s="751">
        <v>375</v>
      </c>
      <c r="CC269" s="751">
        <v>14821</v>
      </c>
      <c r="CD269" s="751">
        <v>3334</v>
      </c>
      <c r="CE269" s="751">
        <v>370</v>
      </c>
      <c r="CF269" s="751">
        <v>18525</v>
      </c>
      <c r="CG269" s="751">
        <v>17763</v>
      </c>
      <c r="CH269" s="751">
        <v>3996</v>
      </c>
      <c r="CI269" s="751">
        <v>444</v>
      </c>
      <c r="CJ269" s="751">
        <v>22203</v>
      </c>
      <c r="CK269" s="751">
        <v>0</v>
      </c>
      <c r="CL269" s="751">
        <v>0</v>
      </c>
      <c r="CM269" s="751">
        <v>0</v>
      </c>
      <c r="CN269" s="751">
        <v>0</v>
      </c>
      <c r="CO269" s="751">
        <v>0</v>
      </c>
      <c r="CP269" s="751">
        <v>0</v>
      </c>
      <c r="CQ269" s="751">
        <v>0</v>
      </c>
      <c r="CR269" s="751">
        <v>0</v>
      </c>
      <c r="CS269" s="751">
        <v>631</v>
      </c>
      <c r="CT269" s="751">
        <v>142</v>
      </c>
      <c r="CU269" s="751">
        <v>16</v>
      </c>
      <c r="CV269" s="751">
        <v>789</v>
      </c>
      <c r="CW269" s="751">
        <v>2760725</v>
      </c>
      <c r="CX269" s="751">
        <v>620236</v>
      </c>
      <c r="CY269" s="751">
        <v>68915</v>
      </c>
      <c r="CZ269" s="751">
        <v>3449876</v>
      </c>
      <c r="DA269" s="662" t="s">
        <v>394</v>
      </c>
      <c r="DB269" s="324" t="s">
        <v>521</v>
      </c>
      <c r="DC269" s="663" t="s">
        <v>519</v>
      </c>
      <c r="DD269" s="529" t="s">
        <v>1475</v>
      </c>
    </row>
    <row r="270" spans="1:108" ht="12.75" x14ac:dyDescent="0.2">
      <c r="A270" s="664">
        <v>263</v>
      </c>
      <c r="B270" s="665" t="s">
        <v>396</v>
      </c>
      <c r="C270" s="666" t="s">
        <v>486</v>
      </c>
      <c r="D270" s="667" t="s">
        <v>1228</v>
      </c>
      <c r="E270" s="668" t="s">
        <v>827</v>
      </c>
      <c r="F270" s="750">
        <v>73697345</v>
      </c>
      <c r="G270" s="751">
        <v>108635</v>
      </c>
      <c r="H270" s="751">
        <v>0</v>
      </c>
      <c r="I270" s="751">
        <v>214388</v>
      </c>
      <c r="J270" s="751">
        <v>0</v>
      </c>
      <c r="K270" s="751">
        <v>214388</v>
      </c>
      <c r="L270" s="751">
        <v>0</v>
      </c>
      <c r="M270" s="751">
        <v>0</v>
      </c>
      <c r="N270" s="751">
        <v>98954</v>
      </c>
      <c r="O270" s="751">
        <v>98954</v>
      </c>
      <c r="P270" s="751">
        <v>0</v>
      </c>
      <c r="Q270" s="751">
        <v>0</v>
      </c>
      <c r="R270" s="751">
        <v>73492638</v>
      </c>
      <c r="S270" s="749">
        <v>0.5</v>
      </c>
      <c r="T270" s="749">
        <v>0.49</v>
      </c>
      <c r="U270" s="749">
        <v>0</v>
      </c>
      <c r="V270" s="749">
        <v>0.01</v>
      </c>
      <c r="W270" s="749">
        <v>1</v>
      </c>
      <c r="X270" s="751">
        <v>36746319</v>
      </c>
      <c r="Y270" s="751">
        <v>36011393</v>
      </c>
      <c r="Z270" s="751">
        <v>0</v>
      </c>
      <c r="AA270" s="751">
        <v>734926</v>
      </c>
      <c r="AB270" s="751">
        <v>73492638</v>
      </c>
      <c r="AC270" s="751">
        <v>0</v>
      </c>
      <c r="AD270" s="751">
        <v>0</v>
      </c>
      <c r="AE270" s="751">
        <v>36746319</v>
      </c>
      <c r="AF270" s="751">
        <v>36011393</v>
      </c>
      <c r="AG270" s="751">
        <v>0</v>
      </c>
      <c r="AH270" s="751">
        <v>734926</v>
      </c>
      <c r="AI270" s="751">
        <v>73492638</v>
      </c>
      <c r="AJ270" s="751">
        <v>214388</v>
      </c>
      <c r="AK270" s="751">
        <v>214388</v>
      </c>
      <c r="AL270" s="751">
        <v>0</v>
      </c>
      <c r="AM270" s="751">
        <v>0</v>
      </c>
      <c r="AN270" s="751">
        <v>98954</v>
      </c>
      <c r="AO270" s="751">
        <v>0</v>
      </c>
      <c r="AP270" s="751">
        <v>98954</v>
      </c>
      <c r="AQ270" s="751">
        <v>0</v>
      </c>
      <c r="AR270" s="751">
        <v>0</v>
      </c>
      <c r="AS270" s="751">
        <v>0</v>
      </c>
      <c r="AT270" s="751">
        <v>0</v>
      </c>
      <c r="AU270" s="751">
        <v>0</v>
      </c>
      <c r="AV270" s="751">
        <v>0</v>
      </c>
      <c r="AW270" s="751">
        <v>0</v>
      </c>
      <c r="AX270" s="751">
        <v>0</v>
      </c>
      <c r="AY270" s="751">
        <v>0</v>
      </c>
      <c r="AZ270" s="751">
        <v>0</v>
      </c>
      <c r="BA270" s="751">
        <v>0</v>
      </c>
      <c r="BB270" s="751">
        <v>0</v>
      </c>
      <c r="BC270" s="751">
        <v>-15803487</v>
      </c>
      <c r="BD270" s="751">
        <v>-15487417</v>
      </c>
      <c r="BE270" s="751">
        <v>0</v>
      </c>
      <c r="BF270" s="751">
        <v>-316070</v>
      </c>
      <c r="BG270" s="751">
        <v>-31606973</v>
      </c>
      <c r="BH270" s="751">
        <v>20942832</v>
      </c>
      <c r="BI270" s="751">
        <v>20837318</v>
      </c>
      <c r="BJ270" s="751">
        <v>0</v>
      </c>
      <c r="BK270" s="751">
        <v>418856</v>
      </c>
      <c r="BL270" s="751">
        <v>42199007</v>
      </c>
      <c r="BM270" s="751">
        <v>1881501</v>
      </c>
      <c r="BN270" s="751">
        <v>0</v>
      </c>
      <c r="BO270" s="751">
        <v>38293</v>
      </c>
      <c r="BP270" s="751">
        <v>1919794</v>
      </c>
      <c r="BQ270" s="751">
        <v>2061314</v>
      </c>
      <c r="BR270" s="751">
        <v>0</v>
      </c>
      <c r="BS270" s="751">
        <v>42068</v>
      </c>
      <c r="BT270" s="751">
        <v>2103382</v>
      </c>
      <c r="BU270" s="751">
        <v>142119</v>
      </c>
      <c r="BV270" s="751">
        <v>0</v>
      </c>
      <c r="BW270" s="751">
        <v>2900</v>
      </c>
      <c r="BX270" s="751">
        <v>145019</v>
      </c>
      <c r="BY270" s="751">
        <v>15718</v>
      </c>
      <c r="BZ270" s="751">
        <v>0</v>
      </c>
      <c r="CA270" s="751">
        <v>321</v>
      </c>
      <c r="CB270" s="751">
        <v>16039</v>
      </c>
      <c r="CC270" s="751">
        <v>679</v>
      </c>
      <c r="CD270" s="751">
        <v>0</v>
      </c>
      <c r="CE270" s="751">
        <v>14</v>
      </c>
      <c r="CF270" s="751">
        <v>693</v>
      </c>
      <c r="CG270" s="751">
        <v>9154</v>
      </c>
      <c r="CH270" s="751">
        <v>0</v>
      </c>
      <c r="CI270" s="751">
        <v>187</v>
      </c>
      <c r="CJ270" s="751">
        <v>9341</v>
      </c>
      <c r="CK270" s="751">
        <v>0</v>
      </c>
      <c r="CL270" s="751">
        <v>0</v>
      </c>
      <c r="CM270" s="751">
        <v>0</v>
      </c>
      <c r="CN270" s="751">
        <v>0</v>
      </c>
      <c r="CO270" s="751">
        <v>0</v>
      </c>
      <c r="CP270" s="751">
        <v>0</v>
      </c>
      <c r="CQ270" s="751">
        <v>0</v>
      </c>
      <c r="CR270" s="751">
        <v>0</v>
      </c>
      <c r="CS270" s="751">
        <v>773</v>
      </c>
      <c r="CT270" s="751">
        <v>0</v>
      </c>
      <c r="CU270" s="751">
        <v>16</v>
      </c>
      <c r="CV270" s="751">
        <v>789</v>
      </c>
      <c r="CW270" s="751">
        <v>4111258</v>
      </c>
      <c r="CX270" s="751">
        <v>0</v>
      </c>
      <c r="CY270" s="751">
        <v>83799</v>
      </c>
      <c r="CZ270" s="751">
        <v>4195057</v>
      </c>
      <c r="DA270" s="662" t="s">
        <v>827</v>
      </c>
      <c r="DB270" s="324" t="s">
        <v>486</v>
      </c>
      <c r="DC270" s="663" t="s">
        <v>561</v>
      </c>
      <c r="DD270" s="529" t="s">
        <v>1476</v>
      </c>
    </row>
    <row r="271" spans="1:108" ht="12.75" x14ac:dyDescent="0.2">
      <c r="A271" s="664">
        <v>264</v>
      </c>
      <c r="B271" s="665" t="s">
        <v>398</v>
      </c>
      <c r="C271" s="666" t="s">
        <v>1201</v>
      </c>
      <c r="D271" s="667" t="s">
        <v>1211</v>
      </c>
      <c r="E271" s="668" t="s">
        <v>397</v>
      </c>
      <c r="F271" s="750">
        <v>28066969</v>
      </c>
      <c r="G271" s="751">
        <v>26376</v>
      </c>
      <c r="H271" s="751">
        <v>0</v>
      </c>
      <c r="I271" s="751">
        <v>287278</v>
      </c>
      <c r="J271" s="751">
        <v>0</v>
      </c>
      <c r="K271" s="751">
        <v>287278</v>
      </c>
      <c r="L271" s="751">
        <v>0</v>
      </c>
      <c r="M271" s="751">
        <v>0</v>
      </c>
      <c r="N271" s="751">
        <v>300000</v>
      </c>
      <c r="O271" s="751">
        <v>300000</v>
      </c>
      <c r="P271" s="751">
        <v>0</v>
      </c>
      <c r="Q271" s="751">
        <v>0</v>
      </c>
      <c r="R271" s="751">
        <v>27506067</v>
      </c>
      <c r="S271" s="749">
        <v>0.5</v>
      </c>
      <c r="T271" s="749">
        <v>0.4</v>
      </c>
      <c r="U271" s="749">
        <v>0.09</v>
      </c>
      <c r="V271" s="749">
        <v>0.01</v>
      </c>
      <c r="W271" s="749">
        <v>1</v>
      </c>
      <c r="X271" s="751">
        <v>13753033</v>
      </c>
      <c r="Y271" s="751">
        <v>11002427</v>
      </c>
      <c r="Z271" s="751">
        <v>2475546</v>
      </c>
      <c r="AA271" s="751">
        <v>275061</v>
      </c>
      <c r="AB271" s="751">
        <v>27506067</v>
      </c>
      <c r="AC271" s="751">
        <v>0</v>
      </c>
      <c r="AD271" s="751">
        <v>0</v>
      </c>
      <c r="AE271" s="751">
        <v>13753033</v>
      </c>
      <c r="AF271" s="751">
        <v>11002427</v>
      </c>
      <c r="AG271" s="751">
        <v>2475546</v>
      </c>
      <c r="AH271" s="751">
        <v>275061</v>
      </c>
      <c r="AI271" s="751">
        <v>27506067</v>
      </c>
      <c r="AJ271" s="751">
        <v>287278</v>
      </c>
      <c r="AK271" s="751">
        <v>287278</v>
      </c>
      <c r="AL271" s="751">
        <v>0</v>
      </c>
      <c r="AM271" s="751">
        <v>0</v>
      </c>
      <c r="AN271" s="751">
        <v>300000</v>
      </c>
      <c r="AO271" s="751">
        <v>0</v>
      </c>
      <c r="AP271" s="751">
        <v>300000</v>
      </c>
      <c r="AQ271" s="751">
        <v>0</v>
      </c>
      <c r="AR271" s="751">
        <v>0</v>
      </c>
      <c r="AS271" s="751">
        <v>0</v>
      </c>
      <c r="AT271" s="751">
        <v>0</v>
      </c>
      <c r="AU271" s="751">
        <v>0</v>
      </c>
      <c r="AV271" s="751">
        <v>0</v>
      </c>
      <c r="AW271" s="751">
        <v>0</v>
      </c>
      <c r="AX271" s="751">
        <v>0</v>
      </c>
      <c r="AY271" s="751">
        <v>0</v>
      </c>
      <c r="AZ271" s="751">
        <v>0</v>
      </c>
      <c r="BA271" s="751">
        <v>0</v>
      </c>
      <c r="BB271" s="751">
        <v>0</v>
      </c>
      <c r="BC271" s="751">
        <v>-7555917</v>
      </c>
      <c r="BD271" s="751">
        <v>-6044734</v>
      </c>
      <c r="BE271" s="751">
        <v>-1360065</v>
      </c>
      <c r="BF271" s="751">
        <v>-151118</v>
      </c>
      <c r="BG271" s="751">
        <v>-15111835</v>
      </c>
      <c r="BH271" s="751">
        <v>6197116</v>
      </c>
      <c r="BI271" s="751">
        <v>5544971</v>
      </c>
      <c r="BJ271" s="751">
        <v>1115481</v>
      </c>
      <c r="BK271" s="751">
        <v>123943</v>
      </c>
      <c r="BL271" s="751">
        <v>12981510</v>
      </c>
      <c r="BM271" s="751">
        <v>588904</v>
      </c>
      <c r="BN271" s="751">
        <v>128986</v>
      </c>
      <c r="BO271" s="751">
        <v>14332</v>
      </c>
      <c r="BP271" s="751">
        <v>732222</v>
      </c>
      <c r="BQ271" s="751">
        <v>2026647</v>
      </c>
      <c r="BR271" s="751">
        <v>455995</v>
      </c>
      <c r="BS271" s="751">
        <v>50666</v>
      </c>
      <c r="BT271" s="751">
        <v>2533308</v>
      </c>
      <c r="BU271" s="751">
        <v>13105</v>
      </c>
      <c r="BV271" s="751">
        <v>2949</v>
      </c>
      <c r="BW271" s="751">
        <v>328</v>
      </c>
      <c r="BX271" s="751">
        <v>16382</v>
      </c>
      <c r="BY271" s="751">
        <v>4778</v>
      </c>
      <c r="BZ271" s="751">
        <v>1075</v>
      </c>
      <c r="CA271" s="751">
        <v>119</v>
      </c>
      <c r="CB271" s="751">
        <v>5972</v>
      </c>
      <c r="CC271" s="751">
        <v>15840</v>
      </c>
      <c r="CD271" s="751">
        <v>3564</v>
      </c>
      <c r="CE271" s="751">
        <v>396</v>
      </c>
      <c r="CF271" s="751">
        <v>19800</v>
      </c>
      <c r="CG271" s="751">
        <v>3818</v>
      </c>
      <c r="CH271" s="751">
        <v>859</v>
      </c>
      <c r="CI271" s="751">
        <v>95</v>
      </c>
      <c r="CJ271" s="751">
        <v>4772</v>
      </c>
      <c r="CK271" s="751">
        <v>0</v>
      </c>
      <c r="CL271" s="751">
        <v>0</v>
      </c>
      <c r="CM271" s="751">
        <v>0</v>
      </c>
      <c r="CN271" s="751">
        <v>0</v>
      </c>
      <c r="CO271" s="751">
        <v>0</v>
      </c>
      <c r="CP271" s="751">
        <v>0</v>
      </c>
      <c r="CQ271" s="751">
        <v>0</v>
      </c>
      <c r="CR271" s="751">
        <v>0</v>
      </c>
      <c r="CS271" s="751">
        <v>0</v>
      </c>
      <c r="CT271" s="751">
        <v>0</v>
      </c>
      <c r="CU271" s="751">
        <v>0</v>
      </c>
      <c r="CV271" s="751">
        <v>0</v>
      </c>
      <c r="CW271" s="751">
        <v>2653092</v>
      </c>
      <c r="CX271" s="751">
        <v>593428</v>
      </c>
      <c r="CY271" s="751">
        <v>65936</v>
      </c>
      <c r="CZ271" s="751">
        <v>3312456</v>
      </c>
      <c r="DA271" s="662" t="s">
        <v>397</v>
      </c>
      <c r="DB271" s="324" t="s">
        <v>528</v>
      </c>
      <c r="DC271" s="663" t="s">
        <v>1913</v>
      </c>
      <c r="DD271" s="529" t="s">
        <v>1477</v>
      </c>
    </row>
    <row r="272" spans="1:108" ht="12.75" x14ac:dyDescent="0.2">
      <c r="A272" s="664">
        <v>265</v>
      </c>
      <c r="B272" s="665" t="s">
        <v>400</v>
      </c>
      <c r="C272" s="666" t="s">
        <v>1201</v>
      </c>
      <c r="D272" s="667" t="s">
        <v>1202</v>
      </c>
      <c r="E272" s="668" t="s">
        <v>399</v>
      </c>
      <c r="F272" s="750">
        <v>56096412</v>
      </c>
      <c r="G272" s="751">
        <v>0</v>
      </c>
      <c r="H272" s="751">
        <v>31743</v>
      </c>
      <c r="I272" s="751">
        <v>186822</v>
      </c>
      <c r="J272" s="751">
        <v>0</v>
      </c>
      <c r="K272" s="751">
        <v>186822</v>
      </c>
      <c r="L272" s="751">
        <v>0</v>
      </c>
      <c r="M272" s="751">
        <v>0</v>
      </c>
      <c r="N272" s="751">
        <v>397516</v>
      </c>
      <c r="O272" s="751">
        <v>397516</v>
      </c>
      <c r="P272" s="751">
        <v>0</v>
      </c>
      <c r="Q272" s="751">
        <v>0</v>
      </c>
      <c r="R272" s="751">
        <v>55480331</v>
      </c>
      <c r="S272" s="749">
        <v>0.5</v>
      </c>
      <c r="T272" s="749">
        <v>0.4</v>
      </c>
      <c r="U272" s="749">
        <v>0.09</v>
      </c>
      <c r="V272" s="749">
        <v>0.01</v>
      </c>
      <c r="W272" s="749">
        <v>1</v>
      </c>
      <c r="X272" s="751">
        <v>27740166</v>
      </c>
      <c r="Y272" s="751">
        <v>22192132</v>
      </c>
      <c r="Z272" s="751">
        <v>4993230</v>
      </c>
      <c r="AA272" s="751">
        <v>554803</v>
      </c>
      <c r="AB272" s="751">
        <v>55480331</v>
      </c>
      <c r="AC272" s="751">
        <v>0</v>
      </c>
      <c r="AD272" s="751">
        <v>0</v>
      </c>
      <c r="AE272" s="751">
        <v>27740166</v>
      </c>
      <c r="AF272" s="751">
        <v>22192132</v>
      </c>
      <c r="AG272" s="751">
        <v>4993230</v>
      </c>
      <c r="AH272" s="751">
        <v>554803</v>
      </c>
      <c r="AI272" s="751">
        <v>55480331</v>
      </c>
      <c r="AJ272" s="751">
        <v>186822</v>
      </c>
      <c r="AK272" s="751">
        <v>186822</v>
      </c>
      <c r="AL272" s="751">
        <v>0</v>
      </c>
      <c r="AM272" s="751">
        <v>0</v>
      </c>
      <c r="AN272" s="751">
        <v>397516</v>
      </c>
      <c r="AO272" s="751">
        <v>0</v>
      </c>
      <c r="AP272" s="751">
        <v>397516</v>
      </c>
      <c r="AQ272" s="751">
        <v>0</v>
      </c>
      <c r="AR272" s="751">
        <v>0</v>
      </c>
      <c r="AS272" s="751">
        <v>0</v>
      </c>
      <c r="AT272" s="751">
        <v>0</v>
      </c>
      <c r="AU272" s="751">
        <v>0</v>
      </c>
      <c r="AV272" s="751">
        <v>0</v>
      </c>
      <c r="AW272" s="751">
        <v>0</v>
      </c>
      <c r="AX272" s="751">
        <v>0</v>
      </c>
      <c r="AY272" s="751">
        <v>0</v>
      </c>
      <c r="AZ272" s="751">
        <v>0</v>
      </c>
      <c r="BA272" s="751">
        <v>0</v>
      </c>
      <c r="BB272" s="751">
        <v>0</v>
      </c>
      <c r="BC272" s="751">
        <v>-8582419</v>
      </c>
      <c r="BD272" s="751">
        <v>-6865935</v>
      </c>
      <c r="BE272" s="751">
        <v>-1544835</v>
      </c>
      <c r="BF272" s="751">
        <v>-171648</v>
      </c>
      <c r="BG272" s="751">
        <v>-17164837</v>
      </c>
      <c r="BH272" s="751">
        <v>19157747</v>
      </c>
      <c r="BI272" s="751">
        <v>15910535</v>
      </c>
      <c r="BJ272" s="751">
        <v>3448395</v>
      </c>
      <c r="BK272" s="751">
        <v>383155</v>
      </c>
      <c r="BL272" s="751">
        <v>38899832</v>
      </c>
      <c r="BM272" s="751">
        <v>1177016</v>
      </c>
      <c r="BN272" s="751">
        <v>260168</v>
      </c>
      <c r="BO272" s="751">
        <v>28908</v>
      </c>
      <c r="BP272" s="751">
        <v>1466092</v>
      </c>
      <c r="BQ272" s="751">
        <v>1438284</v>
      </c>
      <c r="BR272" s="751">
        <v>323614</v>
      </c>
      <c r="BS272" s="751">
        <v>35957</v>
      </c>
      <c r="BT272" s="751">
        <v>1797855</v>
      </c>
      <c r="BU272" s="751">
        <v>113986</v>
      </c>
      <c r="BV272" s="751">
        <v>25647</v>
      </c>
      <c r="BW272" s="751">
        <v>2850</v>
      </c>
      <c r="BX272" s="751">
        <v>142483</v>
      </c>
      <c r="BY272" s="751">
        <v>17374</v>
      </c>
      <c r="BZ272" s="751">
        <v>3909</v>
      </c>
      <c r="CA272" s="751">
        <v>434</v>
      </c>
      <c r="CB272" s="751">
        <v>21717</v>
      </c>
      <c r="CC272" s="751">
        <v>4800</v>
      </c>
      <c r="CD272" s="751">
        <v>1080</v>
      </c>
      <c r="CE272" s="751">
        <v>120</v>
      </c>
      <c r="CF272" s="751">
        <v>6000</v>
      </c>
      <c r="CG272" s="751">
        <v>6171</v>
      </c>
      <c r="CH272" s="751">
        <v>1389</v>
      </c>
      <c r="CI272" s="751">
        <v>154</v>
      </c>
      <c r="CJ272" s="751">
        <v>7714</v>
      </c>
      <c r="CK272" s="751">
        <v>0</v>
      </c>
      <c r="CL272" s="751">
        <v>0</v>
      </c>
      <c r="CM272" s="751">
        <v>0</v>
      </c>
      <c r="CN272" s="751">
        <v>0</v>
      </c>
      <c r="CO272" s="751">
        <v>0</v>
      </c>
      <c r="CP272" s="751">
        <v>0</v>
      </c>
      <c r="CQ272" s="751">
        <v>0</v>
      </c>
      <c r="CR272" s="751">
        <v>0</v>
      </c>
      <c r="CS272" s="751">
        <v>0</v>
      </c>
      <c r="CT272" s="751">
        <v>0</v>
      </c>
      <c r="CU272" s="751">
        <v>0</v>
      </c>
      <c r="CV272" s="751">
        <v>0</v>
      </c>
      <c r="CW272" s="751">
        <v>2757631</v>
      </c>
      <c r="CX272" s="751">
        <v>615807</v>
      </c>
      <c r="CY272" s="751">
        <v>68423</v>
      </c>
      <c r="CZ272" s="751">
        <v>3441861</v>
      </c>
      <c r="DA272" s="662" t="s">
        <v>399</v>
      </c>
      <c r="DB272" s="324" t="s">
        <v>532</v>
      </c>
      <c r="DC272" s="663" t="s">
        <v>1914</v>
      </c>
      <c r="DD272" s="529" t="s">
        <v>1478</v>
      </c>
    </row>
    <row r="273" spans="1:108" ht="12.75" x14ac:dyDescent="0.2">
      <c r="A273" s="664">
        <v>266</v>
      </c>
      <c r="B273" s="665" t="s">
        <v>402</v>
      </c>
      <c r="C273" s="666" t="s">
        <v>1201</v>
      </c>
      <c r="D273" s="667" t="s">
        <v>1224</v>
      </c>
      <c r="E273" s="668" t="s">
        <v>401</v>
      </c>
      <c r="F273" s="750">
        <v>34985072</v>
      </c>
      <c r="G273" s="751">
        <v>264092</v>
      </c>
      <c r="H273" s="751">
        <v>0</v>
      </c>
      <c r="I273" s="751">
        <v>120368</v>
      </c>
      <c r="J273" s="751">
        <v>0</v>
      </c>
      <c r="K273" s="751">
        <v>120368</v>
      </c>
      <c r="L273" s="751">
        <v>0</v>
      </c>
      <c r="M273" s="751">
        <v>0</v>
      </c>
      <c r="N273" s="751">
        <v>246935</v>
      </c>
      <c r="O273" s="751">
        <v>119447</v>
      </c>
      <c r="P273" s="751">
        <v>127488</v>
      </c>
      <c r="Q273" s="751">
        <v>0</v>
      </c>
      <c r="R273" s="751">
        <v>34881861</v>
      </c>
      <c r="S273" s="749">
        <v>0.5</v>
      </c>
      <c r="T273" s="749">
        <v>0.4</v>
      </c>
      <c r="U273" s="749">
        <v>0.1</v>
      </c>
      <c r="V273" s="749">
        <v>0</v>
      </c>
      <c r="W273" s="749">
        <v>1</v>
      </c>
      <c r="X273" s="751">
        <v>17440931</v>
      </c>
      <c r="Y273" s="751">
        <v>13952744</v>
      </c>
      <c r="Z273" s="751">
        <v>3488186</v>
      </c>
      <c r="AA273" s="751">
        <v>0</v>
      </c>
      <c r="AB273" s="751">
        <v>34881861</v>
      </c>
      <c r="AC273" s="751">
        <v>0</v>
      </c>
      <c r="AD273" s="751">
        <v>0</v>
      </c>
      <c r="AE273" s="751">
        <v>17440931</v>
      </c>
      <c r="AF273" s="751">
        <v>13952744</v>
      </c>
      <c r="AG273" s="751">
        <v>3488186</v>
      </c>
      <c r="AH273" s="751">
        <v>0</v>
      </c>
      <c r="AI273" s="751">
        <v>34881861</v>
      </c>
      <c r="AJ273" s="751">
        <v>120368</v>
      </c>
      <c r="AK273" s="751">
        <v>120368</v>
      </c>
      <c r="AL273" s="751">
        <v>0</v>
      </c>
      <c r="AM273" s="751">
        <v>0</v>
      </c>
      <c r="AN273" s="751">
        <v>119447</v>
      </c>
      <c r="AO273" s="751">
        <v>127488</v>
      </c>
      <c r="AP273" s="751">
        <v>246935</v>
      </c>
      <c r="AQ273" s="751">
        <v>0</v>
      </c>
      <c r="AR273" s="751">
        <v>0</v>
      </c>
      <c r="AS273" s="751">
        <v>0</v>
      </c>
      <c r="AT273" s="751">
        <v>0</v>
      </c>
      <c r="AU273" s="751">
        <v>0</v>
      </c>
      <c r="AV273" s="751">
        <v>0</v>
      </c>
      <c r="AW273" s="751">
        <v>0</v>
      </c>
      <c r="AX273" s="751">
        <v>0</v>
      </c>
      <c r="AY273" s="751">
        <v>0</v>
      </c>
      <c r="AZ273" s="751">
        <v>0</v>
      </c>
      <c r="BA273" s="751">
        <v>0</v>
      </c>
      <c r="BB273" s="751">
        <v>0</v>
      </c>
      <c r="BC273" s="751">
        <v>-5813058</v>
      </c>
      <c r="BD273" s="751">
        <v>-4650446</v>
      </c>
      <c r="BE273" s="751">
        <v>-1162612</v>
      </c>
      <c r="BF273" s="751">
        <v>0</v>
      </c>
      <c r="BG273" s="751">
        <v>-11626116</v>
      </c>
      <c r="BH273" s="751">
        <v>11627873</v>
      </c>
      <c r="BI273" s="751">
        <v>9542113</v>
      </c>
      <c r="BJ273" s="751">
        <v>2453062</v>
      </c>
      <c r="BK273" s="751">
        <v>0</v>
      </c>
      <c r="BL273" s="751">
        <v>23623048</v>
      </c>
      <c r="BM273" s="751">
        <v>733220</v>
      </c>
      <c r="BN273" s="751">
        <v>188392</v>
      </c>
      <c r="BO273" s="751">
        <v>0</v>
      </c>
      <c r="BP273" s="751">
        <v>921612</v>
      </c>
      <c r="BQ273" s="751">
        <v>960694</v>
      </c>
      <c r="BR273" s="751">
        <v>240174</v>
      </c>
      <c r="BS273" s="751">
        <v>0</v>
      </c>
      <c r="BT273" s="751">
        <v>1200868</v>
      </c>
      <c r="BU273" s="751">
        <v>60933</v>
      </c>
      <c r="BV273" s="751">
        <v>15233</v>
      </c>
      <c r="BW273" s="751">
        <v>0</v>
      </c>
      <c r="BX273" s="751">
        <v>76166</v>
      </c>
      <c r="BY273" s="751">
        <v>26720</v>
      </c>
      <c r="BZ273" s="751">
        <v>6680</v>
      </c>
      <c r="CA273" s="751">
        <v>0</v>
      </c>
      <c r="CB273" s="751">
        <v>33400</v>
      </c>
      <c r="CC273" s="751">
        <v>5964</v>
      </c>
      <c r="CD273" s="751">
        <v>1491</v>
      </c>
      <c r="CE273" s="751">
        <v>0</v>
      </c>
      <c r="CF273" s="751">
        <v>7455</v>
      </c>
      <c r="CG273" s="751">
        <v>926</v>
      </c>
      <c r="CH273" s="751">
        <v>231</v>
      </c>
      <c r="CI273" s="751">
        <v>0</v>
      </c>
      <c r="CJ273" s="751">
        <v>1157</v>
      </c>
      <c r="CK273" s="751">
        <v>0</v>
      </c>
      <c r="CL273" s="751">
        <v>0</v>
      </c>
      <c r="CM273" s="751">
        <v>0</v>
      </c>
      <c r="CN273" s="751">
        <v>0</v>
      </c>
      <c r="CO273" s="751">
        <v>0</v>
      </c>
      <c r="CP273" s="751">
        <v>0</v>
      </c>
      <c r="CQ273" s="751">
        <v>0</v>
      </c>
      <c r="CR273" s="751">
        <v>0</v>
      </c>
      <c r="CS273" s="751">
        <v>0</v>
      </c>
      <c r="CT273" s="751">
        <v>0</v>
      </c>
      <c r="CU273" s="751">
        <v>0</v>
      </c>
      <c r="CV273" s="751">
        <v>0</v>
      </c>
      <c r="CW273" s="751">
        <v>1788457</v>
      </c>
      <c r="CX273" s="751">
        <v>452201</v>
      </c>
      <c r="CY273" s="751">
        <v>0</v>
      </c>
      <c r="CZ273" s="751">
        <v>2240658</v>
      </c>
      <c r="DA273" s="662" t="s">
        <v>401</v>
      </c>
      <c r="DB273" s="324" t="s">
        <v>529</v>
      </c>
      <c r="DC273" s="663" t="s">
        <v>512</v>
      </c>
      <c r="DD273" s="529" t="s">
        <v>1479</v>
      </c>
    </row>
    <row r="274" spans="1:108" ht="12.75" x14ac:dyDescent="0.2">
      <c r="A274" s="664">
        <v>267</v>
      </c>
      <c r="B274" s="665" t="s">
        <v>404</v>
      </c>
      <c r="C274" s="666" t="s">
        <v>1201</v>
      </c>
      <c r="D274" s="667" t="s">
        <v>1202</v>
      </c>
      <c r="E274" s="668" t="s">
        <v>403</v>
      </c>
      <c r="F274" s="750">
        <v>33804067</v>
      </c>
      <c r="G274" s="751">
        <v>0</v>
      </c>
      <c r="H274" s="751">
        <v>124554</v>
      </c>
      <c r="I274" s="751">
        <v>197776</v>
      </c>
      <c r="J274" s="751">
        <v>0</v>
      </c>
      <c r="K274" s="751">
        <v>197776</v>
      </c>
      <c r="L274" s="751">
        <v>0</v>
      </c>
      <c r="M274" s="751">
        <v>0</v>
      </c>
      <c r="N274" s="751">
        <v>5490</v>
      </c>
      <c r="O274" s="751">
        <v>5490</v>
      </c>
      <c r="P274" s="751">
        <v>0</v>
      </c>
      <c r="Q274" s="751">
        <v>0</v>
      </c>
      <c r="R274" s="751">
        <v>33476247</v>
      </c>
      <c r="S274" s="749">
        <v>0.5</v>
      </c>
      <c r="T274" s="749">
        <v>0.4</v>
      </c>
      <c r="U274" s="749">
        <v>0.09</v>
      </c>
      <c r="V274" s="749">
        <v>0.01</v>
      </c>
      <c r="W274" s="749">
        <v>1</v>
      </c>
      <c r="X274" s="751">
        <v>16738124</v>
      </c>
      <c r="Y274" s="751">
        <v>13390499</v>
      </c>
      <c r="Z274" s="751">
        <v>3012862</v>
      </c>
      <c r="AA274" s="751">
        <v>334762</v>
      </c>
      <c r="AB274" s="751">
        <v>33476247</v>
      </c>
      <c r="AC274" s="751">
        <v>0</v>
      </c>
      <c r="AD274" s="751">
        <v>0</v>
      </c>
      <c r="AE274" s="751">
        <v>16738124</v>
      </c>
      <c r="AF274" s="751">
        <v>13390499</v>
      </c>
      <c r="AG274" s="751">
        <v>3012862</v>
      </c>
      <c r="AH274" s="751">
        <v>334762</v>
      </c>
      <c r="AI274" s="751">
        <v>33476247</v>
      </c>
      <c r="AJ274" s="751">
        <v>197776</v>
      </c>
      <c r="AK274" s="751">
        <v>197776</v>
      </c>
      <c r="AL274" s="751">
        <v>0</v>
      </c>
      <c r="AM274" s="751">
        <v>0</v>
      </c>
      <c r="AN274" s="751">
        <v>5490</v>
      </c>
      <c r="AO274" s="751">
        <v>0</v>
      </c>
      <c r="AP274" s="751">
        <v>5490</v>
      </c>
      <c r="AQ274" s="751">
        <v>0</v>
      </c>
      <c r="AR274" s="751">
        <v>0</v>
      </c>
      <c r="AS274" s="751">
        <v>0</v>
      </c>
      <c r="AT274" s="751">
        <v>0</v>
      </c>
      <c r="AU274" s="751">
        <v>0</v>
      </c>
      <c r="AV274" s="751">
        <v>0</v>
      </c>
      <c r="AW274" s="751">
        <v>0</v>
      </c>
      <c r="AX274" s="751">
        <v>0</v>
      </c>
      <c r="AY274" s="751">
        <v>0</v>
      </c>
      <c r="AZ274" s="751">
        <v>0</v>
      </c>
      <c r="BA274" s="751">
        <v>0</v>
      </c>
      <c r="BB274" s="751">
        <v>0</v>
      </c>
      <c r="BC274" s="751">
        <v>-11249545</v>
      </c>
      <c r="BD274" s="751">
        <v>-8999636</v>
      </c>
      <c r="BE274" s="751">
        <v>-2024918</v>
      </c>
      <c r="BF274" s="751">
        <v>-224991</v>
      </c>
      <c r="BG274" s="751">
        <v>-22499091</v>
      </c>
      <c r="BH274" s="751">
        <v>5488579</v>
      </c>
      <c r="BI274" s="751">
        <v>4594129</v>
      </c>
      <c r="BJ274" s="751">
        <v>987944</v>
      </c>
      <c r="BK274" s="751">
        <v>109771</v>
      </c>
      <c r="BL274" s="751">
        <v>11180422</v>
      </c>
      <c r="BM274" s="751">
        <v>697987</v>
      </c>
      <c r="BN274" s="751">
        <v>156983</v>
      </c>
      <c r="BO274" s="751">
        <v>17443</v>
      </c>
      <c r="BP274" s="751">
        <v>872413</v>
      </c>
      <c r="BQ274" s="751">
        <v>1975784</v>
      </c>
      <c r="BR274" s="751">
        <v>444551</v>
      </c>
      <c r="BS274" s="751">
        <v>49395</v>
      </c>
      <c r="BT274" s="751">
        <v>2469730</v>
      </c>
      <c r="BU274" s="751">
        <v>60164</v>
      </c>
      <c r="BV274" s="751">
        <v>13537</v>
      </c>
      <c r="BW274" s="751">
        <v>1504</v>
      </c>
      <c r="BX274" s="751">
        <v>75205</v>
      </c>
      <c r="BY274" s="751">
        <v>1378</v>
      </c>
      <c r="BZ274" s="751">
        <v>310</v>
      </c>
      <c r="CA274" s="751">
        <v>34</v>
      </c>
      <c r="CB274" s="751">
        <v>1722</v>
      </c>
      <c r="CC274" s="751">
        <v>1789</v>
      </c>
      <c r="CD274" s="751">
        <v>402</v>
      </c>
      <c r="CE274" s="751">
        <v>45</v>
      </c>
      <c r="CF274" s="751">
        <v>2236</v>
      </c>
      <c r="CG274" s="751">
        <v>13796</v>
      </c>
      <c r="CH274" s="751">
        <v>3104</v>
      </c>
      <c r="CI274" s="751">
        <v>345</v>
      </c>
      <c r="CJ274" s="751">
        <v>17245</v>
      </c>
      <c r="CK274" s="751">
        <v>0</v>
      </c>
      <c r="CL274" s="751">
        <v>0</v>
      </c>
      <c r="CM274" s="751">
        <v>0</v>
      </c>
      <c r="CN274" s="751">
        <v>0</v>
      </c>
      <c r="CO274" s="751">
        <v>0</v>
      </c>
      <c r="CP274" s="751">
        <v>0</v>
      </c>
      <c r="CQ274" s="751">
        <v>0</v>
      </c>
      <c r="CR274" s="751">
        <v>0</v>
      </c>
      <c r="CS274" s="751">
        <v>631</v>
      </c>
      <c r="CT274" s="751">
        <v>142</v>
      </c>
      <c r="CU274" s="751">
        <v>16</v>
      </c>
      <c r="CV274" s="751">
        <v>789</v>
      </c>
      <c r="CW274" s="751">
        <v>2751529</v>
      </c>
      <c r="CX274" s="751">
        <v>619029</v>
      </c>
      <c r="CY274" s="751">
        <v>68782</v>
      </c>
      <c r="CZ274" s="751">
        <v>3439340</v>
      </c>
      <c r="DA274" s="662" t="s">
        <v>403</v>
      </c>
      <c r="DB274" s="324" t="s">
        <v>543</v>
      </c>
      <c r="DC274" s="663" t="s">
        <v>542</v>
      </c>
      <c r="DD274" s="529" t="s">
        <v>1480</v>
      </c>
    </row>
    <row r="275" spans="1:108" ht="12.75" x14ac:dyDescent="0.2">
      <c r="A275" s="664">
        <v>268</v>
      </c>
      <c r="B275" s="665" t="s">
        <v>406</v>
      </c>
      <c r="C275" s="666" t="s">
        <v>1201</v>
      </c>
      <c r="D275" s="667" t="s">
        <v>1211</v>
      </c>
      <c r="E275" s="668" t="s">
        <v>405</v>
      </c>
      <c r="F275" s="750">
        <v>29613365</v>
      </c>
      <c r="G275" s="751">
        <v>66643</v>
      </c>
      <c r="H275" s="751">
        <v>0</v>
      </c>
      <c r="I275" s="751">
        <v>94034</v>
      </c>
      <c r="J275" s="751">
        <v>0</v>
      </c>
      <c r="K275" s="751">
        <v>94034</v>
      </c>
      <c r="L275" s="751">
        <v>0</v>
      </c>
      <c r="M275" s="751">
        <v>0</v>
      </c>
      <c r="N275" s="751">
        <v>0</v>
      </c>
      <c r="O275" s="751">
        <v>0</v>
      </c>
      <c r="P275" s="751">
        <v>0</v>
      </c>
      <c r="Q275" s="751">
        <v>0</v>
      </c>
      <c r="R275" s="751">
        <v>29585974</v>
      </c>
      <c r="S275" s="749">
        <v>0.5</v>
      </c>
      <c r="T275" s="749">
        <v>0.4</v>
      </c>
      <c r="U275" s="749">
        <v>0.1</v>
      </c>
      <c r="V275" s="749">
        <v>0</v>
      </c>
      <c r="W275" s="749">
        <v>1</v>
      </c>
      <c r="X275" s="751">
        <v>14792987</v>
      </c>
      <c r="Y275" s="751">
        <v>11834390</v>
      </c>
      <c r="Z275" s="751">
        <v>2958597</v>
      </c>
      <c r="AA275" s="751">
        <v>0</v>
      </c>
      <c r="AB275" s="751">
        <v>29585974</v>
      </c>
      <c r="AC275" s="751">
        <v>0</v>
      </c>
      <c r="AD275" s="751">
        <v>0</v>
      </c>
      <c r="AE275" s="751">
        <v>14792987</v>
      </c>
      <c r="AF275" s="751">
        <v>11834390</v>
      </c>
      <c r="AG275" s="751">
        <v>2958597</v>
      </c>
      <c r="AH275" s="751">
        <v>0</v>
      </c>
      <c r="AI275" s="751">
        <v>29585974</v>
      </c>
      <c r="AJ275" s="751">
        <v>94034</v>
      </c>
      <c r="AK275" s="751">
        <v>94034</v>
      </c>
      <c r="AL275" s="751">
        <v>0</v>
      </c>
      <c r="AM275" s="751">
        <v>0</v>
      </c>
      <c r="AN275" s="751">
        <v>0</v>
      </c>
      <c r="AO275" s="751">
        <v>0</v>
      </c>
      <c r="AP275" s="751">
        <v>0</v>
      </c>
      <c r="AQ275" s="751">
        <v>0</v>
      </c>
      <c r="AR275" s="751">
        <v>0</v>
      </c>
      <c r="AS275" s="751">
        <v>0</v>
      </c>
      <c r="AT275" s="751">
        <v>0</v>
      </c>
      <c r="AU275" s="751">
        <v>0</v>
      </c>
      <c r="AV275" s="751">
        <v>0</v>
      </c>
      <c r="AW275" s="751">
        <v>0</v>
      </c>
      <c r="AX275" s="751">
        <v>0</v>
      </c>
      <c r="AY275" s="751">
        <v>0</v>
      </c>
      <c r="AZ275" s="751">
        <v>0</v>
      </c>
      <c r="BA275" s="751">
        <v>0</v>
      </c>
      <c r="BB275" s="751">
        <v>0</v>
      </c>
      <c r="BC275" s="751">
        <v>-3727753</v>
      </c>
      <c r="BD275" s="751">
        <v>-3036728</v>
      </c>
      <c r="BE275" s="751">
        <v>-872777</v>
      </c>
      <c r="BF275" s="751">
        <v>0</v>
      </c>
      <c r="BG275" s="751">
        <v>-7637259</v>
      </c>
      <c r="BH275" s="751">
        <v>11065234</v>
      </c>
      <c r="BI275" s="751">
        <v>8891696</v>
      </c>
      <c r="BJ275" s="751">
        <v>2085820</v>
      </c>
      <c r="BK275" s="751">
        <v>0</v>
      </c>
      <c r="BL275" s="751">
        <v>22042749</v>
      </c>
      <c r="BM275" s="751">
        <v>616622</v>
      </c>
      <c r="BN275" s="751">
        <v>154155</v>
      </c>
      <c r="BO275" s="751">
        <v>0</v>
      </c>
      <c r="BP275" s="751">
        <v>770777</v>
      </c>
      <c r="BQ275" s="751">
        <v>647769</v>
      </c>
      <c r="BR275" s="751">
        <v>161942</v>
      </c>
      <c r="BS275" s="751">
        <v>0</v>
      </c>
      <c r="BT275" s="751">
        <v>809711</v>
      </c>
      <c r="BU275" s="751">
        <v>62830</v>
      </c>
      <c r="BV275" s="751">
        <v>15708</v>
      </c>
      <c r="BW275" s="751">
        <v>0</v>
      </c>
      <c r="BX275" s="751">
        <v>78538</v>
      </c>
      <c r="BY275" s="751">
        <v>1680</v>
      </c>
      <c r="BZ275" s="751">
        <v>420</v>
      </c>
      <c r="CA275" s="751">
        <v>0</v>
      </c>
      <c r="CB275" s="751">
        <v>2100</v>
      </c>
      <c r="CC275" s="751">
        <v>0</v>
      </c>
      <c r="CD275" s="751">
        <v>0</v>
      </c>
      <c r="CE275" s="751">
        <v>0</v>
      </c>
      <c r="CF275" s="751">
        <v>0</v>
      </c>
      <c r="CG275" s="751">
        <v>8012</v>
      </c>
      <c r="CH275" s="751">
        <v>2003</v>
      </c>
      <c r="CI275" s="751">
        <v>0</v>
      </c>
      <c r="CJ275" s="751">
        <v>10015</v>
      </c>
      <c r="CK275" s="751">
        <v>0</v>
      </c>
      <c r="CL275" s="751">
        <v>0</v>
      </c>
      <c r="CM275" s="751">
        <v>0</v>
      </c>
      <c r="CN275" s="751">
        <v>0</v>
      </c>
      <c r="CO275" s="751">
        <v>0</v>
      </c>
      <c r="CP275" s="751">
        <v>0</v>
      </c>
      <c r="CQ275" s="751">
        <v>0</v>
      </c>
      <c r="CR275" s="751">
        <v>0</v>
      </c>
      <c r="CS275" s="751">
        <v>0</v>
      </c>
      <c r="CT275" s="751">
        <v>0</v>
      </c>
      <c r="CU275" s="751">
        <v>0</v>
      </c>
      <c r="CV275" s="751">
        <v>0</v>
      </c>
      <c r="CW275" s="751">
        <v>1336913</v>
      </c>
      <c r="CX275" s="751">
        <v>334228</v>
      </c>
      <c r="CY275" s="751">
        <v>0</v>
      </c>
      <c r="CZ275" s="751">
        <v>1671141</v>
      </c>
      <c r="DA275" s="662" t="s">
        <v>405</v>
      </c>
      <c r="DB275" s="324" t="s">
        <v>536</v>
      </c>
      <c r="DC275" s="663" t="s">
        <v>512</v>
      </c>
      <c r="DD275" s="529" t="s">
        <v>1481</v>
      </c>
    </row>
    <row r="276" spans="1:108" ht="14.25" x14ac:dyDescent="0.2">
      <c r="A276" s="664">
        <v>269</v>
      </c>
      <c r="B276" s="665" t="s">
        <v>407</v>
      </c>
      <c r="C276" s="666" t="s">
        <v>486</v>
      </c>
      <c r="D276" s="667" t="s">
        <v>1211</v>
      </c>
      <c r="E276" s="668" t="s">
        <v>1924</v>
      </c>
      <c r="F276" s="750">
        <v>122643991</v>
      </c>
      <c r="G276" s="751">
        <v>0</v>
      </c>
      <c r="H276" s="751">
        <v>1109683</v>
      </c>
      <c r="I276" s="751">
        <v>228486</v>
      </c>
      <c r="J276" s="751">
        <v>0</v>
      </c>
      <c r="K276" s="751">
        <v>228486</v>
      </c>
      <c r="L276" s="751">
        <v>0</v>
      </c>
      <c r="M276" s="751">
        <v>0</v>
      </c>
      <c r="N276" s="751">
        <v>0</v>
      </c>
      <c r="O276" s="751">
        <v>0</v>
      </c>
      <c r="P276" s="751">
        <v>0</v>
      </c>
      <c r="Q276" s="751">
        <v>0</v>
      </c>
      <c r="R276" s="751">
        <v>121305822</v>
      </c>
      <c r="S276" s="749">
        <v>0.5</v>
      </c>
      <c r="T276" s="749">
        <v>0.49</v>
      </c>
      <c r="U276" s="749">
        <v>0</v>
      </c>
      <c r="V276" s="749">
        <v>0.01</v>
      </c>
      <c r="W276" s="749">
        <v>1</v>
      </c>
      <c r="X276" s="751">
        <v>60652911</v>
      </c>
      <c r="Y276" s="751">
        <v>59439853</v>
      </c>
      <c r="Z276" s="751">
        <v>0</v>
      </c>
      <c r="AA276" s="751">
        <v>1213058</v>
      </c>
      <c r="AB276" s="751">
        <v>121305822</v>
      </c>
      <c r="AC276" s="751">
        <v>0</v>
      </c>
      <c r="AD276" s="751">
        <v>0</v>
      </c>
      <c r="AE276" s="751">
        <v>60652911</v>
      </c>
      <c r="AF276" s="751">
        <v>59439853</v>
      </c>
      <c r="AG276" s="751">
        <v>0</v>
      </c>
      <c r="AH276" s="751">
        <v>1213058</v>
      </c>
      <c r="AI276" s="751">
        <v>121305822</v>
      </c>
      <c r="AJ276" s="751">
        <v>228486</v>
      </c>
      <c r="AK276" s="751">
        <v>228486</v>
      </c>
      <c r="AL276" s="751">
        <v>0</v>
      </c>
      <c r="AM276" s="751">
        <v>0</v>
      </c>
      <c r="AN276" s="751">
        <v>0</v>
      </c>
      <c r="AO276" s="751">
        <v>0</v>
      </c>
      <c r="AP276" s="751">
        <v>0</v>
      </c>
      <c r="AQ276" s="751">
        <v>0</v>
      </c>
      <c r="AR276" s="751">
        <v>0</v>
      </c>
      <c r="AS276" s="751">
        <v>0</v>
      </c>
      <c r="AT276" s="751">
        <v>0</v>
      </c>
      <c r="AU276" s="751">
        <v>0</v>
      </c>
      <c r="AV276" s="751">
        <v>0</v>
      </c>
      <c r="AW276" s="751">
        <v>0</v>
      </c>
      <c r="AX276" s="751">
        <v>0</v>
      </c>
      <c r="AY276" s="751">
        <v>0</v>
      </c>
      <c r="AZ276" s="751">
        <v>0</v>
      </c>
      <c r="BA276" s="751">
        <v>0</v>
      </c>
      <c r="BB276" s="751">
        <v>0</v>
      </c>
      <c r="BC276" s="751">
        <v>-25567994</v>
      </c>
      <c r="BD276" s="751">
        <v>-25056634</v>
      </c>
      <c r="BE276" s="751">
        <v>0</v>
      </c>
      <c r="BF276" s="751">
        <v>-511360</v>
      </c>
      <c r="BG276" s="751">
        <v>-51135987</v>
      </c>
      <c r="BH276" s="751">
        <v>35084918</v>
      </c>
      <c r="BI276" s="751">
        <v>34611705</v>
      </c>
      <c r="BJ276" s="751">
        <v>0</v>
      </c>
      <c r="BK276" s="751">
        <v>701698</v>
      </c>
      <c r="BL276" s="751">
        <v>70398321</v>
      </c>
      <c r="BM276" s="751">
        <v>3097066</v>
      </c>
      <c r="BN276" s="751">
        <v>0</v>
      </c>
      <c r="BO276" s="751">
        <v>63205</v>
      </c>
      <c r="BP276" s="751">
        <v>3160271</v>
      </c>
      <c r="BQ276" s="751">
        <v>1558400</v>
      </c>
      <c r="BR276" s="751">
        <v>0</v>
      </c>
      <c r="BS276" s="751">
        <v>31804</v>
      </c>
      <c r="BT276" s="751">
        <v>1590204</v>
      </c>
      <c r="BU276" s="751">
        <v>118964</v>
      </c>
      <c r="BV276" s="751">
        <v>0</v>
      </c>
      <c r="BW276" s="751">
        <v>2428</v>
      </c>
      <c r="BX276" s="751">
        <v>121392</v>
      </c>
      <c r="BY276" s="751">
        <v>7991</v>
      </c>
      <c r="BZ276" s="751">
        <v>0</v>
      </c>
      <c r="CA276" s="751">
        <v>163</v>
      </c>
      <c r="CB276" s="751">
        <v>8154</v>
      </c>
      <c r="CC276" s="751">
        <v>0</v>
      </c>
      <c r="CD276" s="751">
        <v>0</v>
      </c>
      <c r="CE276" s="751">
        <v>0</v>
      </c>
      <c r="CF276" s="751">
        <v>0</v>
      </c>
      <c r="CG276" s="751">
        <v>1779</v>
      </c>
      <c r="CH276" s="751">
        <v>0</v>
      </c>
      <c r="CI276" s="751">
        <v>36</v>
      </c>
      <c r="CJ276" s="751">
        <v>1815</v>
      </c>
      <c r="CK276" s="751">
        <v>0</v>
      </c>
      <c r="CL276" s="751">
        <v>0</v>
      </c>
      <c r="CM276" s="751">
        <v>0</v>
      </c>
      <c r="CN276" s="751">
        <v>0</v>
      </c>
      <c r="CO276" s="751">
        <v>0</v>
      </c>
      <c r="CP276" s="751">
        <v>0</v>
      </c>
      <c r="CQ276" s="751">
        <v>0</v>
      </c>
      <c r="CR276" s="751">
        <v>0</v>
      </c>
      <c r="CS276" s="751">
        <v>0</v>
      </c>
      <c r="CT276" s="751">
        <v>0</v>
      </c>
      <c r="CU276" s="751">
        <v>0</v>
      </c>
      <c r="CV276" s="751">
        <v>0</v>
      </c>
      <c r="CW276" s="751">
        <v>4784200</v>
      </c>
      <c r="CX276" s="751">
        <v>0</v>
      </c>
      <c r="CY276" s="751">
        <v>97636</v>
      </c>
      <c r="CZ276" s="751">
        <v>4881836</v>
      </c>
      <c r="DA276" s="662" t="s">
        <v>527</v>
      </c>
      <c r="DB276" s="324" t="s">
        <v>486</v>
      </c>
      <c r="DC276" s="663" t="s">
        <v>1923</v>
      </c>
      <c r="DD276" s="529" t="s">
        <v>1482</v>
      </c>
    </row>
    <row r="277" spans="1:108" ht="12.75" x14ac:dyDescent="0.2">
      <c r="A277" s="664">
        <v>270</v>
      </c>
      <c r="B277" s="665" t="s">
        <v>409</v>
      </c>
      <c r="C277" s="666" t="s">
        <v>1201</v>
      </c>
      <c r="D277" s="667" t="s">
        <v>1202</v>
      </c>
      <c r="E277" s="668" t="s">
        <v>408</v>
      </c>
      <c r="F277" s="750">
        <v>56068231</v>
      </c>
      <c r="G277" s="751">
        <v>83821</v>
      </c>
      <c r="H277" s="751">
        <v>0</v>
      </c>
      <c r="I277" s="751">
        <v>156394</v>
      </c>
      <c r="J277" s="751">
        <v>0</v>
      </c>
      <c r="K277" s="751">
        <v>156394</v>
      </c>
      <c r="L277" s="751">
        <v>0</v>
      </c>
      <c r="M277" s="751">
        <v>0</v>
      </c>
      <c r="N277" s="751">
        <v>0</v>
      </c>
      <c r="O277" s="751">
        <v>0</v>
      </c>
      <c r="P277" s="751">
        <v>0</v>
      </c>
      <c r="Q277" s="751">
        <v>0</v>
      </c>
      <c r="R277" s="751">
        <v>55995658</v>
      </c>
      <c r="S277" s="749">
        <v>0.5</v>
      </c>
      <c r="T277" s="749">
        <v>0.4</v>
      </c>
      <c r="U277" s="749">
        <v>0.09</v>
      </c>
      <c r="V277" s="749">
        <v>0.01</v>
      </c>
      <c r="W277" s="749">
        <v>1</v>
      </c>
      <c r="X277" s="751">
        <v>27997829</v>
      </c>
      <c r="Y277" s="751">
        <v>22398263</v>
      </c>
      <c r="Z277" s="751">
        <v>5039609</v>
      </c>
      <c r="AA277" s="751">
        <v>559957</v>
      </c>
      <c r="AB277" s="751">
        <v>55995658</v>
      </c>
      <c r="AC277" s="751">
        <v>0</v>
      </c>
      <c r="AD277" s="751">
        <v>0</v>
      </c>
      <c r="AE277" s="751">
        <v>27997829</v>
      </c>
      <c r="AF277" s="751">
        <v>22398263</v>
      </c>
      <c r="AG277" s="751">
        <v>5039609</v>
      </c>
      <c r="AH277" s="751">
        <v>559957</v>
      </c>
      <c r="AI277" s="751">
        <v>55995658</v>
      </c>
      <c r="AJ277" s="751">
        <v>156394</v>
      </c>
      <c r="AK277" s="751">
        <v>156394</v>
      </c>
      <c r="AL277" s="751">
        <v>0</v>
      </c>
      <c r="AM277" s="751">
        <v>0</v>
      </c>
      <c r="AN277" s="751">
        <v>0</v>
      </c>
      <c r="AO277" s="751">
        <v>0</v>
      </c>
      <c r="AP277" s="751">
        <v>0</v>
      </c>
      <c r="AQ277" s="751">
        <v>0</v>
      </c>
      <c r="AR277" s="751">
        <v>0</v>
      </c>
      <c r="AS277" s="751">
        <v>0</v>
      </c>
      <c r="AT277" s="751">
        <v>0</v>
      </c>
      <c r="AU277" s="751">
        <v>0</v>
      </c>
      <c r="AV277" s="751">
        <v>0</v>
      </c>
      <c r="AW277" s="751">
        <v>0</v>
      </c>
      <c r="AX277" s="751">
        <v>0</v>
      </c>
      <c r="AY277" s="751">
        <v>0</v>
      </c>
      <c r="AZ277" s="751">
        <v>0</v>
      </c>
      <c r="BA277" s="751">
        <v>0</v>
      </c>
      <c r="BB277" s="751">
        <v>0</v>
      </c>
      <c r="BC277" s="751">
        <v>-10556202</v>
      </c>
      <c r="BD277" s="751">
        <v>-8444962</v>
      </c>
      <c r="BE277" s="751">
        <v>-1900116</v>
      </c>
      <c r="BF277" s="751">
        <v>-211124</v>
      </c>
      <c r="BG277" s="751">
        <v>-21112404</v>
      </c>
      <c r="BH277" s="751">
        <v>17441627</v>
      </c>
      <c r="BI277" s="751">
        <v>14109695</v>
      </c>
      <c r="BJ277" s="751">
        <v>3139493</v>
      </c>
      <c r="BK277" s="751">
        <v>348833</v>
      </c>
      <c r="BL277" s="751">
        <v>35039648</v>
      </c>
      <c r="BM277" s="751">
        <v>1167044</v>
      </c>
      <c r="BN277" s="751">
        <v>262585</v>
      </c>
      <c r="BO277" s="751">
        <v>29176</v>
      </c>
      <c r="BP277" s="751">
        <v>1458805</v>
      </c>
      <c r="BQ277" s="751">
        <v>995100</v>
      </c>
      <c r="BR277" s="751">
        <v>223897</v>
      </c>
      <c r="BS277" s="751">
        <v>24877</v>
      </c>
      <c r="BT277" s="751">
        <v>1243874</v>
      </c>
      <c r="BU277" s="751">
        <v>96911</v>
      </c>
      <c r="BV277" s="751">
        <v>21805</v>
      </c>
      <c r="BW277" s="751">
        <v>2423</v>
      </c>
      <c r="BX277" s="751">
        <v>121139</v>
      </c>
      <c r="BY277" s="751">
        <v>0</v>
      </c>
      <c r="BZ277" s="751">
        <v>0</v>
      </c>
      <c r="CA277" s="751">
        <v>0</v>
      </c>
      <c r="CB277" s="751">
        <v>0</v>
      </c>
      <c r="CC277" s="751">
        <v>0</v>
      </c>
      <c r="CD277" s="751">
        <v>0</v>
      </c>
      <c r="CE277" s="751">
        <v>0</v>
      </c>
      <c r="CF277" s="751">
        <v>0</v>
      </c>
      <c r="CG277" s="751">
        <v>9500</v>
      </c>
      <c r="CH277" s="751">
        <v>2138</v>
      </c>
      <c r="CI277" s="751">
        <v>238</v>
      </c>
      <c r="CJ277" s="751">
        <v>11876</v>
      </c>
      <c r="CK277" s="751">
        <v>0</v>
      </c>
      <c r="CL277" s="751">
        <v>0</v>
      </c>
      <c r="CM277" s="751">
        <v>0</v>
      </c>
      <c r="CN277" s="751">
        <v>0</v>
      </c>
      <c r="CO277" s="751">
        <v>0</v>
      </c>
      <c r="CP277" s="751">
        <v>0</v>
      </c>
      <c r="CQ277" s="751">
        <v>0</v>
      </c>
      <c r="CR277" s="751">
        <v>0</v>
      </c>
      <c r="CS277" s="751">
        <v>0</v>
      </c>
      <c r="CT277" s="751">
        <v>0</v>
      </c>
      <c r="CU277" s="751">
        <v>0</v>
      </c>
      <c r="CV277" s="751">
        <v>0</v>
      </c>
      <c r="CW277" s="751">
        <v>2268555</v>
      </c>
      <c r="CX277" s="751">
        <v>510425</v>
      </c>
      <c r="CY277" s="751">
        <v>56714</v>
      </c>
      <c r="CZ277" s="751">
        <v>2835694</v>
      </c>
      <c r="DA277" s="662" t="s">
        <v>408</v>
      </c>
      <c r="DB277" s="324" t="s">
        <v>543</v>
      </c>
      <c r="DC277" s="663" t="s">
        <v>542</v>
      </c>
      <c r="DD277" s="529" t="s">
        <v>1483</v>
      </c>
    </row>
    <row r="278" spans="1:108" ht="12.75" x14ac:dyDescent="0.2">
      <c r="A278" s="664">
        <v>271</v>
      </c>
      <c r="B278" s="665" t="s">
        <v>410</v>
      </c>
      <c r="C278" s="666" t="s">
        <v>486</v>
      </c>
      <c r="D278" s="667" t="s">
        <v>1224</v>
      </c>
      <c r="E278" s="668" t="s">
        <v>520</v>
      </c>
      <c r="F278" s="750">
        <v>32214594</v>
      </c>
      <c r="G278" s="751">
        <v>0</v>
      </c>
      <c r="H278" s="751">
        <v>638980</v>
      </c>
      <c r="I278" s="751">
        <v>198176</v>
      </c>
      <c r="J278" s="751">
        <v>0</v>
      </c>
      <c r="K278" s="751">
        <v>198176</v>
      </c>
      <c r="L278" s="751">
        <v>0</v>
      </c>
      <c r="M278" s="751">
        <v>0</v>
      </c>
      <c r="N278" s="751">
        <v>0</v>
      </c>
      <c r="O278" s="751">
        <v>0</v>
      </c>
      <c r="P278" s="751">
        <v>0</v>
      </c>
      <c r="Q278" s="751">
        <v>0</v>
      </c>
      <c r="R278" s="751">
        <v>31377438</v>
      </c>
      <c r="S278" s="749">
        <v>0.5</v>
      </c>
      <c r="T278" s="749">
        <v>0.49</v>
      </c>
      <c r="U278" s="749">
        <v>0</v>
      </c>
      <c r="V278" s="749">
        <v>0.01</v>
      </c>
      <c r="W278" s="749">
        <v>1</v>
      </c>
      <c r="X278" s="751">
        <v>15688719</v>
      </c>
      <c r="Y278" s="751">
        <v>15374945</v>
      </c>
      <c r="Z278" s="751">
        <v>0</v>
      </c>
      <c r="AA278" s="751">
        <v>313774</v>
      </c>
      <c r="AB278" s="751">
        <v>31377438</v>
      </c>
      <c r="AC278" s="751">
        <v>0</v>
      </c>
      <c r="AD278" s="751">
        <v>0</v>
      </c>
      <c r="AE278" s="751">
        <v>15688719</v>
      </c>
      <c r="AF278" s="751">
        <v>15374945</v>
      </c>
      <c r="AG278" s="751">
        <v>0</v>
      </c>
      <c r="AH278" s="751">
        <v>313774</v>
      </c>
      <c r="AI278" s="751">
        <v>31377438</v>
      </c>
      <c r="AJ278" s="751">
        <v>198176</v>
      </c>
      <c r="AK278" s="751">
        <v>198176</v>
      </c>
      <c r="AL278" s="751">
        <v>0</v>
      </c>
      <c r="AM278" s="751">
        <v>0</v>
      </c>
      <c r="AN278" s="751">
        <v>0</v>
      </c>
      <c r="AO278" s="751">
        <v>0</v>
      </c>
      <c r="AP278" s="751">
        <v>0</v>
      </c>
      <c r="AQ278" s="751">
        <v>0</v>
      </c>
      <c r="AR278" s="751">
        <v>0</v>
      </c>
      <c r="AS278" s="751">
        <v>0</v>
      </c>
      <c r="AT278" s="751">
        <v>0</v>
      </c>
      <c r="AU278" s="751">
        <v>0</v>
      </c>
      <c r="AV278" s="751">
        <v>0</v>
      </c>
      <c r="AW278" s="751">
        <v>0</v>
      </c>
      <c r="AX278" s="751">
        <v>0</v>
      </c>
      <c r="AY278" s="751">
        <v>0</v>
      </c>
      <c r="AZ278" s="751">
        <v>0</v>
      </c>
      <c r="BA278" s="751">
        <v>0</v>
      </c>
      <c r="BB278" s="751">
        <v>0</v>
      </c>
      <c r="BC278" s="751">
        <v>-11758681</v>
      </c>
      <c r="BD278" s="751">
        <v>-11523507</v>
      </c>
      <c r="BE278" s="751">
        <v>0</v>
      </c>
      <c r="BF278" s="751">
        <v>-235174</v>
      </c>
      <c r="BG278" s="751">
        <v>-23517362</v>
      </c>
      <c r="BH278" s="751">
        <v>3930038</v>
      </c>
      <c r="BI278" s="751">
        <v>4049614</v>
      </c>
      <c r="BJ278" s="751">
        <v>0</v>
      </c>
      <c r="BK278" s="751">
        <v>78600</v>
      </c>
      <c r="BL278" s="751">
        <v>8058252</v>
      </c>
      <c r="BM278" s="751">
        <v>801099</v>
      </c>
      <c r="BN278" s="751">
        <v>0</v>
      </c>
      <c r="BO278" s="751">
        <v>16349</v>
      </c>
      <c r="BP278" s="751">
        <v>817448</v>
      </c>
      <c r="BQ278" s="751">
        <v>2489899</v>
      </c>
      <c r="BR278" s="751">
        <v>0</v>
      </c>
      <c r="BS278" s="751">
        <v>50814</v>
      </c>
      <c r="BT278" s="751">
        <v>2540713</v>
      </c>
      <c r="BU278" s="751">
        <v>98014</v>
      </c>
      <c r="BV278" s="751">
        <v>0</v>
      </c>
      <c r="BW278" s="751">
        <v>2000</v>
      </c>
      <c r="BX278" s="751">
        <v>100014</v>
      </c>
      <c r="BY278" s="751">
        <v>17368</v>
      </c>
      <c r="BZ278" s="751">
        <v>0</v>
      </c>
      <c r="CA278" s="751">
        <v>354</v>
      </c>
      <c r="CB278" s="751">
        <v>17722</v>
      </c>
      <c r="CC278" s="751">
        <v>0</v>
      </c>
      <c r="CD278" s="751">
        <v>0</v>
      </c>
      <c r="CE278" s="751">
        <v>0</v>
      </c>
      <c r="CF278" s="751">
        <v>0</v>
      </c>
      <c r="CG278" s="751">
        <v>3253</v>
      </c>
      <c r="CH278" s="751">
        <v>0</v>
      </c>
      <c r="CI278" s="751">
        <v>66</v>
      </c>
      <c r="CJ278" s="751">
        <v>3319</v>
      </c>
      <c r="CK278" s="751">
        <v>0</v>
      </c>
      <c r="CL278" s="751">
        <v>0</v>
      </c>
      <c r="CM278" s="751">
        <v>0</v>
      </c>
      <c r="CN278" s="751">
        <v>0</v>
      </c>
      <c r="CO278" s="751">
        <v>0</v>
      </c>
      <c r="CP278" s="751">
        <v>0</v>
      </c>
      <c r="CQ278" s="751">
        <v>0</v>
      </c>
      <c r="CR278" s="751">
        <v>0</v>
      </c>
      <c r="CS278" s="751">
        <v>0</v>
      </c>
      <c r="CT278" s="751">
        <v>0</v>
      </c>
      <c r="CU278" s="751">
        <v>0</v>
      </c>
      <c r="CV278" s="751">
        <v>0</v>
      </c>
      <c r="CW278" s="751">
        <v>3409633</v>
      </c>
      <c r="CX278" s="751">
        <v>0</v>
      </c>
      <c r="CY278" s="751">
        <v>69583</v>
      </c>
      <c r="CZ278" s="751">
        <v>3479216</v>
      </c>
      <c r="DA278" s="662" t="s">
        <v>520</v>
      </c>
      <c r="DB278" s="324" t="s">
        <v>486</v>
      </c>
      <c r="DC278" s="663" t="s">
        <v>519</v>
      </c>
      <c r="DD278" s="529" t="s">
        <v>1484</v>
      </c>
    </row>
    <row r="279" spans="1:108" ht="12.75" x14ac:dyDescent="0.2">
      <c r="A279" s="664">
        <v>272</v>
      </c>
      <c r="B279" s="665" t="s">
        <v>412</v>
      </c>
      <c r="C279" s="666" t="s">
        <v>1201</v>
      </c>
      <c r="D279" s="667" t="s">
        <v>1224</v>
      </c>
      <c r="E279" s="668" t="s">
        <v>411</v>
      </c>
      <c r="F279" s="750">
        <v>12518709</v>
      </c>
      <c r="G279" s="751">
        <v>60819</v>
      </c>
      <c r="H279" s="751">
        <v>0</v>
      </c>
      <c r="I279" s="751">
        <v>136556</v>
      </c>
      <c r="J279" s="751">
        <v>0</v>
      </c>
      <c r="K279" s="751">
        <v>136556</v>
      </c>
      <c r="L279" s="751">
        <v>0</v>
      </c>
      <c r="M279" s="751">
        <v>0</v>
      </c>
      <c r="N279" s="751">
        <v>570395</v>
      </c>
      <c r="O279" s="751">
        <v>570395</v>
      </c>
      <c r="P279" s="751">
        <v>0</v>
      </c>
      <c r="Q279" s="751">
        <v>0</v>
      </c>
      <c r="R279" s="751">
        <v>11872577</v>
      </c>
      <c r="S279" s="749">
        <v>0.5</v>
      </c>
      <c r="T279" s="749">
        <v>0.4</v>
      </c>
      <c r="U279" s="749">
        <v>0.09</v>
      </c>
      <c r="V279" s="749">
        <v>0.01</v>
      </c>
      <c r="W279" s="749">
        <v>1</v>
      </c>
      <c r="X279" s="751">
        <v>5936288</v>
      </c>
      <c r="Y279" s="751">
        <v>4749031</v>
      </c>
      <c r="Z279" s="751">
        <v>1068532</v>
      </c>
      <c r="AA279" s="751">
        <v>118726</v>
      </c>
      <c r="AB279" s="751">
        <v>11872577</v>
      </c>
      <c r="AC279" s="751">
        <v>0</v>
      </c>
      <c r="AD279" s="751">
        <v>0</v>
      </c>
      <c r="AE279" s="751">
        <v>5936288</v>
      </c>
      <c r="AF279" s="751">
        <v>4749031</v>
      </c>
      <c r="AG279" s="751">
        <v>1068532</v>
      </c>
      <c r="AH279" s="751">
        <v>118726</v>
      </c>
      <c r="AI279" s="751">
        <v>11872577</v>
      </c>
      <c r="AJ279" s="751">
        <v>136556</v>
      </c>
      <c r="AK279" s="751">
        <v>136556</v>
      </c>
      <c r="AL279" s="751">
        <v>0</v>
      </c>
      <c r="AM279" s="751">
        <v>0</v>
      </c>
      <c r="AN279" s="751">
        <v>570395</v>
      </c>
      <c r="AO279" s="751">
        <v>0</v>
      </c>
      <c r="AP279" s="751">
        <v>570395</v>
      </c>
      <c r="AQ279" s="751">
        <v>0</v>
      </c>
      <c r="AR279" s="751">
        <v>0</v>
      </c>
      <c r="AS279" s="751">
        <v>0</v>
      </c>
      <c r="AT279" s="751">
        <v>0</v>
      </c>
      <c r="AU279" s="751">
        <v>0</v>
      </c>
      <c r="AV279" s="751">
        <v>0</v>
      </c>
      <c r="AW279" s="751">
        <v>0</v>
      </c>
      <c r="AX279" s="751">
        <v>0</v>
      </c>
      <c r="AY279" s="751">
        <v>0</v>
      </c>
      <c r="AZ279" s="751">
        <v>0</v>
      </c>
      <c r="BA279" s="751">
        <v>0</v>
      </c>
      <c r="BB279" s="751">
        <v>0</v>
      </c>
      <c r="BC279" s="751">
        <v>-3734801</v>
      </c>
      <c r="BD279" s="751">
        <v>-2987841</v>
      </c>
      <c r="BE279" s="751">
        <v>-672264</v>
      </c>
      <c r="BF279" s="751">
        <v>-74696</v>
      </c>
      <c r="BG279" s="751">
        <v>-7469603</v>
      </c>
      <c r="BH279" s="751">
        <v>2201487</v>
      </c>
      <c r="BI279" s="751">
        <v>2468141</v>
      </c>
      <c r="BJ279" s="751">
        <v>396268</v>
      </c>
      <c r="BK279" s="751">
        <v>44030</v>
      </c>
      <c r="BL279" s="751">
        <v>5109925</v>
      </c>
      <c r="BM279" s="751">
        <v>277164</v>
      </c>
      <c r="BN279" s="751">
        <v>55675</v>
      </c>
      <c r="BO279" s="751">
        <v>6186</v>
      </c>
      <c r="BP279" s="751">
        <v>339025</v>
      </c>
      <c r="BQ279" s="751">
        <v>1365348</v>
      </c>
      <c r="BR279" s="751">
        <v>307203</v>
      </c>
      <c r="BS279" s="751">
        <v>34134</v>
      </c>
      <c r="BT279" s="751">
        <v>1706685</v>
      </c>
      <c r="BU279" s="751">
        <v>36073</v>
      </c>
      <c r="BV279" s="751">
        <v>8116</v>
      </c>
      <c r="BW279" s="751">
        <v>902</v>
      </c>
      <c r="BX279" s="751">
        <v>45091</v>
      </c>
      <c r="BY279" s="751">
        <v>508</v>
      </c>
      <c r="BZ279" s="751">
        <v>114</v>
      </c>
      <c r="CA279" s="751">
        <v>13</v>
      </c>
      <c r="CB279" s="751">
        <v>635</v>
      </c>
      <c r="CC279" s="751">
        <v>21046</v>
      </c>
      <c r="CD279" s="751">
        <v>4735</v>
      </c>
      <c r="CE279" s="751">
        <v>526</v>
      </c>
      <c r="CF279" s="751">
        <v>26307</v>
      </c>
      <c r="CG279" s="751">
        <v>18984</v>
      </c>
      <c r="CH279" s="751">
        <v>4271</v>
      </c>
      <c r="CI279" s="751">
        <v>475</v>
      </c>
      <c r="CJ279" s="751">
        <v>23730</v>
      </c>
      <c r="CK279" s="751">
        <v>0</v>
      </c>
      <c r="CL279" s="751">
        <v>0</v>
      </c>
      <c r="CM279" s="751">
        <v>0</v>
      </c>
      <c r="CN279" s="751">
        <v>0</v>
      </c>
      <c r="CO279" s="751">
        <v>0</v>
      </c>
      <c r="CP279" s="751">
        <v>0</v>
      </c>
      <c r="CQ279" s="751">
        <v>0</v>
      </c>
      <c r="CR279" s="751">
        <v>0</v>
      </c>
      <c r="CS279" s="751">
        <v>0</v>
      </c>
      <c r="CT279" s="751">
        <v>0</v>
      </c>
      <c r="CU279" s="751">
        <v>0</v>
      </c>
      <c r="CV279" s="751">
        <v>0</v>
      </c>
      <c r="CW279" s="751">
        <v>1719123</v>
      </c>
      <c r="CX279" s="751">
        <v>380114</v>
      </c>
      <c r="CY279" s="751">
        <v>42236</v>
      </c>
      <c r="CZ279" s="751">
        <v>2141473</v>
      </c>
      <c r="DA279" s="662" t="s">
        <v>411</v>
      </c>
      <c r="DB279" s="324" t="s">
        <v>521</v>
      </c>
      <c r="DC279" s="663" t="s">
        <v>519</v>
      </c>
      <c r="DD279" s="529" t="s">
        <v>1485</v>
      </c>
    </row>
    <row r="280" spans="1:108" ht="12.75" x14ac:dyDescent="0.2">
      <c r="A280" s="664">
        <v>273</v>
      </c>
      <c r="B280" s="665" t="s">
        <v>414</v>
      </c>
      <c r="C280" s="666" t="s">
        <v>1257</v>
      </c>
      <c r="D280" s="667" t="s">
        <v>1214</v>
      </c>
      <c r="E280" s="668" t="s">
        <v>413</v>
      </c>
      <c r="F280" s="750">
        <v>449709775</v>
      </c>
      <c r="G280" s="751">
        <v>3433677</v>
      </c>
      <c r="H280" s="751">
        <v>0</v>
      </c>
      <c r="I280" s="751">
        <v>1048962</v>
      </c>
      <c r="J280" s="751">
        <v>0</v>
      </c>
      <c r="K280" s="751">
        <v>1048962</v>
      </c>
      <c r="L280" s="751">
        <v>0</v>
      </c>
      <c r="M280" s="751">
        <v>0</v>
      </c>
      <c r="N280" s="751">
        <v>0</v>
      </c>
      <c r="O280" s="751">
        <v>0</v>
      </c>
      <c r="P280" s="751">
        <v>0</v>
      </c>
      <c r="Q280" s="751">
        <v>0</v>
      </c>
      <c r="R280" s="751">
        <v>452094490</v>
      </c>
      <c r="S280" s="749">
        <v>0.33</v>
      </c>
      <c r="T280" s="749">
        <v>0.3</v>
      </c>
      <c r="U280" s="749">
        <v>0.37</v>
      </c>
      <c r="V280" s="749">
        <v>0</v>
      </c>
      <c r="W280" s="749">
        <v>1</v>
      </c>
      <c r="X280" s="751">
        <v>149191182</v>
      </c>
      <c r="Y280" s="751">
        <v>135628347</v>
      </c>
      <c r="Z280" s="751">
        <v>167274961</v>
      </c>
      <c r="AA280" s="751">
        <v>0</v>
      </c>
      <c r="AB280" s="751">
        <v>452094490</v>
      </c>
      <c r="AC280" s="751">
        <v>0</v>
      </c>
      <c r="AD280" s="751">
        <v>0</v>
      </c>
      <c r="AE280" s="751">
        <v>149191182</v>
      </c>
      <c r="AF280" s="751">
        <v>135628347</v>
      </c>
      <c r="AG280" s="751">
        <v>167274961</v>
      </c>
      <c r="AH280" s="751">
        <v>0</v>
      </c>
      <c r="AI280" s="751">
        <v>452094490</v>
      </c>
      <c r="AJ280" s="751">
        <v>1048962</v>
      </c>
      <c r="AK280" s="751">
        <v>1048962</v>
      </c>
      <c r="AL280" s="751">
        <v>0</v>
      </c>
      <c r="AM280" s="751">
        <v>0</v>
      </c>
      <c r="AN280" s="751">
        <v>0</v>
      </c>
      <c r="AO280" s="751">
        <v>0</v>
      </c>
      <c r="AP280" s="751">
        <v>0</v>
      </c>
      <c r="AQ280" s="751">
        <v>0</v>
      </c>
      <c r="AR280" s="751">
        <v>0</v>
      </c>
      <c r="AS280" s="751">
        <v>0</v>
      </c>
      <c r="AT280" s="751">
        <v>0</v>
      </c>
      <c r="AU280" s="751">
        <v>0</v>
      </c>
      <c r="AV280" s="751">
        <v>0</v>
      </c>
      <c r="AW280" s="751">
        <v>0</v>
      </c>
      <c r="AX280" s="751">
        <v>0</v>
      </c>
      <c r="AY280" s="751">
        <v>0</v>
      </c>
      <c r="AZ280" s="751">
        <v>0</v>
      </c>
      <c r="BA280" s="751">
        <v>0</v>
      </c>
      <c r="BB280" s="751">
        <v>0</v>
      </c>
      <c r="BC280" s="751">
        <v>-37514992</v>
      </c>
      <c r="BD280" s="751">
        <v>-36523358</v>
      </c>
      <c r="BE280" s="751">
        <v>-41963654</v>
      </c>
      <c r="BF280" s="751">
        <v>0</v>
      </c>
      <c r="BG280" s="751">
        <v>-116002004</v>
      </c>
      <c r="BH280" s="751">
        <v>111676190</v>
      </c>
      <c r="BI280" s="751">
        <v>100153951</v>
      </c>
      <c r="BJ280" s="751">
        <v>125311307</v>
      </c>
      <c r="BK280" s="751">
        <v>0</v>
      </c>
      <c r="BL280" s="751">
        <v>337141448</v>
      </c>
      <c r="BM280" s="751">
        <v>7066808</v>
      </c>
      <c r="BN280" s="751">
        <v>8715729</v>
      </c>
      <c r="BO280" s="751">
        <v>0</v>
      </c>
      <c r="BP280" s="751">
        <v>15782537</v>
      </c>
      <c r="BQ280" s="751">
        <v>2835360</v>
      </c>
      <c r="BR280" s="751">
        <v>3496943</v>
      </c>
      <c r="BS280" s="751">
        <v>0</v>
      </c>
      <c r="BT280" s="751">
        <v>6332303</v>
      </c>
      <c r="BU280" s="751">
        <v>211097</v>
      </c>
      <c r="BV280" s="751">
        <v>260353</v>
      </c>
      <c r="BW280" s="751">
        <v>0</v>
      </c>
      <c r="BX280" s="751">
        <v>471450</v>
      </c>
      <c r="BY280" s="751">
        <v>0</v>
      </c>
      <c r="BZ280" s="751">
        <v>0</v>
      </c>
      <c r="CA280" s="751">
        <v>0</v>
      </c>
      <c r="CB280" s="751">
        <v>0</v>
      </c>
      <c r="CC280" s="751">
        <v>0</v>
      </c>
      <c r="CD280" s="751">
        <v>0</v>
      </c>
      <c r="CE280" s="751">
        <v>0</v>
      </c>
      <c r="CF280" s="751">
        <v>0</v>
      </c>
      <c r="CG280" s="751">
        <v>136098</v>
      </c>
      <c r="CH280" s="751">
        <v>167855</v>
      </c>
      <c r="CI280" s="751">
        <v>0</v>
      </c>
      <c r="CJ280" s="751">
        <v>303953</v>
      </c>
      <c r="CK280" s="751">
        <v>0</v>
      </c>
      <c r="CL280" s="751">
        <v>0</v>
      </c>
      <c r="CM280" s="751">
        <v>0</v>
      </c>
      <c r="CN280" s="751">
        <v>0</v>
      </c>
      <c r="CO280" s="751">
        <v>0</v>
      </c>
      <c r="CP280" s="751">
        <v>0</v>
      </c>
      <c r="CQ280" s="751">
        <v>0</v>
      </c>
      <c r="CR280" s="751">
        <v>0</v>
      </c>
      <c r="CS280" s="751">
        <v>0</v>
      </c>
      <c r="CT280" s="751">
        <v>0</v>
      </c>
      <c r="CU280" s="751">
        <v>0</v>
      </c>
      <c r="CV280" s="751">
        <v>0</v>
      </c>
      <c r="CW280" s="751">
        <v>10249363</v>
      </c>
      <c r="CX280" s="751">
        <v>12640880</v>
      </c>
      <c r="CY280" s="751">
        <v>0</v>
      </c>
      <c r="CZ280" s="751">
        <v>22890243</v>
      </c>
      <c r="DA280" s="662" t="s">
        <v>413</v>
      </c>
      <c r="DB280" s="324" t="s">
        <v>576</v>
      </c>
      <c r="DC280" s="669" t="s">
        <v>485</v>
      </c>
      <c r="DD280" s="529" t="s">
        <v>1486</v>
      </c>
    </row>
    <row r="281" spans="1:108" ht="12.75" x14ac:dyDescent="0.2">
      <c r="A281" s="664">
        <v>274</v>
      </c>
      <c r="B281" s="665" t="s">
        <v>416</v>
      </c>
      <c r="C281" s="666" t="s">
        <v>1217</v>
      </c>
      <c r="D281" s="667" t="s">
        <v>1204</v>
      </c>
      <c r="E281" s="668" t="s">
        <v>415</v>
      </c>
      <c r="F281" s="750">
        <v>153854065</v>
      </c>
      <c r="G281" s="751">
        <v>0</v>
      </c>
      <c r="H281" s="751">
        <v>244432</v>
      </c>
      <c r="I281" s="751">
        <v>454603</v>
      </c>
      <c r="J281" s="751">
        <v>0</v>
      </c>
      <c r="K281" s="751">
        <v>454603</v>
      </c>
      <c r="L281" s="751">
        <v>0</v>
      </c>
      <c r="M281" s="751">
        <v>0</v>
      </c>
      <c r="N281" s="751">
        <v>82944</v>
      </c>
      <c r="O281" s="751">
        <v>82944</v>
      </c>
      <c r="P281" s="751">
        <v>0</v>
      </c>
      <c r="Q281" s="751">
        <v>0</v>
      </c>
      <c r="R281" s="751">
        <v>153072086</v>
      </c>
      <c r="S281" s="749">
        <v>0</v>
      </c>
      <c r="T281" s="749">
        <v>0.99</v>
      </c>
      <c r="U281" s="749">
        <v>0</v>
      </c>
      <c r="V281" s="749">
        <v>0.01</v>
      </c>
      <c r="W281" s="749">
        <v>1</v>
      </c>
      <c r="X281" s="751">
        <v>0</v>
      </c>
      <c r="Y281" s="751">
        <v>151541365</v>
      </c>
      <c r="Z281" s="751">
        <v>0</v>
      </c>
      <c r="AA281" s="751">
        <v>1530721</v>
      </c>
      <c r="AB281" s="751">
        <v>153072086</v>
      </c>
      <c r="AC281" s="751">
        <v>0</v>
      </c>
      <c r="AD281" s="751">
        <v>0</v>
      </c>
      <c r="AE281" s="751">
        <v>0</v>
      </c>
      <c r="AF281" s="751">
        <v>151541365</v>
      </c>
      <c r="AG281" s="751">
        <v>0</v>
      </c>
      <c r="AH281" s="751">
        <v>1530721</v>
      </c>
      <c r="AI281" s="751">
        <v>153072086</v>
      </c>
      <c r="AJ281" s="751">
        <v>454603</v>
      </c>
      <c r="AK281" s="751">
        <v>454603</v>
      </c>
      <c r="AL281" s="751">
        <v>0</v>
      </c>
      <c r="AM281" s="751">
        <v>0</v>
      </c>
      <c r="AN281" s="751">
        <v>82944</v>
      </c>
      <c r="AO281" s="751">
        <v>0</v>
      </c>
      <c r="AP281" s="751">
        <v>82944</v>
      </c>
      <c r="AQ281" s="751">
        <v>0</v>
      </c>
      <c r="AR281" s="751">
        <v>0</v>
      </c>
      <c r="AS281" s="751">
        <v>0</v>
      </c>
      <c r="AT281" s="751">
        <v>0</v>
      </c>
      <c r="AU281" s="751">
        <v>0</v>
      </c>
      <c r="AV281" s="751">
        <v>0</v>
      </c>
      <c r="AW281" s="751">
        <v>0</v>
      </c>
      <c r="AX281" s="751">
        <v>0</v>
      </c>
      <c r="AY281" s="751">
        <v>0</v>
      </c>
      <c r="AZ281" s="751">
        <v>0</v>
      </c>
      <c r="BA281" s="751">
        <v>0</v>
      </c>
      <c r="BB281" s="751">
        <v>0</v>
      </c>
      <c r="BC281" s="751">
        <v>0</v>
      </c>
      <c r="BD281" s="751">
        <v>-85241911</v>
      </c>
      <c r="BE281" s="751">
        <v>0</v>
      </c>
      <c r="BF281" s="751">
        <v>-861029</v>
      </c>
      <c r="BG281" s="751">
        <v>-86102940</v>
      </c>
      <c r="BH281" s="751">
        <v>0</v>
      </c>
      <c r="BI281" s="751">
        <v>66837001</v>
      </c>
      <c r="BJ281" s="751">
        <v>0</v>
      </c>
      <c r="BK281" s="751">
        <v>669692</v>
      </c>
      <c r="BL281" s="751">
        <v>67506693</v>
      </c>
      <c r="BM281" s="751">
        <v>7900265</v>
      </c>
      <c r="BN281" s="751">
        <v>0</v>
      </c>
      <c r="BO281" s="751">
        <v>79757</v>
      </c>
      <c r="BP281" s="751">
        <v>7980022</v>
      </c>
      <c r="BQ281" s="751">
        <v>6509057</v>
      </c>
      <c r="BR281" s="751">
        <v>0</v>
      </c>
      <c r="BS281" s="751">
        <v>65748</v>
      </c>
      <c r="BT281" s="751">
        <v>6574805</v>
      </c>
      <c r="BU281" s="751">
        <v>503928</v>
      </c>
      <c r="BV281" s="751">
        <v>0</v>
      </c>
      <c r="BW281" s="751">
        <v>5090</v>
      </c>
      <c r="BX281" s="751">
        <v>509018</v>
      </c>
      <c r="BY281" s="751">
        <v>0</v>
      </c>
      <c r="BZ281" s="751">
        <v>0</v>
      </c>
      <c r="CA281" s="751">
        <v>0</v>
      </c>
      <c r="CB281" s="751">
        <v>0</v>
      </c>
      <c r="CC281" s="751">
        <v>0</v>
      </c>
      <c r="CD281" s="751">
        <v>0</v>
      </c>
      <c r="CE281" s="751">
        <v>0</v>
      </c>
      <c r="CF281" s="751">
        <v>0</v>
      </c>
      <c r="CG281" s="751">
        <v>16869</v>
      </c>
      <c r="CH281" s="751">
        <v>0</v>
      </c>
      <c r="CI281" s="751">
        <v>170</v>
      </c>
      <c r="CJ281" s="751">
        <v>17039</v>
      </c>
      <c r="CK281" s="751">
        <v>0</v>
      </c>
      <c r="CL281" s="751">
        <v>0</v>
      </c>
      <c r="CM281" s="751">
        <v>0</v>
      </c>
      <c r="CN281" s="751">
        <v>0</v>
      </c>
      <c r="CO281" s="751">
        <v>0</v>
      </c>
      <c r="CP281" s="751">
        <v>0</v>
      </c>
      <c r="CQ281" s="751">
        <v>0</v>
      </c>
      <c r="CR281" s="751">
        <v>0</v>
      </c>
      <c r="CS281" s="751">
        <v>0</v>
      </c>
      <c r="CT281" s="751">
        <v>0</v>
      </c>
      <c r="CU281" s="751">
        <v>0</v>
      </c>
      <c r="CV281" s="751">
        <v>0</v>
      </c>
      <c r="CW281" s="751">
        <v>14930119</v>
      </c>
      <c r="CX281" s="751">
        <v>0</v>
      </c>
      <c r="CY281" s="751">
        <v>150765</v>
      </c>
      <c r="CZ281" s="751">
        <v>15080884</v>
      </c>
      <c r="DA281" s="662" t="s">
        <v>415</v>
      </c>
      <c r="DB281" s="324" t="s">
        <v>570</v>
      </c>
      <c r="DC281" s="663" t="s">
        <v>1915</v>
      </c>
      <c r="DD281" s="529" t="s">
        <v>1487</v>
      </c>
    </row>
    <row r="282" spans="1:108" ht="12.75" x14ac:dyDescent="0.2">
      <c r="A282" s="664">
        <v>275</v>
      </c>
      <c r="B282" s="665" t="s">
        <v>418</v>
      </c>
      <c r="C282" s="666" t="s">
        <v>1201</v>
      </c>
      <c r="D282" s="667" t="s">
        <v>1202</v>
      </c>
      <c r="E282" s="668" t="s">
        <v>417</v>
      </c>
      <c r="F282" s="750">
        <v>49312457</v>
      </c>
      <c r="G282" s="751">
        <v>0</v>
      </c>
      <c r="H282" s="751">
        <v>91489</v>
      </c>
      <c r="I282" s="751">
        <v>167614</v>
      </c>
      <c r="J282" s="751">
        <v>0</v>
      </c>
      <c r="K282" s="751">
        <v>167614</v>
      </c>
      <c r="L282" s="751">
        <v>0</v>
      </c>
      <c r="M282" s="751">
        <v>0</v>
      </c>
      <c r="N282" s="751">
        <v>124396</v>
      </c>
      <c r="O282" s="751">
        <v>124396</v>
      </c>
      <c r="P282" s="751">
        <v>0</v>
      </c>
      <c r="Q282" s="751">
        <v>0</v>
      </c>
      <c r="R282" s="751">
        <v>48928958</v>
      </c>
      <c r="S282" s="749">
        <v>0.5</v>
      </c>
      <c r="T282" s="749">
        <v>0.4</v>
      </c>
      <c r="U282" s="749">
        <v>0.09</v>
      </c>
      <c r="V282" s="749">
        <v>0.01</v>
      </c>
      <c r="W282" s="749">
        <v>1</v>
      </c>
      <c r="X282" s="751">
        <v>24464479</v>
      </c>
      <c r="Y282" s="751">
        <v>19571583</v>
      </c>
      <c r="Z282" s="751">
        <v>4403606</v>
      </c>
      <c r="AA282" s="751">
        <v>489290</v>
      </c>
      <c r="AB282" s="751">
        <v>48928958</v>
      </c>
      <c r="AC282" s="751">
        <v>0</v>
      </c>
      <c r="AD282" s="751">
        <v>0</v>
      </c>
      <c r="AE282" s="751">
        <v>24464479</v>
      </c>
      <c r="AF282" s="751">
        <v>19571583</v>
      </c>
      <c r="AG282" s="751">
        <v>4403606</v>
      </c>
      <c r="AH282" s="751">
        <v>489290</v>
      </c>
      <c r="AI282" s="751">
        <v>48928958</v>
      </c>
      <c r="AJ282" s="751">
        <v>167614</v>
      </c>
      <c r="AK282" s="751">
        <v>167614</v>
      </c>
      <c r="AL282" s="751">
        <v>0</v>
      </c>
      <c r="AM282" s="751">
        <v>0</v>
      </c>
      <c r="AN282" s="751">
        <v>124396</v>
      </c>
      <c r="AO282" s="751">
        <v>0</v>
      </c>
      <c r="AP282" s="751">
        <v>124396</v>
      </c>
      <c r="AQ282" s="751">
        <v>0</v>
      </c>
      <c r="AR282" s="751">
        <v>0</v>
      </c>
      <c r="AS282" s="751">
        <v>0</v>
      </c>
      <c r="AT282" s="751">
        <v>0</v>
      </c>
      <c r="AU282" s="751">
        <v>0</v>
      </c>
      <c r="AV282" s="751">
        <v>0</v>
      </c>
      <c r="AW282" s="751">
        <v>0</v>
      </c>
      <c r="AX282" s="751">
        <v>0</v>
      </c>
      <c r="AY282" s="751">
        <v>0</v>
      </c>
      <c r="AZ282" s="751">
        <v>0</v>
      </c>
      <c r="BA282" s="751">
        <v>0</v>
      </c>
      <c r="BB282" s="751">
        <v>0</v>
      </c>
      <c r="BC282" s="751">
        <v>-15913689</v>
      </c>
      <c r="BD282" s="751">
        <v>-12730951</v>
      </c>
      <c r="BE282" s="751">
        <v>-2864464</v>
      </c>
      <c r="BF282" s="751">
        <v>-318274</v>
      </c>
      <c r="BG282" s="751">
        <v>-31827377</v>
      </c>
      <c r="BH282" s="751">
        <v>8550790</v>
      </c>
      <c r="BI282" s="751">
        <v>7132642</v>
      </c>
      <c r="BJ282" s="751">
        <v>1539142</v>
      </c>
      <c r="BK282" s="751">
        <v>171016</v>
      </c>
      <c r="BL282" s="751">
        <v>17393591</v>
      </c>
      <c r="BM282" s="751">
        <v>1026243</v>
      </c>
      <c r="BN282" s="751">
        <v>229446</v>
      </c>
      <c r="BO282" s="751">
        <v>25494</v>
      </c>
      <c r="BP282" s="751">
        <v>1281183</v>
      </c>
      <c r="BQ282" s="751">
        <v>1301886</v>
      </c>
      <c r="BR282" s="751">
        <v>292924</v>
      </c>
      <c r="BS282" s="751">
        <v>32547</v>
      </c>
      <c r="BT282" s="751">
        <v>1627357</v>
      </c>
      <c r="BU282" s="751">
        <v>111818</v>
      </c>
      <c r="BV282" s="751">
        <v>25159</v>
      </c>
      <c r="BW282" s="751">
        <v>2795</v>
      </c>
      <c r="BX282" s="751">
        <v>139772</v>
      </c>
      <c r="BY282" s="751">
        <v>1307</v>
      </c>
      <c r="BZ282" s="751">
        <v>294</v>
      </c>
      <c r="CA282" s="751">
        <v>33</v>
      </c>
      <c r="CB282" s="751">
        <v>1634</v>
      </c>
      <c r="CC282" s="751">
        <v>0</v>
      </c>
      <c r="CD282" s="751">
        <v>0</v>
      </c>
      <c r="CE282" s="751">
        <v>0</v>
      </c>
      <c r="CF282" s="751">
        <v>0</v>
      </c>
      <c r="CG282" s="751">
        <v>10876</v>
      </c>
      <c r="CH282" s="751">
        <v>2447</v>
      </c>
      <c r="CI282" s="751">
        <v>272</v>
      </c>
      <c r="CJ282" s="751">
        <v>13595</v>
      </c>
      <c r="CK282" s="751">
        <v>0</v>
      </c>
      <c r="CL282" s="751">
        <v>0</v>
      </c>
      <c r="CM282" s="751">
        <v>0</v>
      </c>
      <c r="CN282" s="751">
        <v>0</v>
      </c>
      <c r="CO282" s="751">
        <v>0</v>
      </c>
      <c r="CP282" s="751">
        <v>0</v>
      </c>
      <c r="CQ282" s="751">
        <v>0</v>
      </c>
      <c r="CR282" s="751">
        <v>0</v>
      </c>
      <c r="CS282" s="751">
        <v>631</v>
      </c>
      <c r="CT282" s="751">
        <v>142</v>
      </c>
      <c r="CU282" s="751">
        <v>16</v>
      </c>
      <c r="CV282" s="751">
        <v>789</v>
      </c>
      <c r="CW282" s="751">
        <v>2452761</v>
      </c>
      <c r="CX282" s="751">
        <v>550412</v>
      </c>
      <c r="CY282" s="751">
        <v>61157</v>
      </c>
      <c r="CZ282" s="751">
        <v>3064330</v>
      </c>
      <c r="DA282" s="662" t="s">
        <v>417</v>
      </c>
      <c r="DB282" s="324" t="s">
        <v>543</v>
      </c>
      <c r="DC282" s="663" t="s">
        <v>542</v>
      </c>
      <c r="DD282" s="529" t="s">
        <v>1488</v>
      </c>
    </row>
    <row r="283" spans="1:108" ht="12.75" x14ac:dyDescent="0.2">
      <c r="A283" s="664">
        <v>276</v>
      </c>
      <c r="B283" s="665" t="s">
        <v>420</v>
      </c>
      <c r="C283" s="666" t="s">
        <v>1201</v>
      </c>
      <c r="D283" s="667" t="s">
        <v>1211</v>
      </c>
      <c r="E283" s="668" t="s">
        <v>419</v>
      </c>
      <c r="F283" s="750">
        <v>41587526</v>
      </c>
      <c r="G283" s="751">
        <v>73098</v>
      </c>
      <c r="H283" s="751">
        <v>0</v>
      </c>
      <c r="I283" s="751">
        <v>139657</v>
      </c>
      <c r="J283" s="751">
        <v>0</v>
      </c>
      <c r="K283" s="751">
        <v>139657</v>
      </c>
      <c r="L283" s="751">
        <v>0</v>
      </c>
      <c r="M283" s="751">
        <v>0</v>
      </c>
      <c r="N283" s="751">
        <v>107102</v>
      </c>
      <c r="O283" s="751">
        <v>107102</v>
      </c>
      <c r="P283" s="751">
        <v>0</v>
      </c>
      <c r="Q283" s="751">
        <v>0</v>
      </c>
      <c r="R283" s="751">
        <v>41413865</v>
      </c>
      <c r="S283" s="749">
        <v>0.5</v>
      </c>
      <c r="T283" s="749">
        <v>0.4</v>
      </c>
      <c r="U283" s="749">
        <v>0.09</v>
      </c>
      <c r="V283" s="749">
        <v>0.01</v>
      </c>
      <c r="W283" s="749">
        <v>1</v>
      </c>
      <c r="X283" s="751">
        <v>20706932</v>
      </c>
      <c r="Y283" s="751">
        <v>16565546</v>
      </c>
      <c r="Z283" s="751">
        <v>3727248</v>
      </c>
      <c r="AA283" s="751">
        <v>414139</v>
      </c>
      <c r="AB283" s="751">
        <v>41413865</v>
      </c>
      <c r="AC283" s="751">
        <v>0</v>
      </c>
      <c r="AD283" s="751">
        <v>0</v>
      </c>
      <c r="AE283" s="751">
        <v>20706932</v>
      </c>
      <c r="AF283" s="751">
        <v>16565546</v>
      </c>
      <c r="AG283" s="751">
        <v>3727248</v>
      </c>
      <c r="AH283" s="751">
        <v>414139</v>
      </c>
      <c r="AI283" s="751">
        <v>41413865</v>
      </c>
      <c r="AJ283" s="751">
        <v>139657</v>
      </c>
      <c r="AK283" s="751">
        <v>139657</v>
      </c>
      <c r="AL283" s="751">
        <v>0</v>
      </c>
      <c r="AM283" s="751">
        <v>0</v>
      </c>
      <c r="AN283" s="751">
        <v>107102</v>
      </c>
      <c r="AO283" s="751">
        <v>0</v>
      </c>
      <c r="AP283" s="751">
        <v>107102</v>
      </c>
      <c r="AQ283" s="751">
        <v>0</v>
      </c>
      <c r="AR283" s="751">
        <v>0</v>
      </c>
      <c r="AS283" s="751">
        <v>0</v>
      </c>
      <c r="AT283" s="751">
        <v>0</v>
      </c>
      <c r="AU283" s="751">
        <v>0</v>
      </c>
      <c r="AV283" s="751">
        <v>0</v>
      </c>
      <c r="AW283" s="751">
        <v>0</v>
      </c>
      <c r="AX283" s="751">
        <v>0</v>
      </c>
      <c r="AY283" s="751">
        <v>0</v>
      </c>
      <c r="AZ283" s="751">
        <v>0</v>
      </c>
      <c r="BA283" s="751">
        <v>0</v>
      </c>
      <c r="BB283" s="751">
        <v>0</v>
      </c>
      <c r="BC283" s="751">
        <v>-6046392</v>
      </c>
      <c r="BD283" s="751">
        <v>-4837114</v>
      </c>
      <c r="BE283" s="751">
        <v>-1088351</v>
      </c>
      <c r="BF283" s="751">
        <v>-120928</v>
      </c>
      <c r="BG283" s="751">
        <v>-12092784</v>
      </c>
      <c r="BH283" s="751">
        <v>14660540</v>
      </c>
      <c r="BI283" s="751">
        <v>11975191</v>
      </c>
      <c r="BJ283" s="751">
        <v>2638897</v>
      </c>
      <c r="BK283" s="751">
        <v>293211</v>
      </c>
      <c r="BL283" s="751">
        <v>29567840</v>
      </c>
      <c r="BM283" s="751">
        <v>868715</v>
      </c>
      <c r="BN283" s="751">
        <v>194205</v>
      </c>
      <c r="BO283" s="751">
        <v>21578</v>
      </c>
      <c r="BP283" s="751">
        <v>1084498</v>
      </c>
      <c r="BQ283" s="751">
        <v>1204169</v>
      </c>
      <c r="BR283" s="751">
        <v>270938</v>
      </c>
      <c r="BS283" s="751">
        <v>30104</v>
      </c>
      <c r="BT283" s="751">
        <v>1505211</v>
      </c>
      <c r="BU283" s="751">
        <v>72925</v>
      </c>
      <c r="BV283" s="751">
        <v>16408</v>
      </c>
      <c r="BW283" s="751">
        <v>1823</v>
      </c>
      <c r="BX283" s="751">
        <v>91156</v>
      </c>
      <c r="BY283" s="751">
        <v>1785</v>
      </c>
      <c r="BZ283" s="751">
        <v>402</v>
      </c>
      <c r="CA283" s="751">
        <v>45</v>
      </c>
      <c r="CB283" s="751">
        <v>2232</v>
      </c>
      <c r="CC283" s="751">
        <v>12724</v>
      </c>
      <c r="CD283" s="751">
        <v>2863</v>
      </c>
      <c r="CE283" s="751">
        <v>318</v>
      </c>
      <c r="CF283" s="751">
        <v>15905</v>
      </c>
      <c r="CG283" s="751">
        <v>60828</v>
      </c>
      <c r="CH283" s="751">
        <v>13686</v>
      </c>
      <c r="CI283" s="751">
        <v>1521</v>
      </c>
      <c r="CJ283" s="751">
        <v>76035</v>
      </c>
      <c r="CK283" s="751">
        <v>0</v>
      </c>
      <c r="CL283" s="751">
        <v>0</v>
      </c>
      <c r="CM283" s="751">
        <v>0</v>
      </c>
      <c r="CN283" s="751">
        <v>0</v>
      </c>
      <c r="CO283" s="751">
        <v>0</v>
      </c>
      <c r="CP283" s="751">
        <v>0</v>
      </c>
      <c r="CQ283" s="751">
        <v>0</v>
      </c>
      <c r="CR283" s="751">
        <v>0</v>
      </c>
      <c r="CS283" s="751">
        <v>0</v>
      </c>
      <c r="CT283" s="751">
        <v>0</v>
      </c>
      <c r="CU283" s="751">
        <v>0</v>
      </c>
      <c r="CV283" s="751">
        <v>0</v>
      </c>
      <c r="CW283" s="751">
        <v>2221146</v>
      </c>
      <c r="CX283" s="751">
        <v>498502</v>
      </c>
      <c r="CY283" s="751">
        <v>55389</v>
      </c>
      <c r="CZ283" s="751">
        <v>2775037</v>
      </c>
      <c r="DA283" s="662" t="s">
        <v>419</v>
      </c>
      <c r="DB283" s="324" t="s">
        <v>528</v>
      </c>
      <c r="DC283" s="663" t="s">
        <v>1913</v>
      </c>
      <c r="DD283" s="529" t="s">
        <v>1489</v>
      </c>
    </row>
    <row r="284" spans="1:108" ht="12.75" x14ac:dyDescent="0.2">
      <c r="A284" s="664">
        <v>277</v>
      </c>
      <c r="B284" s="665" t="s">
        <v>422</v>
      </c>
      <c r="C284" s="666" t="s">
        <v>1201</v>
      </c>
      <c r="D284" s="667" t="s">
        <v>1202</v>
      </c>
      <c r="E284" s="668" t="s">
        <v>421</v>
      </c>
      <c r="F284" s="750">
        <v>60929536</v>
      </c>
      <c r="G284" s="751">
        <v>0</v>
      </c>
      <c r="H284" s="751">
        <v>2144782</v>
      </c>
      <c r="I284" s="751">
        <v>170604</v>
      </c>
      <c r="J284" s="751">
        <v>0</v>
      </c>
      <c r="K284" s="751">
        <v>170604</v>
      </c>
      <c r="L284" s="751">
        <v>0</v>
      </c>
      <c r="M284" s="751">
        <v>2866298</v>
      </c>
      <c r="N284" s="751">
        <v>226304</v>
      </c>
      <c r="O284" s="751">
        <v>226304</v>
      </c>
      <c r="P284" s="751">
        <v>0</v>
      </c>
      <c r="Q284" s="751">
        <v>0</v>
      </c>
      <c r="R284" s="751">
        <v>55521548</v>
      </c>
      <c r="S284" s="749">
        <v>0.5</v>
      </c>
      <c r="T284" s="749">
        <v>0.4</v>
      </c>
      <c r="U284" s="749">
        <v>0.1</v>
      </c>
      <c r="V284" s="749">
        <v>0</v>
      </c>
      <c r="W284" s="749">
        <v>1</v>
      </c>
      <c r="X284" s="751">
        <v>27760774</v>
      </c>
      <c r="Y284" s="751">
        <v>22208619</v>
      </c>
      <c r="Z284" s="751">
        <v>5552155</v>
      </c>
      <c r="AA284" s="751">
        <v>0</v>
      </c>
      <c r="AB284" s="751">
        <v>55521548</v>
      </c>
      <c r="AC284" s="751">
        <v>653604</v>
      </c>
      <c r="AD284" s="751">
        <v>653604</v>
      </c>
      <c r="AE284" s="751">
        <v>27107170</v>
      </c>
      <c r="AF284" s="751">
        <v>22208619</v>
      </c>
      <c r="AG284" s="751">
        <v>5552155</v>
      </c>
      <c r="AH284" s="751">
        <v>0</v>
      </c>
      <c r="AI284" s="751">
        <v>54867944</v>
      </c>
      <c r="AJ284" s="751">
        <v>170604</v>
      </c>
      <c r="AK284" s="751">
        <v>170604</v>
      </c>
      <c r="AL284" s="751">
        <v>2866298</v>
      </c>
      <c r="AM284" s="751">
        <v>2866298</v>
      </c>
      <c r="AN284" s="751">
        <v>226304</v>
      </c>
      <c r="AO284" s="751">
        <v>0</v>
      </c>
      <c r="AP284" s="751">
        <v>226304</v>
      </c>
      <c r="AQ284" s="751">
        <v>0</v>
      </c>
      <c r="AR284" s="751">
        <v>0</v>
      </c>
      <c r="AS284" s="751">
        <v>0</v>
      </c>
      <c r="AT284" s="751">
        <v>0</v>
      </c>
      <c r="AU284" s="751">
        <v>653604</v>
      </c>
      <c r="AV284" s="751">
        <v>0</v>
      </c>
      <c r="AW284" s="751">
        <v>0</v>
      </c>
      <c r="AX284" s="751">
        <v>653604</v>
      </c>
      <c r="AY284" s="751">
        <v>0</v>
      </c>
      <c r="AZ284" s="751">
        <v>0</v>
      </c>
      <c r="BA284" s="751">
        <v>0</v>
      </c>
      <c r="BB284" s="751">
        <v>0</v>
      </c>
      <c r="BC284" s="751">
        <v>-9451681</v>
      </c>
      <c r="BD284" s="751">
        <v>-7561344</v>
      </c>
      <c r="BE284" s="751">
        <v>-1890336</v>
      </c>
      <c r="BF284" s="751">
        <v>0</v>
      </c>
      <c r="BG284" s="751">
        <v>-18903361</v>
      </c>
      <c r="BH284" s="751">
        <v>17655490</v>
      </c>
      <c r="BI284" s="751">
        <v>18564085</v>
      </c>
      <c r="BJ284" s="751">
        <v>3661819</v>
      </c>
      <c r="BK284" s="751">
        <v>0</v>
      </c>
      <c r="BL284" s="751">
        <v>39881393</v>
      </c>
      <c r="BM284" s="751">
        <v>1352356</v>
      </c>
      <c r="BN284" s="751">
        <v>289291</v>
      </c>
      <c r="BO284" s="751">
        <v>0</v>
      </c>
      <c r="BP284" s="751">
        <v>1641647</v>
      </c>
      <c r="BQ284" s="751">
        <v>805488</v>
      </c>
      <c r="BR284" s="751">
        <v>191228</v>
      </c>
      <c r="BS284" s="751">
        <v>0</v>
      </c>
      <c r="BT284" s="751">
        <v>996716</v>
      </c>
      <c r="BU284" s="751">
        <v>97033</v>
      </c>
      <c r="BV284" s="751">
        <v>22182</v>
      </c>
      <c r="BW284" s="751">
        <v>0</v>
      </c>
      <c r="BX284" s="751">
        <v>119215</v>
      </c>
      <c r="BY284" s="751">
        <v>0</v>
      </c>
      <c r="BZ284" s="751">
        <v>0</v>
      </c>
      <c r="CA284" s="751">
        <v>0</v>
      </c>
      <c r="CB284" s="751">
        <v>0</v>
      </c>
      <c r="CC284" s="751">
        <v>9206</v>
      </c>
      <c r="CD284" s="751">
        <v>2301</v>
      </c>
      <c r="CE284" s="751">
        <v>0</v>
      </c>
      <c r="CF284" s="751">
        <v>11507</v>
      </c>
      <c r="CG284" s="751">
        <v>11808</v>
      </c>
      <c r="CH284" s="751">
        <v>2952</v>
      </c>
      <c r="CI284" s="751">
        <v>0</v>
      </c>
      <c r="CJ284" s="751">
        <v>14760</v>
      </c>
      <c r="CK284" s="751">
        <v>0</v>
      </c>
      <c r="CL284" s="751">
        <v>0</v>
      </c>
      <c r="CM284" s="751">
        <v>0</v>
      </c>
      <c r="CN284" s="751">
        <v>0</v>
      </c>
      <c r="CO284" s="751">
        <v>0</v>
      </c>
      <c r="CP284" s="751">
        <v>0</v>
      </c>
      <c r="CQ284" s="751">
        <v>0</v>
      </c>
      <c r="CR284" s="751">
        <v>0</v>
      </c>
      <c r="CS284" s="751">
        <v>0</v>
      </c>
      <c r="CT284" s="751">
        <v>0</v>
      </c>
      <c r="CU284" s="751">
        <v>0</v>
      </c>
      <c r="CV284" s="751">
        <v>0</v>
      </c>
      <c r="CW284" s="751">
        <v>2275891</v>
      </c>
      <c r="CX284" s="751">
        <v>507954</v>
      </c>
      <c r="CY284" s="751">
        <v>0</v>
      </c>
      <c r="CZ284" s="751">
        <v>2783845</v>
      </c>
      <c r="DA284" s="662" t="s">
        <v>421</v>
      </c>
      <c r="DB284" s="324" t="s">
        <v>560</v>
      </c>
      <c r="DC284" s="663" t="s">
        <v>512</v>
      </c>
      <c r="DD284" s="529" t="s">
        <v>1490</v>
      </c>
    </row>
    <row r="285" spans="1:108" ht="12.75" x14ac:dyDescent="0.2">
      <c r="A285" s="664">
        <v>278</v>
      </c>
      <c r="B285" s="665" t="s">
        <v>424</v>
      </c>
      <c r="C285" s="666" t="s">
        <v>1217</v>
      </c>
      <c r="D285" s="667" t="s">
        <v>1218</v>
      </c>
      <c r="E285" s="668" t="s">
        <v>423</v>
      </c>
      <c r="F285" s="750">
        <v>137847157</v>
      </c>
      <c r="G285" s="751">
        <v>0</v>
      </c>
      <c r="H285" s="751">
        <v>366917</v>
      </c>
      <c r="I285" s="751">
        <v>458679</v>
      </c>
      <c r="J285" s="751">
        <v>0</v>
      </c>
      <c r="K285" s="751">
        <v>458679</v>
      </c>
      <c r="L285" s="751">
        <v>0</v>
      </c>
      <c r="M285" s="751">
        <v>20776</v>
      </c>
      <c r="N285" s="751">
        <v>1045649</v>
      </c>
      <c r="O285" s="751">
        <v>1045649</v>
      </c>
      <c r="P285" s="751">
        <v>0</v>
      </c>
      <c r="Q285" s="751">
        <v>0</v>
      </c>
      <c r="R285" s="751">
        <v>135955136</v>
      </c>
      <c r="S285" s="749">
        <v>0.5</v>
      </c>
      <c r="T285" s="749">
        <v>0.49</v>
      </c>
      <c r="U285" s="749">
        <v>0</v>
      </c>
      <c r="V285" s="749">
        <v>0.01</v>
      </c>
      <c r="W285" s="749">
        <v>1</v>
      </c>
      <c r="X285" s="751">
        <v>67977568</v>
      </c>
      <c r="Y285" s="751">
        <v>66618017</v>
      </c>
      <c r="Z285" s="751">
        <v>0</v>
      </c>
      <c r="AA285" s="751">
        <v>1359551</v>
      </c>
      <c r="AB285" s="751">
        <v>135955136</v>
      </c>
      <c r="AC285" s="751">
        <v>112040</v>
      </c>
      <c r="AD285" s="751">
        <v>112040</v>
      </c>
      <c r="AE285" s="751">
        <v>67865528</v>
      </c>
      <c r="AF285" s="751">
        <v>66618017</v>
      </c>
      <c r="AG285" s="751">
        <v>0</v>
      </c>
      <c r="AH285" s="751">
        <v>1359551</v>
      </c>
      <c r="AI285" s="751">
        <v>135843096</v>
      </c>
      <c r="AJ285" s="751">
        <v>458679</v>
      </c>
      <c r="AK285" s="751">
        <v>458679</v>
      </c>
      <c r="AL285" s="751">
        <v>20776</v>
      </c>
      <c r="AM285" s="751">
        <v>20776</v>
      </c>
      <c r="AN285" s="751">
        <v>1045649</v>
      </c>
      <c r="AO285" s="751">
        <v>0</v>
      </c>
      <c r="AP285" s="751">
        <v>1045649</v>
      </c>
      <c r="AQ285" s="751">
        <v>0</v>
      </c>
      <c r="AR285" s="751">
        <v>0</v>
      </c>
      <c r="AS285" s="751">
        <v>0</v>
      </c>
      <c r="AT285" s="751">
        <v>0</v>
      </c>
      <c r="AU285" s="751">
        <v>112040</v>
      </c>
      <c r="AV285" s="751">
        <v>0</v>
      </c>
      <c r="AW285" s="751">
        <v>0</v>
      </c>
      <c r="AX285" s="751">
        <v>112040</v>
      </c>
      <c r="AY285" s="751">
        <v>0</v>
      </c>
      <c r="AZ285" s="751">
        <v>0</v>
      </c>
      <c r="BA285" s="751">
        <v>0</v>
      </c>
      <c r="BB285" s="751">
        <v>0</v>
      </c>
      <c r="BC285" s="751">
        <v>-21243977</v>
      </c>
      <c r="BD285" s="751">
        <v>-18014606</v>
      </c>
      <c r="BE285" s="751">
        <v>0</v>
      </c>
      <c r="BF285" s="751">
        <v>-396551</v>
      </c>
      <c r="BG285" s="751">
        <v>-39655134</v>
      </c>
      <c r="BH285" s="751">
        <v>46621551</v>
      </c>
      <c r="BI285" s="751">
        <v>50240555</v>
      </c>
      <c r="BJ285" s="751">
        <v>0</v>
      </c>
      <c r="BK285" s="751">
        <v>963000</v>
      </c>
      <c r="BL285" s="751">
        <v>97825106</v>
      </c>
      <c r="BM285" s="751">
        <v>3532482</v>
      </c>
      <c r="BN285" s="751">
        <v>0</v>
      </c>
      <c r="BO285" s="751">
        <v>70838</v>
      </c>
      <c r="BP285" s="751">
        <v>3603320</v>
      </c>
      <c r="BQ285" s="751">
        <v>4993096</v>
      </c>
      <c r="BR285" s="751">
        <v>0</v>
      </c>
      <c r="BS285" s="751">
        <v>101900</v>
      </c>
      <c r="BT285" s="751">
        <v>5094996</v>
      </c>
      <c r="BU285" s="751">
        <v>299430</v>
      </c>
      <c r="BV285" s="751">
        <v>0</v>
      </c>
      <c r="BW285" s="751">
        <v>6102</v>
      </c>
      <c r="BX285" s="751">
        <v>305532</v>
      </c>
      <c r="BY285" s="751">
        <v>0</v>
      </c>
      <c r="BZ285" s="751">
        <v>0</v>
      </c>
      <c r="CA285" s="751">
        <v>0</v>
      </c>
      <c r="CB285" s="751">
        <v>0</v>
      </c>
      <c r="CC285" s="751">
        <v>0</v>
      </c>
      <c r="CD285" s="751">
        <v>0</v>
      </c>
      <c r="CE285" s="751">
        <v>0</v>
      </c>
      <c r="CF285" s="751">
        <v>0</v>
      </c>
      <c r="CG285" s="751">
        <v>41145</v>
      </c>
      <c r="CH285" s="751">
        <v>0</v>
      </c>
      <c r="CI285" s="751">
        <v>840</v>
      </c>
      <c r="CJ285" s="751">
        <v>41985</v>
      </c>
      <c r="CK285" s="751">
        <v>0</v>
      </c>
      <c r="CL285" s="751">
        <v>0</v>
      </c>
      <c r="CM285" s="751">
        <v>0</v>
      </c>
      <c r="CN285" s="751">
        <v>0</v>
      </c>
      <c r="CO285" s="751">
        <v>0</v>
      </c>
      <c r="CP285" s="751">
        <v>0</v>
      </c>
      <c r="CQ285" s="751">
        <v>0</v>
      </c>
      <c r="CR285" s="751">
        <v>0</v>
      </c>
      <c r="CS285" s="751">
        <v>0</v>
      </c>
      <c r="CT285" s="751">
        <v>0</v>
      </c>
      <c r="CU285" s="751">
        <v>0</v>
      </c>
      <c r="CV285" s="751">
        <v>0</v>
      </c>
      <c r="CW285" s="751">
        <v>8866153</v>
      </c>
      <c r="CX285" s="751">
        <v>0</v>
      </c>
      <c r="CY285" s="751">
        <v>179680</v>
      </c>
      <c r="CZ285" s="751">
        <v>9045833</v>
      </c>
      <c r="DA285" s="662" t="s">
        <v>423</v>
      </c>
      <c r="DB285" s="324" t="s">
        <v>570</v>
      </c>
      <c r="DC285" s="663" t="s">
        <v>575</v>
      </c>
      <c r="DD285" s="529" t="s">
        <v>1491</v>
      </c>
    </row>
    <row r="286" spans="1:108" ht="12.75" x14ac:dyDescent="0.2">
      <c r="A286" s="664">
        <v>279</v>
      </c>
      <c r="B286" s="665" t="s">
        <v>426</v>
      </c>
      <c r="C286" s="666" t="s">
        <v>1217</v>
      </c>
      <c r="D286" s="667" t="s">
        <v>1228</v>
      </c>
      <c r="E286" s="668" t="s">
        <v>425</v>
      </c>
      <c r="F286" s="750">
        <v>75818828</v>
      </c>
      <c r="G286" s="751">
        <v>0</v>
      </c>
      <c r="H286" s="751">
        <v>119051</v>
      </c>
      <c r="I286" s="751">
        <v>322605</v>
      </c>
      <c r="J286" s="751">
        <v>0</v>
      </c>
      <c r="K286" s="751">
        <v>322605</v>
      </c>
      <c r="L286" s="751">
        <v>0</v>
      </c>
      <c r="M286" s="751">
        <v>16761</v>
      </c>
      <c r="N286" s="751">
        <v>0</v>
      </c>
      <c r="O286" s="751">
        <v>0</v>
      </c>
      <c r="P286" s="751">
        <v>0</v>
      </c>
      <c r="Q286" s="751">
        <v>0</v>
      </c>
      <c r="R286" s="751">
        <v>75360411</v>
      </c>
      <c r="S286" s="749">
        <v>0</v>
      </c>
      <c r="T286" s="749">
        <v>0.99</v>
      </c>
      <c r="U286" s="749">
        <v>0</v>
      </c>
      <c r="V286" s="749">
        <v>0.01</v>
      </c>
      <c r="W286" s="749">
        <v>1</v>
      </c>
      <c r="X286" s="751">
        <v>0</v>
      </c>
      <c r="Y286" s="751">
        <v>74606807</v>
      </c>
      <c r="Z286" s="751">
        <v>0</v>
      </c>
      <c r="AA286" s="751">
        <v>753604</v>
      </c>
      <c r="AB286" s="751">
        <v>75360411</v>
      </c>
      <c r="AC286" s="751">
        <v>0</v>
      </c>
      <c r="AD286" s="751">
        <v>0</v>
      </c>
      <c r="AE286" s="751">
        <v>0</v>
      </c>
      <c r="AF286" s="751">
        <v>74606807</v>
      </c>
      <c r="AG286" s="751">
        <v>0</v>
      </c>
      <c r="AH286" s="751">
        <v>753604</v>
      </c>
      <c r="AI286" s="751">
        <v>75360411</v>
      </c>
      <c r="AJ286" s="751">
        <v>322605</v>
      </c>
      <c r="AK286" s="751">
        <v>322605</v>
      </c>
      <c r="AL286" s="751">
        <v>16761</v>
      </c>
      <c r="AM286" s="751">
        <v>16761</v>
      </c>
      <c r="AN286" s="751">
        <v>0</v>
      </c>
      <c r="AO286" s="751">
        <v>0</v>
      </c>
      <c r="AP286" s="751">
        <v>0</v>
      </c>
      <c r="AQ286" s="751">
        <v>0</v>
      </c>
      <c r="AR286" s="751">
        <v>0</v>
      </c>
      <c r="AS286" s="751">
        <v>0</v>
      </c>
      <c r="AT286" s="751">
        <v>0</v>
      </c>
      <c r="AU286" s="751">
        <v>0</v>
      </c>
      <c r="AV286" s="751">
        <v>0</v>
      </c>
      <c r="AW286" s="751">
        <v>0</v>
      </c>
      <c r="AX286" s="751">
        <v>0</v>
      </c>
      <c r="AY286" s="751">
        <v>0</v>
      </c>
      <c r="AZ286" s="751">
        <v>0</v>
      </c>
      <c r="BA286" s="751">
        <v>0</v>
      </c>
      <c r="BB286" s="751">
        <v>0</v>
      </c>
      <c r="BC286" s="751">
        <v>0</v>
      </c>
      <c r="BD286" s="751">
        <v>-28576232</v>
      </c>
      <c r="BE286" s="751">
        <v>0</v>
      </c>
      <c r="BF286" s="751">
        <v>-288649</v>
      </c>
      <c r="BG286" s="751">
        <v>-28864881</v>
      </c>
      <c r="BH286" s="751">
        <v>0</v>
      </c>
      <c r="BI286" s="751">
        <v>46369941</v>
      </c>
      <c r="BJ286" s="751">
        <v>0</v>
      </c>
      <c r="BK286" s="751">
        <v>464955</v>
      </c>
      <c r="BL286" s="751">
        <v>46834896</v>
      </c>
      <c r="BM286" s="751">
        <v>3888202</v>
      </c>
      <c r="BN286" s="751">
        <v>0</v>
      </c>
      <c r="BO286" s="751">
        <v>39266</v>
      </c>
      <c r="BP286" s="751">
        <v>3927468</v>
      </c>
      <c r="BQ286" s="751">
        <v>7378498</v>
      </c>
      <c r="BR286" s="751">
        <v>0</v>
      </c>
      <c r="BS286" s="751">
        <v>74519</v>
      </c>
      <c r="BT286" s="751">
        <v>7453017</v>
      </c>
      <c r="BU286" s="751">
        <v>330402</v>
      </c>
      <c r="BV286" s="751">
        <v>0</v>
      </c>
      <c r="BW286" s="751">
        <v>3327</v>
      </c>
      <c r="BX286" s="751">
        <v>333729</v>
      </c>
      <c r="BY286" s="751">
        <v>21601</v>
      </c>
      <c r="BZ286" s="751">
        <v>0</v>
      </c>
      <c r="CA286" s="751">
        <v>218</v>
      </c>
      <c r="CB286" s="751">
        <v>21819</v>
      </c>
      <c r="CC286" s="751">
        <v>0</v>
      </c>
      <c r="CD286" s="751">
        <v>0</v>
      </c>
      <c r="CE286" s="751">
        <v>0</v>
      </c>
      <c r="CF286" s="751">
        <v>0</v>
      </c>
      <c r="CG286" s="751">
        <v>21448</v>
      </c>
      <c r="CH286" s="751">
        <v>0</v>
      </c>
      <c r="CI286" s="751">
        <v>217</v>
      </c>
      <c r="CJ286" s="751">
        <v>21665</v>
      </c>
      <c r="CK286" s="751">
        <v>46032</v>
      </c>
      <c r="CL286" s="751">
        <v>0</v>
      </c>
      <c r="CM286" s="751">
        <v>0</v>
      </c>
      <c r="CN286" s="751">
        <v>46032</v>
      </c>
      <c r="CO286" s="751">
        <v>0</v>
      </c>
      <c r="CP286" s="751">
        <v>0</v>
      </c>
      <c r="CQ286" s="751">
        <v>0</v>
      </c>
      <c r="CR286" s="751">
        <v>0</v>
      </c>
      <c r="CS286" s="751">
        <v>0</v>
      </c>
      <c r="CT286" s="751">
        <v>0</v>
      </c>
      <c r="CU286" s="751">
        <v>0</v>
      </c>
      <c r="CV286" s="751">
        <v>0</v>
      </c>
      <c r="CW286" s="751">
        <v>11686183</v>
      </c>
      <c r="CX286" s="751">
        <v>0</v>
      </c>
      <c r="CY286" s="751">
        <v>117547</v>
      </c>
      <c r="CZ286" s="751">
        <v>11803730</v>
      </c>
      <c r="DA286" s="662" t="s">
        <v>425</v>
      </c>
      <c r="DB286" s="324" t="s">
        <v>570</v>
      </c>
      <c r="DC286" s="663" t="s">
        <v>574</v>
      </c>
      <c r="DD286" s="529" t="s">
        <v>1492</v>
      </c>
    </row>
    <row r="287" spans="1:108" ht="12.75" x14ac:dyDescent="0.2">
      <c r="A287" s="664">
        <v>280</v>
      </c>
      <c r="B287" s="665" t="s">
        <v>428</v>
      </c>
      <c r="C287" s="666" t="s">
        <v>1213</v>
      </c>
      <c r="D287" s="667" t="s">
        <v>1214</v>
      </c>
      <c r="E287" s="668" t="s">
        <v>427</v>
      </c>
      <c r="F287" s="750">
        <v>63132089</v>
      </c>
      <c r="G287" s="751">
        <v>256744</v>
      </c>
      <c r="H287" s="751">
        <v>0</v>
      </c>
      <c r="I287" s="751">
        <v>283235</v>
      </c>
      <c r="J287" s="751">
        <v>0</v>
      </c>
      <c r="K287" s="751">
        <v>283235</v>
      </c>
      <c r="L287" s="751">
        <v>0</v>
      </c>
      <c r="M287" s="751">
        <v>0</v>
      </c>
      <c r="N287" s="751">
        <v>0</v>
      </c>
      <c r="O287" s="751">
        <v>0</v>
      </c>
      <c r="P287" s="751">
        <v>0</v>
      </c>
      <c r="Q287" s="751">
        <v>0</v>
      </c>
      <c r="R287" s="751">
        <v>63105598</v>
      </c>
      <c r="S287" s="749">
        <v>0.33</v>
      </c>
      <c r="T287" s="749">
        <v>0.3</v>
      </c>
      <c r="U287" s="749">
        <v>0.37</v>
      </c>
      <c r="V287" s="749">
        <v>0</v>
      </c>
      <c r="W287" s="749">
        <v>1</v>
      </c>
      <c r="X287" s="751">
        <v>20824848</v>
      </c>
      <c r="Y287" s="751">
        <v>18931679</v>
      </c>
      <c r="Z287" s="751">
        <v>23349071</v>
      </c>
      <c r="AA287" s="751">
        <v>0</v>
      </c>
      <c r="AB287" s="751">
        <v>63105598</v>
      </c>
      <c r="AC287" s="751">
        <v>0</v>
      </c>
      <c r="AD287" s="751">
        <v>0</v>
      </c>
      <c r="AE287" s="751">
        <v>20824848</v>
      </c>
      <c r="AF287" s="751">
        <v>18931679</v>
      </c>
      <c r="AG287" s="751">
        <v>23349071</v>
      </c>
      <c r="AH287" s="751">
        <v>0</v>
      </c>
      <c r="AI287" s="751">
        <v>63105598</v>
      </c>
      <c r="AJ287" s="751">
        <v>283235</v>
      </c>
      <c r="AK287" s="751">
        <v>283235</v>
      </c>
      <c r="AL287" s="751">
        <v>0</v>
      </c>
      <c r="AM287" s="751">
        <v>0</v>
      </c>
      <c r="AN287" s="751">
        <v>0</v>
      </c>
      <c r="AO287" s="751">
        <v>0</v>
      </c>
      <c r="AP287" s="751">
        <v>0</v>
      </c>
      <c r="AQ287" s="751">
        <v>0</v>
      </c>
      <c r="AR287" s="751">
        <v>0</v>
      </c>
      <c r="AS287" s="751">
        <v>0</v>
      </c>
      <c r="AT287" s="751">
        <v>0</v>
      </c>
      <c r="AU287" s="751">
        <v>0</v>
      </c>
      <c r="AV287" s="751">
        <v>0</v>
      </c>
      <c r="AW287" s="751">
        <v>0</v>
      </c>
      <c r="AX287" s="751">
        <v>0</v>
      </c>
      <c r="AY287" s="751">
        <v>0</v>
      </c>
      <c r="AZ287" s="751">
        <v>0</v>
      </c>
      <c r="BA287" s="751">
        <v>0</v>
      </c>
      <c r="BB287" s="751">
        <v>0</v>
      </c>
      <c r="BC287" s="751">
        <v>-9880937</v>
      </c>
      <c r="BD287" s="751">
        <v>-8322756</v>
      </c>
      <c r="BE287" s="751">
        <v>-11105529</v>
      </c>
      <c r="BF287" s="751">
        <v>0</v>
      </c>
      <c r="BG287" s="751">
        <v>-29309221</v>
      </c>
      <c r="BH287" s="751">
        <v>10943911</v>
      </c>
      <c r="BI287" s="751">
        <v>10892158</v>
      </c>
      <c r="BJ287" s="751">
        <v>12243542</v>
      </c>
      <c r="BK287" s="751">
        <v>0</v>
      </c>
      <c r="BL287" s="751">
        <v>34079612</v>
      </c>
      <c r="BM287" s="751">
        <v>986420</v>
      </c>
      <c r="BN287" s="751">
        <v>1216585</v>
      </c>
      <c r="BO287" s="751">
        <v>0</v>
      </c>
      <c r="BP287" s="751">
        <v>2203005</v>
      </c>
      <c r="BQ287" s="751">
        <v>2249352</v>
      </c>
      <c r="BR287" s="751">
        <v>2774201</v>
      </c>
      <c r="BS287" s="751">
        <v>0</v>
      </c>
      <c r="BT287" s="751">
        <v>5023553</v>
      </c>
      <c r="BU287" s="751">
        <v>75698</v>
      </c>
      <c r="BV287" s="751">
        <v>93361</v>
      </c>
      <c r="BW287" s="751">
        <v>0</v>
      </c>
      <c r="BX287" s="751">
        <v>169059</v>
      </c>
      <c r="BY287" s="751">
        <v>0</v>
      </c>
      <c r="BZ287" s="751">
        <v>0</v>
      </c>
      <c r="CA287" s="751">
        <v>0</v>
      </c>
      <c r="CB287" s="751">
        <v>0</v>
      </c>
      <c r="CC287" s="751">
        <v>0</v>
      </c>
      <c r="CD287" s="751">
        <v>0</v>
      </c>
      <c r="CE287" s="751">
        <v>0</v>
      </c>
      <c r="CF287" s="751">
        <v>0</v>
      </c>
      <c r="CG287" s="751">
        <v>56560</v>
      </c>
      <c r="CH287" s="751">
        <v>69758</v>
      </c>
      <c r="CI287" s="751">
        <v>0</v>
      </c>
      <c r="CJ287" s="751">
        <v>126318</v>
      </c>
      <c r="CK287" s="751">
        <v>0</v>
      </c>
      <c r="CL287" s="751">
        <v>0</v>
      </c>
      <c r="CM287" s="751">
        <v>0</v>
      </c>
      <c r="CN287" s="751">
        <v>0</v>
      </c>
      <c r="CO287" s="751">
        <v>0</v>
      </c>
      <c r="CP287" s="751">
        <v>0</v>
      </c>
      <c r="CQ287" s="751">
        <v>0</v>
      </c>
      <c r="CR287" s="751">
        <v>0</v>
      </c>
      <c r="CS287" s="751">
        <v>0</v>
      </c>
      <c r="CT287" s="751">
        <v>0</v>
      </c>
      <c r="CU287" s="751">
        <v>0</v>
      </c>
      <c r="CV287" s="751">
        <v>0</v>
      </c>
      <c r="CW287" s="751">
        <v>3368030</v>
      </c>
      <c r="CX287" s="751">
        <v>4153905</v>
      </c>
      <c r="CY287" s="751">
        <v>0</v>
      </c>
      <c r="CZ287" s="751">
        <v>7521935</v>
      </c>
      <c r="DA287" s="662" t="s">
        <v>427</v>
      </c>
      <c r="DB287" s="324" t="s">
        <v>576</v>
      </c>
      <c r="DC287" s="669" t="s">
        <v>485</v>
      </c>
      <c r="DD287" s="529" t="s">
        <v>1493</v>
      </c>
    </row>
    <row r="288" spans="1:108" ht="12.75" x14ac:dyDescent="0.2">
      <c r="A288" s="664">
        <v>281</v>
      </c>
      <c r="B288" s="665" t="s">
        <v>430</v>
      </c>
      <c r="C288" s="666" t="s">
        <v>1257</v>
      </c>
      <c r="D288" s="667" t="s">
        <v>1214</v>
      </c>
      <c r="E288" s="668" t="s">
        <v>429</v>
      </c>
      <c r="F288" s="750">
        <v>121656904</v>
      </c>
      <c r="G288" s="751">
        <v>282285</v>
      </c>
      <c r="H288" s="751">
        <v>0</v>
      </c>
      <c r="I288" s="751">
        <v>439074</v>
      </c>
      <c r="J288" s="751">
        <v>0</v>
      </c>
      <c r="K288" s="751">
        <v>439074</v>
      </c>
      <c r="L288" s="751">
        <v>0</v>
      </c>
      <c r="M288" s="751">
        <v>7151877</v>
      </c>
      <c r="N288" s="751">
        <v>0</v>
      </c>
      <c r="O288" s="751">
        <v>0</v>
      </c>
      <c r="P288" s="751">
        <v>0</v>
      </c>
      <c r="Q288" s="751">
        <v>0</v>
      </c>
      <c r="R288" s="751">
        <v>114348238</v>
      </c>
      <c r="S288" s="749">
        <v>0.33</v>
      </c>
      <c r="T288" s="749">
        <v>0.3</v>
      </c>
      <c r="U288" s="749">
        <v>0.37</v>
      </c>
      <c r="V288" s="749">
        <v>0</v>
      </c>
      <c r="W288" s="749">
        <v>1</v>
      </c>
      <c r="X288" s="751">
        <v>37734919</v>
      </c>
      <c r="Y288" s="751">
        <v>34304471</v>
      </c>
      <c r="Z288" s="751">
        <v>42308848</v>
      </c>
      <c r="AA288" s="751">
        <v>0</v>
      </c>
      <c r="AB288" s="751">
        <v>114348238</v>
      </c>
      <c r="AC288" s="751">
        <v>0</v>
      </c>
      <c r="AD288" s="751">
        <v>0</v>
      </c>
      <c r="AE288" s="751">
        <v>37734919</v>
      </c>
      <c r="AF288" s="751">
        <v>34304471</v>
      </c>
      <c r="AG288" s="751">
        <v>42308848</v>
      </c>
      <c r="AH288" s="751">
        <v>0</v>
      </c>
      <c r="AI288" s="751">
        <v>114348238</v>
      </c>
      <c r="AJ288" s="751">
        <v>439074</v>
      </c>
      <c r="AK288" s="751">
        <v>439074</v>
      </c>
      <c r="AL288" s="751">
        <v>7151877</v>
      </c>
      <c r="AM288" s="751">
        <v>7151877</v>
      </c>
      <c r="AN288" s="751">
        <v>0</v>
      </c>
      <c r="AO288" s="751">
        <v>0</v>
      </c>
      <c r="AP288" s="751">
        <v>0</v>
      </c>
      <c r="AQ288" s="751">
        <v>0</v>
      </c>
      <c r="AR288" s="751">
        <v>0</v>
      </c>
      <c r="AS288" s="751">
        <v>0</v>
      </c>
      <c r="AT288" s="751">
        <v>0</v>
      </c>
      <c r="AU288" s="751">
        <v>0</v>
      </c>
      <c r="AV288" s="751">
        <v>0</v>
      </c>
      <c r="AW288" s="751">
        <v>0</v>
      </c>
      <c r="AX288" s="751">
        <v>0</v>
      </c>
      <c r="AY288" s="751">
        <v>0</v>
      </c>
      <c r="AZ288" s="751">
        <v>0</v>
      </c>
      <c r="BA288" s="751">
        <v>0</v>
      </c>
      <c r="BB288" s="751">
        <v>0</v>
      </c>
      <c r="BC288" s="751">
        <v>-23024647</v>
      </c>
      <c r="BD288" s="751">
        <v>-21544826</v>
      </c>
      <c r="BE288" s="751">
        <v>-25790510</v>
      </c>
      <c r="BF288" s="751">
        <v>0</v>
      </c>
      <c r="BG288" s="751">
        <v>-70359983</v>
      </c>
      <c r="BH288" s="751">
        <v>14710272</v>
      </c>
      <c r="BI288" s="751">
        <v>20350596</v>
      </c>
      <c r="BJ288" s="751">
        <v>16518338</v>
      </c>
      <c r="BK288" s="751">
        <v>0</v>
      </c>
      <c r="BL288" s="751">
        <v>51579206</v>
      </c>
      <c r="BM288" s="751">
        <v>2160050</v>
      </c>
      <c r="BN288" s="751">
        <v>2204469</v>
      </c>
      <c r="BO288" s="751">
        <v>0</v>
      </c>
      <c r="BP288" s="751">
        <v>4364519</v>
      </c>
      <c r="BQ288" s="751">
        <v>2123767</v>
      </c>
      <c r="BR288" s="751">
        <v>2362909</v>
      </c>
      <c r="BS288" s="751">
        <v>0</v>
      </c>
      <c r="BT288" s="751">
        <v>4486676</v>
      </c>
      <c r="BU288" s="751">
        <v>157059</v>
      </c>
      <c r="BV288" s="751">
        <v>172360</v>
      </c>
      <c r="BW288" s="751">
        <v>0</v>
      </c>
      <c r="BX288" s="751">
        <v>329419</v>
      </c>
      <c r="BY288" s="751">
        <v>0</v>
      </c>
      <c r="BZ288" s="751">
        <v>0</v>
      </c>
      <c r="CA288" s="751">
        <v>0</v>
      </c>
      <c r="CB288" s="751">
        <v>0</v>
      </c>
      <c r="CC288" s="751">
        <v>0</v>
      </c>
      <c r="CD288" s="751">
        <v>0</v>
      </c>
      <c r="CE288" s="751">
        <v>0</v>
      </c>
      <c r="CF288" s="751">
        <v>0</v>
      </c>
      <c r="CG288" s="751">
        <v>24463</v>
      </c>
      <c r="CH288" s="751">
        <v>30171</v>
      </c>
      <c r="CI288" s="751">
        <v>0</v>
      </c>
      <c r="CJ288" s="751">
        <v>54634</v>
      </c>
      <c r="CK288" s="751">
        <v>0</v>
      </c>
      <c r="CL288" s="751">
        <v>0</v>
      </c>
      <c r="CM288" s="751">
        <v>0</v>
      </c>
      <c r="CN288" s="751">
        <v>0</v>
      </c>
      <c r="CO288" s="751">
        <v>0</v>
      </c>
      <c r="CP288" s="751">
        <v>0</v>
      </c>
      <c r="CQ288" s="751">
        <v>0</v>
      </c>
      <c r="CR288" s="751">
        <v>0</v>
      </c>
      <c r="CS288" s="751">
        <v>0</v>
      </c>
      <c r="CT288" s="751">
        <v>0</v>
      </c>
      <c r="CU288" s="751">
        <v>0</v>
      </c>
      <c r="CV288" s="751">
        <v>0</v>
      </c>
      <c r="CW288" s="751">
        <v>4465339</v>
      </c>
      <c r="CX288" s="751">
        <v>4769909</v>
      </c>
      <c r="CY288" s="751">
        <v>0</v>
      </c>
      <c r="CZ288" s="751">
        <v>9235248</v>
      </c>
      <c r="DA288" s="662" t="s">
        <v>429</v>
      </c>
      <c r="DB288" s="324" t="s">
        <v>576</v>
      </c>
      <c r="DC288" s="669" t="s">
        <v>485</v>
      </c>
      <c r="DD288" s="529" t="s">
        <v>1494</v>
      </c>
    </row>
    <row r="289" spans="1:108" ht="12.75" x14ac:dyDescent="0.2">
      <c r="A289" s="664">
        <v>282</v>
      </c>
      <c r="B289" s="665" t="s">
        <v>432</v>
      </c>
      <c r="C289" s="666" t="s">
        <v>486</v>
      </c>
      <c r="D289" s="667" t="s">
        <v>1204</v>
      </c>
      <c r="E289" s="668" t="s">
        <v>506</v>
      </c>
      <c r="F289" s="750">
        <v>110793256</v>
      </c>
      <c r="G289" s="751">
        <v>0</v>
      </c>
      <c r="H289" s="751">
        <v>812677</v>
      </c>
      <c r="I289" s="751">
        <v>289609</v>
      </c>
      <c r="J289" s="751">
        <v>0</v>
      </c>
      <c r="K289" s="751">
        <v>289609</v>
      </c>
      <c r="L289" s="751">
        <v>0</v>
      </c>
      <c r="M289" s="751">
        <v>139616</v>
      </c>
      <c r="N289" s="751">
        <v>0</v>
      </c>
      <c r="O289" s="751">
        <v>0</v>
      </c>
      <c r="P289" s="751">
        <v>0</v>
      </c>
      <c r="Q289" s="751">
        <v>0</v>
      </c>
      <c r="R289" s="751">
        <v>109551354</v>
      </c>
      <c r="S289" s="749">
        <v>0.5</v>
      </c>
      <c r="T289" s="749">
        <v>0.49</v>
      </c>
      <c r="U289" s="749">
        <v>0</v>
      </c>
      <c r="V289" s="749">
        <v>0.01</v>
      </c>
      <c r="W289" s="749">
        <v>1</v>
      </c>
      <c r="X289" s="751">
        <v>54775677</v>
      </c>
      <c r="Y289" s="751">
        <v>53680163</v>
      </c>
      <c r="Z289" s="751">
        <v>0</v>
      </c>
      <c r="AA289" s="751">
        <v>1095514</v>
      </c>
      <c r="AB289" s="751">
        <v>109551354</v>
      </c>
      <c r="AC289" s="751">
        <v>299638</v>
      </c>
      <c r="AD289" s="751">
        <v>299638</v>
      </c>
      <c r="AE289" s="751">
        <v>54476039</v>
      </c>
      <c r="AF289" s="751">
        <v>53680163</v>
      </c>
      <c r="AG289" s="751">
        <v>0</v>
      </c>
      <c r="AH289" s="751">
        <v>1095514</v>
      </c>
      <c r="AI289" s="751">
        <v>109251716</v>
      </c>
      <c r="AJ289" s="751">
        <v>289609</v>
      </c>
      <c r="AK289" s="751">
        <v>289609</v>
      </c>
      <c r="AL289" s="751">
        <v>139616</v>
      </c>
      <c r="AM289" s="751">
        <v>139616</v>
      </c>
      <c r="AN289" s="751">
        <v>0</v>
      </c>
      <c r="AO289" s="751">
        <v>0</v>
      </c>
      <c r="AP289" s="751">
        <v>0</v>
      </c>
      <c r="AQ289" s="751">
        <v>0</v>
      </c>
      <c r="AR289" s="751">
        <v>0</v>
      </c>
      <c r="AS289" s="751">
        <v>0</v>
      </c>
      <c r="AT289" s="751">
        <v>0</v>
      </c>
      <c r="AU289" s="751">
        <v>299638</v>
      </c>
      <c r="AV289" s="751">
        <v>0</v>
      </c>
      <c r="AW289" s="751">
        <v>0</v>
      </c>
      <c r="AX289" s="751">
        <v>299638</v>
      </c>
      <c r="AY289" s="751">
        <v>0</v>
      </c>
      <c r="AZ289" s="751">
        <v>0</v>
      </c>
      <c r="BA289" s="751">
        <v>0</v>
      </c>
      <c r="BB289" s="751">
        <v>0</v>
      </c>
      <c r="BC289" s="751">
        <v>-22240923</v>
      </c>
      <c r="BD289" s="751">
        <v>-21796105</v>
      </c>
      <c r="BE289" s="751">
        <v>0</v>
      </c>
      <c r="BF289" s="751">
        <v>-444818</v>
      </c>
      <c r="BG289" s="751">
        <v>-44481846</v>
      </c>
      <c r="BH289" s="751">
        <v>32235116</v>
      </c>
      <c r="BI289" s="751">
        <v>32612921</v>
      </c>
      <c r="BJ289" s="751">
        <v>0</v>
      </c>
      <c r="BK289" s="751">
        <v>650696</v>
      </c>
      <c r="BL289" s="751">
        <v>65498733</v>
      </c>
      <c r="BM289" s="751">
        <v>2819849</v>
      </c>
      <c r="BN289" s="751">
        <v>0</v>
      </c>
      <c r="BO289" s="751">
        <v>57081</v>
      </c>
      <c r="BP289" s="751">
        <v>2876930</v>
      </c>
      <c r="BQ289" s="751">
        <v>2491349</v>
      </c>
      <c r="BR289" s="751">
        <v>0</v>
      </c>
      <c r="BS289" s="751">
        <v>50550</v>
      </c>
      <c r="BT289" s="751">
        <v>2541899</v>
      </c>
      <c r="BU289" s="751">
        <v>199256</v>
      </c>
      <c r="BV289" s="751">
        <v>0</v>
      </c>
      <c r="BW289" s="751">
        <v>3993</v>
      </c>
      <c r="BX289" s="751">
        <v>203249</v>
      </c>
      <c r="BY289" s="751">
        <v>0</v>
      </c>
      <c r="BZ289" s="751">
        <v>0</v>
      </c>
      <c r="CA289" s="751">
        <v>0</v>
      </c>
      <c r="CB289" s="751">
        <v>0</v>
      </c>
      <c r="CC289" s="751">
        <v>1016</v>
      </c>
      <c r="CD289" s="751">
        <v>0</v>
      </c>
      <c r="CE289" s="751">
        <v>21</v>
      </c>
      <c r="CF289" s="751">
        <v>1037</v>
      </c>
      <c r="CG289" s="751">
        <v>11407</v>
      </c>
      <c r="CH289" s="751">
        <v>0</v>
      </c>
      <c r="CI289" s="751">
        <v>233</v>
      </c>
      <c r="CJ289" s="751">
        <v>11640</v>
      </c>
      <c r="CK289" s="751">
        <v>0</v>
      </c>
      <c r="CL289" s="751">
        <v>0</v>
      </c>
      <c r="CM289" s="751">
        <v>0</v>
      </c>
      <c r="CN289" s="751">
        <v>0</v>
      </c>
      <c r="CO289" s="751">
        <v>0</v>
      </c>
      <c r="CP289" s="751">
        <v>0</v>
      </c>
      <c r="CQ289" s="751">
        <v>0</v>
      </c>
      <c r="CR289" s="751">
        <v>0</v>
      </c>
      <c r="CS289" s="751">
        <v>0</v>
      </c>
      <c r="CT289" s="751">
        <v>0</v>
      </c>
      <c r="CU289" s="751">
        <v>0</v>
      </c>
      <c r="CV289" s="751">
        <v>0</v>
      </c>
      <c r="CW289" s="751">
        <v>5522877</v>
      </c>
      <c r="CX289" s="751">
        <v>0</v>
      </c>
      <c r="CY289" s="751">
        <v>111878</v>
      </c>
      <c r="CZ289" s="751">
        <v>5634755</v>
      </c>
      <c r="DA289" s="662" t="s">
        <v>506</v>
      </c>
      <c r="DB289" s="324" t="s">
        <v>486</v>
      </c>
      <c r="DC289" s="663" t="s">
        <v>505</v>
      </c>
      <c r="DD289" s="529" t="s">
        <v>1495</v>
      </c>
    </row>
    <row r="290" spans="1:108" ht="12.75" x14ac:dyDescent="0.2">
      <c r="A290" s="664">
        <v>283</v>
      </c>
      <c r="B290" s="665" t="s">
        <v>434</v>
      </c>
      <c r="C290" s="666" t="s">
        <v>1201</v>
      </c>
      <c r="D290" s="667" t="s">
        <v>1228</v>
      </c>
      <c r="E290" s="668" t="s">
        <v>433</v>
      </c>
      <c r="F290" s="750">
        <v>69732765</v>
      </c>
      <c r="G290" s="751">
        <v>0</v>
      </c>
      <c r="H290" s="751">
        <v>27114</v>
      </c>
      <c r="I290" s="751">
        <v>217266</v>
      </c>
      <c r="J290" s="751">
        <v>0</v>
      </c>
      <c r="K290" s="751">
        <v>217266</v>
      </c>
      <c r="L290" s="751">
        <v>0</v>
      </c>
      <c r="M290" s="751">
        <v>0</v>
      </c>
      <c r="N290" s="751">
        <v>15344</v>
      </c>
      <c r="O290" s="751">
        <v>15344</v>
      </c>
      <c r="P290" s="751">
        <v>0</v>
      </c>
      <c r="Q290" s="751">
        <v>0</v>
      </c>
      <c r="R290" s="751">
        <v>69473041</v>
      </c>
      <c r="S290" s="749">
        <v>0.5</v>
      </c>
      <c r="T290" s="749">
        <v>0.4</v>
      </c>
      <c r="U290" s="749">
        <v>0.1</v>
      </c>
      <c r="V290" s="749">
        <v>0</v>
      </c>
      <c r="W290" s="749">
        <v>1</v>
      </c>
      <c r="X290" s="751">
        <v>34736521</v>
      </c>
      <c r="Y290" s="751">
        <v>27789216</v>
      </c>
      <c r="Z290" s="751">
        <v>6947304</v>
      </c>
      <c r="AA290" s="751">
        <v>0</v>
      </c>
      <c r="AB290" s="751">
        <v>69473041</v>
      </c>
      <c r="AC290" s="751">
        <v>0</v>
      </c>
      <c r="AD290" s="751">
        <v>0</v>
      </c>
      <c r="AE290" s="751">
        <v>34736521</v>
      </c>
      <c r="AF290" s="751">
        <v>27789216</v>
      </c>
      <c r="AG290" s="751">
        <v>6947304</v>
      </c>
      <c r="AH290" s="751">
        <v>0</v>
      </c>
      <c r="AI290" s="751">
        <v>69473041</v>
      </c>
      <c r="AJ290" s="751">
        <v>217266</v>
      </c>
      <c r="AK290" s="751">
        <v>217266</v>
      </c>
      <c r="AL290" s="751">
        <v>0</v>
      </c>
      <c r="AM290" s="751">
        <v>0</v>
      </c>
      <c r="AN290" s="751">
        <v>15344</v>
      </c>
      <c r="AO290" s="751">
        <v>0</v>
      </c>
      <c r="AP290" s="751">
        <v>15344</v>
      </c>
      <c r="AQ290" s="751">
        <v>0</v>
      </c>
      <c r="AR290" s="751">
        <v>0</v>
      </c>
      <c r="AS290" s="751">
        <v>0</v>
      </c>
      <c r="AT290" s="751">
        <v>0</v>
      </c>
      <c r="AU290" s="751">
        <v>0</v>
      </c>
      <c r="AV290" s="751">
        <v>0</v>
      </c>
      <c r="AW290" s="751">
        <v>0</v>
      </c>
      <c r="AX290" s="751">
        <v>0</v>
      </c>
      <c r="AY290" s="751">
        <v>0</v>
      </c>
      <c r="AZ290" s="751">
        <v>0</v>
      </c>
      <c r="BA290" s="751">
        <v>0</v>
      </c>
      <c r="BB290" s="751">
        <v>0</v>
      </c>
      <c r="BC290" s="751">
        <v>-13311762</v>
      </c>
      <c r="BD290" s="751">
        <v>-10649409</v>
      </c>
      <c r="BE290" s="751">
        <v>-2662352</v>
      </c>
      <c r="BF290" s="751">
        <v>0</v>
      </c>
      <c r="BG290" s="751">
        <v>-26623523</v>
      </c>
      <c r="BH290" s="751">
        <v>21424760</v>
      </c>
      <c r="BI290" s="751">
        <v>17372417</v>
      </c>
      <c r="BJ290" s="751">
        <v>4284952</v>
      </c>
      <c r="BK290" s="751">
        <v>0</v>
      </c>
      <c r="BL290" s="751">
        <v>43082128</v>
      </c>
      <c r="BM290" s="751">
        <v>1448735</v>
      </c>
      <c r="BN290" s="751">
        <v>361984</v>
      </c>
      <c r="BO290" s="751">
        <v>0</v>
      </c>
      <c r="BP290" s="751">
        <v>1810719</v>
      </c>
      <c r="BQ290" s="751">
        <v>1608966</v>
      </c>
      <c r="BR290" s="751">
        <v>402242</v>
      </c>
      <c r="BS290" s="751">
        <v>0</v>
      </c>
      <c r="BT290" s="751">
        <v>2011208</v>
      </c>
      <c r="BU290" s="751">
        <v>125154</v>
      </c>
      <c r="BV290" s="751">
        <v>31289</v>
      </c>
      <c r="BW290" s="751">
        <v>0</v>
      </c>
      <c r="BX290" s="751">
        <v>156443</v>
      </c>
      <c r="BY290" s="751">
        <v>0</v>
      </c>
      <c r="BZ290" s="751">
        <v>0</v>
      </c>
      <c r="CA290" s="751">
        <v>0</v>
      </c>
      <c r="CB290" s="751">
        <v>0</v>
      </c>
      <c r="CC290" s="751">
        <v>5069</v>
      </c>
      <c r="CD290" s="751">
        <v>1267</v>
      </c>
      <c r="CE290" s="751">
        <v>0</v>
      </c>
      <c r="CF290" s="751">
        <v>6336</v>
      </c>
      <c r="CG290" s="751">
        <v>8696</v>
      </c>
      <c r="CH290" s="751">
        <v>2174</v>
      </c>
      <c r="CI290" s="751">
        <v>0</v>
      </c>
      <c r="CJ290" s="751">
        <v>10870</v>
      </c>
      <c r="CK290" s="751">
        <v>0</v>
      </c>
      <c r="CL290" s="751">
        <v>0</v>
      </c>
      <c r="CM290" s="751">
        <v>0</v>
      </c>
      <c r="CN290" s="751">
        <v>0</v>
      </c>
      <c r="CO290" s="751">
        <v>0</v>
      </c>
      <c r="CP290" s="751">
        <v>0</v>
      </c>
      <c r="CQ290" s="751">
        <v>0</v>
      </c>
      <c r="CR290" s="751">
        <v>0</v>
      </c>
      <c r="CS290" s="751">
        <v>258</v>
      </c>
      <c r="CT290" s="751">
        <v>64</v>
      </c>
      <c r="CU290" s="751">
        <v>0</v>
      </c>
      <c r="CV290" s="751">
        <v>322</v>
      </c>
      <c r="CW290" s="751">
        <v>3196878</v>
      </c>
      <c r="CX290" s="751">
        <v>799020</v>
      </c>
      <c r="CY290" s="751">
        <v>0</v>
      </c>
      <c r="CZ290" s="751">
        <v>3995898</v>
      </c>
      <c r="DA290" s="662" t="s">
        <v>433</v>
      </c>
      <c r="DB290" s="324" t="s">
        <v>567</v>
      </c>
      <c r="DC290" s="663" t="s">
        <v>512</v>
      </c>
      <c r="DD290" s="529" t="s">
        <v>1496</v>
      </c>
    </row>
    <row r="291" spans="1:108" ht="12.75" x14ac:dyDescent="0.2">
      <c r="A291" s="664">
        <v>284</v>
      </c>
      <c r="B291" s="665" t="s">
        <v>436</v>
      </c>
      <c r="C291" s="666" t="s">
        <v>1201</v>
      </c>
      <c r="D291" s="667" t="s">
        <v>1211</v>
      </c>
      <c r="E291" s="668" t="s">
        <v>435</v>
      </c>
      <c r="F291" s="750">
        <v>63632981</v>
      </c>
      <c r="G291" s="751">
        <v>0</v>
      </c>
      <c r="H291" s="751">
        <v>1635215</v>
      </c>
      <c r="I291" s="751">
        <v>151043</v>
      </c>
      <c r="J291" s="751">
        <v>0</v>
      </c>
      <c r="K291" s="751">
        <v>151043</v>
      </c>
      <c r="L291" s="751">
        <v>0</v>
      </c>
      <c r="M291" s="751">
        <v>0</v>
      </c>
      <c r="N291" s="751">
        <v>0</v>
      </c>
      <c r="O291" s="751">
        <v>0</v>
      </c>
      <c r="P291" s="751">
        <v>0</v>
      </c>
      <c r="Q291" s="751">
        <v>0</v>
      </c>
      <c r="R291" s="751">
        <v>61846723</v>
      </c>
      <c r="S291" s="749">
        <v>0.5</v>
      </c>
      <c r="T291" s="749">
        <v>0.4</v>
      </c>
      <c r="U291" s="749">
        <v>0.1</v>
      </c>
      <c r="V291" s="749">
        <v>0</v>
      </c>
      <c r="W291" s="749">
        <v>1</v>
      </c>
      <c r="X291" s="751">
        <v>30923362</v>
      </c>
      <c r="Y291" s="751">
        <v>24738689</v>
      </c>
      <c r="Z291" s="751">
        <v>6184672</v>
      </c>
      <c r="AA291" s="751">
        <v>0</v>
      </c>
      <c r="AB291" s="751">
        <v>61846723</v>
      </c>
      <c r="AC291" s="751">
        <v>0</v>
      </c>
      <c r="AD291" s="751">
        <v>0</v>
      </c>
      <c r="AE291" s="751">
        <v>30923362</v>
      </c>
      <c r="AF291" s="751">
        <v>24738689</v>
      </c>
      <c r="AG291" s="751">
        <v>6184672</v>
      </c>
      <c r="AH291" s="751">
        <v>0</v>
      </c>
      <c r="AI291" s="751">
        <v>61846723</v>
      </c>
      <c r="AJ291" s="751">
        <v>151043</v>
      </c>
      <c r="AK291" s="751">
        <v>151043</v>
      </c>
      <c r="AL291" s="751">
        <v>0</v>
      </c>
      <c r="AM291" s="751">
        <v>0</v>
      </c>
      <c r="AN291" s="751">
        <v>0</v>
      </c>
      <c r="AO291" s="751">
        <v>0</v>
      </c>
      <c r="AP291" s="751">
        <v>0</v>
      </c>
      <c r="AQ291" s="751">
        <v>0</v>
      </c>
      <c r="AR291" s="751">
        <v>0</v>
      </c>
      <c r="AS291" s="751">
        <v>0</v>
      </c>
      <c r="AT291" s="751">
        <v>0</v>
      </c>
      <c r="AU291" s="751">
        <v>0</v>
      </c>
      <c r="AV291" s="751">
        <v>0</v>
      </c>
      <c r="AW291" s="751">
        <v>0</v>
      </c>
      <c r="AX291" s="751">
        <v>0</v>
      </c>
      <c r="AY291" s="751">
        <v>0</v>
      </c>
      <c r="AZ291" s="751">
        <v>0</v>
      </c>
      <c r="BA291" s="751">
        <v>0</v>
      </c>
      <c r="BB291" s="751">
        <v>0</v>
      </c>
      <c r="BC291" s="751">
        <v>-16646151</v>
      </c>
      <c r="BD291" s="751">
        <v>-13455909</v>
      </c>
      <c r="BE291" s="751">
        <v>-3653536</v>
      </c>
      <c r="BF291" s="751">
        <v>0</v>
      </c>
      <c r="BG291" s="751">
        <v>-33755595</v>
      </c>
      <c r="BH291" s="751">
        <v>14277212</v>
      </c>
      <c r="BI291" s="751">
        <v>11433823</v>
      </c>
      <c r="BJ291" s="751">
        <v>2531136</v>
      </c>
      <c r="BK291" s="751">
        <v>0</v>
      </c>
      <c r="BL291" s="751">
        <v>28242171</v>
      </c>
      <c r="BM291" s="751">
        <v>1288990</v>
      </c>
      <c r="BN291" s="751">
        <v>322247</v>
      </c>
      <c r="BO291" s="751">
        <v>0</v>
      </c>
      <c r="BP291" s="751">
        <v>1611237</v>
      </c>
      <c r="BQ291" s="751">
        <v>883370</v>
      </c>
      <c r="BR291" s="751">
        <v>220843</v>
      </c>
      <c r="BS291" s="751">
        <v>0</v>
      </c>
      <c r="BT291" s="751">
        <v>1104213</v>
      </c>
      <c r="BU291" s="751">
        <v>87519</v>
      </c>
      <c r="BV291" s="751">
        <v>21880</v>
      </c>
      <c r="BW291" s="751">
        <v>0</v>
      </c>
      <c r="BX291" s="751">
        <v>109399</v>
      </c>
      <c r="BY291" s="751">
        <v>6185</v>
      </c>
      <c r="BZ291" s="751">
        <v>1546</v>
      </c>
      <c r="CA291" s="751">
        <v>0</v>
      </c>
      <c r="CB291" s="751">
        <v>7731</v>
      </c>
      <c r="CC291" s="751">
        <v>0</v>
      </c>
      <c r="CD291" s="751">
        <v>0</v>
      </c>
      <c r="CE291" s="751">
        <v>0</v>
      </c>
      <c r="CF291" s="751">
        <v>0</v>
      </c>
      <c r="CG291" s="751">
        <v>6762</v>
      </c>
      <c r="CH291" s="751">
        <v>1690</v>
      </c>
      <c r="CI291" s="751">
        <v>0</v>
      </c>
      <c r="CJ291" s="751">
        <v>8452</v>
      </c>
      <c r="CK291" s="751">
        <v>0</v>
      </c>
      <c r="CL291" s="751">
        <v>0</v>
      </c>
      <c r="CM291" s="751">
        <v>0</v>
      </c>
      <c r="CN291" s="751">
        <v>0</v>
      </c>
      <c r="CO291" s="751">
        <v>0</v>
      </c>
      <c r="CP291" s="751">
        <v>0</v>
      </c>
      <c r="CQ291" s="751">
        <v>0</v>
      </c>
      <c r="CR291" s="751">
        <v>0</v>
      </c>
      <c r="CS291" s="751">
        <v>631</v>
      </c>
      <c r="CT291" s="751">
        <v>158</v>
      </c>
      <c r="CU291" s="751">
        <v>0</v>
      </c>
      <c r="CV291" s="751">
        <v>789</v>
      </c>
      <c r="CW291" s="751">
        <v>2273457</v>
      </c>
      <c r="CX291" s="751">
        <v>568364</v>
      </c>
      <c r="CY291" s="751">
        <v>0</v>
      </c>
      <c r="CZ291" s="751">
        <v>2841821</v>
      </c>
      <c r="DA291" s="662" t="s">
        <v>435</v>
      </c>
      <c r="DB291" s="324" t="s">
        <v>536</v>
      </c>
      <c r="DC291" s="663" t="s">
        <v>512</v>
      </c>
      <c r="DD291" s="529" t="s">
        <v>1497</v>
      </c>
    </row>
    <row r="292" spans="1:108" ht="12.75" x14ac:dyDescent="0.2">
      <c r="A292" s="664">
        <v>285</v>
      </c>
      <c r="B292" s="665" t="s">
        <v>438</v>
      </c>
      <c r="C292" s="666" t="s">
        <v>1201</v>
      </c>
      <c r="D292" s="667" t="s">
        <v>1202</v>
      </c>
      <c r="E292" s="668" t="s">
        <v>437</v>
      </c>
      <c r="F292" s="750">
        <v>36031782</v>
      </c>
      <c r="G292" s="751">
        <v>267158</v>
      </c>
      <c r="H292" s="751">
        <v>0</v>
      </c>
      <c r="I292" s="751">
        <v>171433</v>
      </c>
      <c r="J292" s="751">
        <v>0</v>
      </c>
      <c r="K292" s="751">
        <v>171433</v>
      </c>
      <c r="L292" s="751">
        <v>0</v>
      </c>
      <c r="M292" s="751">
        <v>0</v>
      </c>
      <c r="N292" s="751">
        <v>0</v>
      </c>
      <c r="O292" s="751">
        <v>0</v>
      </c>
      <c r="P292" s="751">
        <v>0</v>
      </c>
      <c r="Q292" s="751">
        <v>0</v>
      </c>
      <c r="R292" s="751">
        <v>36127507</v>
      </c>
      <c r="S292" s="749">
        <v>0.5</v>
      </c>
      <c r="T292" s="749">
        <v>0.4</v>
      </c>
      <c r="U292" s="749">
        <v>0.1</v>
      </c>
      <c r="V292" s="749">
        <v>0</v>
      </c>
      <c r="W292" s="749">
        <v>1</v>
      </c>
      <c r="X292" s="751">
        <v>18063753</v>
      </c>
      <c r="Y292" s="751">
        <v>14451003</v>
      </c>
      <c r="Z292" s="751">
        <v>3612751</v>
      </c>
      <c r="AA292" s="751">
        <v>0</v>
      </c>
      <c r="AB292" s="751">
        <v>36127507</v>
      </c>
      <c r="AC292" s="751">
        <v>0</v>
      </c>
      <c r="AD292" s="751">
        <v>0</v>
      </c>
      <c r="AE292" s="751">
        <v>18063753</v>
      </c>
      <c r="AF292" s="751">
        <v>14451003</v>
      </c>
      <c r="AG292" s="751">
        <v>3612751</v>
      </c>
      <c r="AH292" s="751">
        <v>0</v>
      </c>
      <c r="AI292" s="751">
        <v>36127507</v>
      </c>
      <c r="AJ292" s="751">
        <v>171433</v>
      </c>
      <c r="AK292" s="751">
        <v>171433</v>
      </c>
      <c r="AL292" s="751">
        <v>0</v>
      </c>
      <c r="AM292" s="751">
        <v>0</v>
      </c>
      <c r="AN292" s="751">
        <v>0</v>
      </c>
      <c r="AO292" s="751">
        <v>0</v>
      </c>
      <c r="AP292" s="751">
        <v>0</v>
      </c>
      <c r="AQ292" s="751">
        <v>0</v>
      </c>
      <c r="AR292" s="751">
        <v>0</v>
      </c>
      <c r="AS292" s="751">
        <v>0</v>
      </c>
      <c r="AT292" s="751">
        <v>0</v>
      </c>
      <c r="AU292" s="751">
        <v>0</v>
      </c>
      <c r="AV292" s="751">
        <v>0</v>
      </c>
      <c r="AW292" s="751">
        <v>0</v>
      </c>
      <c r="AX292" s="751">
        <v>0</v>
      </c>
      <c r="AY292" s="751">
        <v>0</v>
      </c>
      <c r="AZ292" s="751">
        <v>0</v>
      </c>
      <c r="BA292" s="751">
        <v>0</v>
      </c>
      <c r="BB292" s="751">
        <v>0</v>
      </c>
      <c r="BC292" s="751">
        <v>-11245870</v>
      </c>
      <c r="BD292" s="751">
        <v>-8996696</v>
      </c>
      <c r="BE292" s="751">
        <v>-2249174</v>
      </c>
      <c r="BF292" s="751">
        <v>0</v>
      </c>
      <c r="BG292" s="751">
        <v>-22491741</v>
      </c>
      <c r="BH292" s="751">
        <v>6817883</v>
      </c>
      <c r="BI292" s="751">
        <v>5625740</v>
      </c>
      <c r="BJ292" s="751">
        <v>1363577</v>
      </c>
      <c r="BK292" s="751">
        <v>0</v>
      </c>
      <c r="BL292" s="751">
        <v>13807199</v>
      </c>
      <c r="BM292" s="751">
        <v>752958</v>
      </c>
      <c r="BN292" s="751">
        <v>188240</v>
      </c>
      <c r="BO292" s="751">
        <v>0</v>
      </c>
      <c r="BP292" s="751">
        <v>941198</v>
      </c>
      <c r="BQ292" s="751">
        <v>1351857</v>
      </c>
      <c r="BR292" s="751">
        <v>337964</v>
      </c>
      <c r="BS292" s="751">
        <v>0</v>
      </c>
      <c r="BT292" s="751">
        <v>1689821</v>
      </c>
      <c r="BU292" s="751">
        <v>107592</v>
      </c>
      <c r="BV292" s="751">
        <v>26898</v>
      </c>
      <c r="BW292" s="751">
        <v>0</v>
      </c>
      <c r="BX292" s="751">
        <v>134490</v>
      </c>
      <c r="BY292" s="751">
        <v>0</v>
      </c>
      <c r="BZ292" s="751">
        <v>0</v>
      </c>
      <c r="CA292" s="751">
        <v>0</v>
      </c>
      <c r="CB292" s="751">
        <v>0</v>
      </c>
      <c r="CC292" s="751">
        <v>2542</v>
      </c>
      <c r="CD292" s="751">
        <v>636</v>
      </c>
      <c r="CE292" s="751">
        <v>0</v>
      </c>
      <c r="CF292" s="751">
        <v>3178</v>
      </c>
      <c r="CG292" s="751">
        <v>18257</v>
      </c>
      <c r="CH292" s="751">
        <v>4564</v>
      </c>
      <c r="CI292" s="751">
        <v>0</v>
      </c>
      <c r="CJ292" s="751">
        <v>22821</v>
      </c>
      <c r="CK292" s="751">
        <v>0</v>
      </c>
      <c r="CL292" s="751">
        <v>0</v>
      </c>
      <c r="CM292" s="751">
        <v>0</v>
      </c>
      <c r="CN292" s="751">
        <v>0</v>
      </c>
      <c r="CO292" s="751">
        <v>0</v>
      </c>
      <c r="CP292" s="751">
        <v>0</v>
      </c>
      <c r="CQ292" s="751">
        <v>0</v>
      </c>
      <c r="CR292" s="751">
        <v>0</v>
      </c>
      <c r="CS292" s="751">
        <v>1894</v>
      </c>
      <c r="CT292" s="751">
        <v>473</v>
      </c>
      <c r="CU292" s="751">
        <v>0</v>
      </c>
      <c r="CV292" s="751">
        <v>2367</v>
      </c>
      <c r="CW292" s="751">
        <v>2235100</v>
      </c>
      <c r="CX292" s="751">
        <v>558775</v>
      </c>
      <c r="CY292" s="751">
        <v>0</v>
      </c>
      <c r="CZ292" s="751">
        <v>2793875</v>
      </c>
      <c r="DA292" s="662" t="s">
        <v>437</v>
      </c>
      <c r="DB292" s="324" t="s">
        <v>566</v>
      </c>
      <c r="DC292" s="663" t="s">
        <v>512</v>
      </c>
      <c r="DD292" s="529" t="s">
        <v>1498</v>
      </c>
    </row>
    <row r="293" spans="1:108" ht="12.75" x14ac:dyDescent="0.2">
      <c r="A293" s="664">
        <v>286</v>
      </c>
      <c r="B293" s="665" t="s">
        <v>440</v>
      </c>
      <c r="C293" s="666" t="s">
        <v>1201</v>
      </c>
      <c r="D293" s="667" t="s">
        <v>1202</v>
      </c>
      <c r="E293" s="668" t="s">
        <v>439</v>
      </c>
      <c r="F293" s="750">
        <v>34324299</v>
      </c>
      <c r="G293" s="751">
        <v>149708</v>
      </c>
      <c r="H293" s="751">
        <v>0</v>
      </c>
      <c r="I293" s="751">
        <v>230780</v>
      </c>
      <c r="J293" s="751">
        <v>0</v>
      </c>
      <c r="K293" s="751">
        <v>230780</v>
      </c>
      <c r="L293" s="751">
        <v>0</v>
      </c>
      <c r="M293" s="751">
        <v>0</v>
      </c>
      <c r="N293" s="751">
        <v>191220</v>
      </c>
      <c r="O293" s="751">
        <v>191220</v>
      </c>
      <c r="P293" s="751">
        <v>0</v>
      </c>
      <c r="Q293" s="751">
        <v>0</v>
      </c>
      <c r="R293" s="751">
        <v>34052007</v>
      </c>
      <c r="S293" s="749">
        <v>0.5</v>
      </c>
      <c r="T293" s="749">
        <v>0.4</v>
      </c>
      <c r="U293" s="749">
        <v>0.09</v>
      </c>
      <c r="V293" s="749">
        <v>0.01</v>
      </c>
      <c r="W293" s="749">
        <v>1</v>
      </c>
      <c r="X293" s="751">
        <v>17026003</v>
      </c>
      <c r="Y293" s="751">
        <v>13620803</v>
      </c>
      <c r="Z293" s="751">
        <v>3064681</v>
      </c>
      <c r="AA293" s="751">
        <v>340520</v>
      </c>
      <c r="AB293" s="751">
        <v>34052007</v>
      </c>
      <c r="AC293" s="751">
        <v>0</v>
      </c>
      <c r="AD293" s="751">
        <v>0</v>
      </c>
      <c r="AE293" s="751">
        <v>17026003</v>
      </c>
      <c r="AF293" s="751">
        <v>13620803</v>
      </c>
      <c r="AG293" s="751">
        <v>3064681</v>
      </c>
      <c r="AH293" s="751">
        <v>340520</v>
      </c>
      <c r="AI293" s="751">
        <v>34052007</v>
      </c>
      <c r="AJ293" s="751">
        <v>230780</v>
      </c>
      <c r="AK293" s="751">
        <v>230780</v>
      </c>
      <c r="AL293" s="751">
        <v>0</v>
      </c>
      <c r="AM293" s="751">
        <v>0</v>
      </c>
      <c r="AN293" s="751">
        <v>191220</v>
      </c>
      <c r="AO293" s="751">
        <v>0</v>
      </c>
      <c r="AP293" s="751">
        <v>191220</v>
      </c>
      <c r="AQ293" s="751">
        <v>0</v>
      </c>
      <c r="AR293" s="751">
        <v>0</v>
      </c>
      <c r="AS293" s="751">
        <v>0</v>
      </c>
      <c r="AT293" s="751">
        <v>0</v>
      </c>
      <c r="AU293" s="751">
        <v>0</v>
      </c>
      <c r="AV293" s="751">
        <v>0</v>
      </c>
      <c r="AW293" s="751">
        <v>0</v>
      </c>
      <c r="AX293" s="751">
        <v>0</v>
      </c>
      <c r="AY293" s="751">
        <v>0</v>
      </c>
      <c r="AZ293" s="751">
        <v>0</v>
      </c>
      <c r="BA293" s="751">
        <v>0</v>
      </c>
      <c r="BB293" s="751">
        <v>0</v>
      </c>
      <c r="BC293" s="751">
        <v>-8014882</v>
      </c>
      <c r="BD293" s="751">
        <v>-6439858</v>
      </c>
      <c r="BE293" s="751">
        <v>-1467720</v>
      </c>
      <c r="BF293" s="751">
        <v>-165539</v>
      </c>
      <c r="BG293" s="751">
        <v>-16087998</v>
      </c>
      <c r="BH293" s="751">
        <v>9011121</v>
      </c>
      <c r="BI293" s="751">
        <v>7602945</v>
      </c>
      <c r="BJ293" s="751">
        <v>1596961</v>
      </c>
      <c r="BK293" s="751">
        <v>174981</v>
      </c>
      <c r="BL293" s="751">
        <v>18386009</v>
      </c>
      <c r="BM293" s="751">
        <v>719665</v>
      </c>
      <c r="BN293" s="751">
        <v>159683</v>
      </c>
      <c r="BO293" s="751">
        <v>17743</v>
      </c>
      <c r="BP293" s="751">
        <v>897091</v>
      </c>
      <c r="BQ293" s="751">
        <v>2620172</v>
      </c>
      <c r="BR293" s="751">
        <v>589538</v>
      </c>
      <c r="BS293" s="751">
        <v>65504</v>
      </c>
      <c r="BT293" s="751">
        <v>3275214</v>
      </c>
      <c r="BU293" s="751">
        <v>102109</v>
      </c>
      <c r="BV293" s="751">
        <v>22974</v>
      </c>
      <c r="BW293" s="751">
        <v>2553</v>
      </c>
      <c r="BX293" s="751">
        <v>127636</v>
      </c>
      <c r="BY293" s="751">
        <v>5393</v>
      </c>
      <c r="BZ293" s="751">
        <v>1213</v>
      </c>
      <c r="CA293" s="751">
        <v>135</v>
      </c>
      <c r="CB293" s="751">
        <v>6741</v>
      </c>
      <c r="CC293" s="751">
        <v>15032</v>
      </c>
      <c r="CD293" s="751">
        <v>3382</v>
      </c>
      <c r="CE293" s="751">
        <v>376</v>
      </c>
      <c r="CF293" s="751">
        <v>18790</v>
      </c>
      <c r="CG293" s="751">
        <v>26341</v>
      </c>
      <c r="CH293" s="751">
        <v>5926</v>
      </c>
      <c r="CI293" s="751">
        <v>658</v>
      </c>
      <c r="CJ293" s="751">
        <v>32925</v>
      </c>
      <c r="CK293" s="751">
        <v>0</v>
      </c>
      <c r="CL293" s="751">
        <v>0</v>
      </c>
      <c r="CM293" s="751">
        <v>0</v>
      </c>
      <c r="CN293" s="751">
        <v>0</v>
      </c>
      <c r="CO293" s="751">
        <v>0</v>
      </c>
      <c r="CP293" s="751">
        <v>0</v>
      </c>
      <c r="CQ293" s="751">
        <v>0</v>
      </c>
      <c r="CR293" s="751">
        <v>0</v>
      </c>
      <c r="CS293" s="751">
        <v>0</v>
      </c>
      <c r="CT293" s="751">
        <v>0</v>
      </c>
      <c r="CU293" s="751">
        <v>0</v>
      </c>
      <c r="CV293" s="751">
        <v>0</v>
      </c>
      <c r="CW293" s="751">
        <v>3488712</v>
      </c>
      <c r="CX293" s="751">
        <v>782716</v>
      </c>
      <c r="CY293" s="751">
        <v>86969</v>
      </c>
      <c r="CZ293" s="751">
        <v>4358397</v>
      </c>
      <c r="DA293" s="662" t="s">
        <v>439</v>
      </c>
      <c r="DB293" s="324" t="s">
        <v>525</v>
      </c>
      <c r="DC293" s="663" t="s">
        <v>524</v>
      </c>
      <c r="DD293" s="529" t="s">
        <v>1499</v>
      </c>
    </row>
    <row r="294" spans="1:108" ht="12.75" x14ac:dyDescent="0.2">
      <c r="A294" s="664">
        <v>287</v>
      </c>
      <c r="B294" s="665" t="s">
        <v>442</v>
      </c>
      <c r="C294" s="666" t="s">
        <v>1201</v>
      </c>
      <c r="D294" s="667" t="s">
        <v>1211</v>
      </c>
      <c r="E294" s="668" t="s">
        <v>441</v>
      </c>
      <c r="F294" s="750">
        <v>60594014</v>
      </c>
      <c r="G294" s="751">
        <v>0</v>
      </c>
      <c r="H294" s="751">
        <v>170803</v>
      </c>
      <c r="I294" s="751">
        <v>144650</v>
      </c>
      <c r="J294" s="751">
        <v>0</v>
      </c>
      <c r="K294" s="751">
        <v>144650</v>
      </c>
      <c r="L294" s="751">
        <v>0</v>
      </c>
      <c r="M294" s="751">
        <v>0</v>
      </c>
      <c r="N294" s="751">
        <v>0</v>
      </c>
      <c r="O294" s="751">
        <v>0</v>
      </c>
      <c r="P294" s="751">
        <v>0</v>
      </c>
      <c r="Q294" s="751">
        <v>0</v>
      </c>
      <c r="R294" s="751">
        <v>60278561</v>
      </c>
      <c r="S294" s="749">
        <v>0.5</v>
      </c>
      <c r="T294" s="749">
        <v>0.4</v>
      </c>
      <c r="U294" s="749">
        <v>0.1</v>
      </c>
      <c r="V294" s="749">
        <v>0</v>
      </c>
      <c r="W294" s="749">
        <v>1</v>
      </c>
      <c r="X294" s="751">
        <v>30139281</v>
      </c>
      <c r="Y294" s="751">
        <v>24111424</v>
      </c>
      <c r="Z294" s="751">
        <v>6027856</v>
      </c>
      <c r="AA294" s="751">
        <v>0</v>
      </c>
      <c r="AB294" s="751">
        <v>60278561</v>
      </c>
      <c r="AC294" s="751">
        <v>0</v>
      </c>
      <c r="AD294" s="751">
        <v>0</v>
      </c>
      <c r="AE294" s="751">
        <v>30139281</v>
      </c>
      <c r="AF294" s="751">
        <v>24111424</v>
      </c>
      <c r="AG294" s="751">
        <v>6027856</v>
      </c>
      <c r="AH294" s="751">
        <v>0</v>
      </c>
      <c r="AI294" s="751">
        <v>60278561</v>
      </c>
      <c r="AJ294" s="751">
        <v>144650</v>
      </c>
      <c r="AK294" s="751">
        <v>144650</v>
      </c>
      <c r="AL294" s="751">
        <v>0</v>
      </c>
      <c r="AM294" s="751">
        <v>0</v>
      </c>
      <c r="AN294" s="751">
        <v>0</v>
      </c>
      <c r="AO294" s="751">
        <v>0</v>
      </c>
      <c r="AP294" s="751">
        <v>0</v>
      </c>
      <c r="AQ294" s="751">
        <v>0</v>
      </c>
      <c r="AR294" s="751">
        <v>0</v>
      </c>
      <c r="AS294" s="751">
        <v>0</v>
      </c>
      <c r="AT294" s="751">
        <v>0</v>
      </c>
      <c r="AU294" s="751">
        <v>0</v>
      </c>
      <c r="AV294" s="751">
        <v>0</v>
      </c>
      <c r="AW294" s="751">
        <v>0</v>
      </c>
      <c r="AX294" s="751">
        <v>0</v>
      </c>
      <c r="AY294" s="751">
        <v>0</v>
      </c>
      <c r="AZ294" s="751">
        <v>0</v>
      </c>
      <c r="BA294" s="751">
        <v>0</v>
      </c>
      <c r="BB294" s="751">
        <v>0</v>
      </c>
      <c r="BC294" s="751">
        <v>-11833011</v>
      </c>
      <c r="BD294" s="751">
        <v>-9475988</v>
      </c>
      <c r="BE294" s="751">
        <v>-2388953</v>
      </c>
      <c r="BF294" s="751">
        <v>0</v>
      </c>
      <c r="BG294" s="751">
        <v>-23697952</v>
      </c>
      <c r="BH294" s="751">
        <v>18306270</v>
      </c>
      <c r="BI294" s="751">
        <v>14780086</v>
      </c>
      <c r="BJ294" s="751">
        <v>3638903</v>
      </c>
      <c r="BK294" s="751">
        <v>0</v>
      </c>
      <c r="BL294" s="751">
        <v>36725259</v>
      </c>
      <c r="BM294" s="751">
        <v>1256307</v>
      </c>
      <c r="BN294" s="751">
        <v>314077</v>
      </c>
      <c r="BO294" s="751">
        <v>0</v>
      </c>
      <c r="BP294" s="751">
        <v>1570384</v>
      </c>
      <c r="BQ294" s="751">
        <v>763550</v>
      </c>
      <c r="BR294" s="751">
        <v>190888</v>
      </c>
      <c r="BS294" s="751">
        <v>0</v>
      </c>
      <c r="BT294" s="751">
        <v>954438</v>
      </c>
      <c r="BU294" s="751">
        <v>82870</v>
      </c>
      <c r="BV294" s="751">
        <v>20717</v>
      </c>
      <c r="BW294" s="751">
        <v>0</v>
      </c>
      <c r="BX294" s="751">
        <v>103587</v>
      </c>
      <c r="BY294" s="751">
        <v>0</v>
      </c>
      <c r="BZ294" s="751">
        <v>0</v>
      </c>
      <c r="CA294" s="751">
        <v>0</v>
      </c>
      <c r="CB294" s="751">
        <v>0</v>
      </c>
      <c r="CC294" s="751">
        <v>0</v>
      </c>
      <c r="CD294" s="751">
        <v>0</v>
      </c>
      <c r="CE294" s="751">
        <v>0</v>
      </c>
      <c r="CF294" s="751">
        <v>0</v>
      </c>
      <c r="CG294" s="751">
        <v>18126</v>
      </c>
      <c r="CH294" s="751">
        <v>4532</v>
      </c>
      <c r="CI294" s="751">
        <v>0</v>
      </c>
      <c r="CJ294" s="751">
        <v>22658</v>
      </c>
      <c r="CK294" s="751">
        <v>0</v>
      </c>
      <c r="CL294" s="751">
        <v>0</v>
      </c>
      <c r="CM294" s="751">
        <v>0</v>
      </c>
      <c r="CN294" s="751">
        <v>0</v>
      </c>
      <c r="CO294" s="751">
        <v>0</v>
      </c>
      <c r="CP294" s="751">
        <v>0</v>
      </c>
      <c r="CQ294" s="751">
        <v>0</v>
      </c>
      <c r="CR294" s="751">
        <v>0</v>
      </c>
      <c r="CS294" s="751">
        <v>0</v>
      </c>
      <c r="CT294" s="751">
        <v>0</v>
      </c>
      <c r="CU294" s="751">
        <v>0</v>
      </c>
      <c r="CV294" s="751">
        <v>0</v>
      </c>
      <c r="CW294" s="751">
        <v>2120853</v>
      </c>
      <c r="CX294" s="751">
        <v>530214</v>
      </c>
      <c r="CY294" s="751">
        <v>0</v>
      </c>
      <c r="CZ294" s="751">
        <v>2651067</v>
      </c>
      <c r="DA294" s="662" t="s">
        <v>441</v>
      </c>
      <c r="DB294" s="324" t="s">
        <v>536</v>
      </c>
      <c r="DC294" s="663" t="s">
        <v>512</v>
      </c>
      <c r="DD294" s="529" t="s">
        <v>1500</v>
      </c>
    </row>
    <row r="295" spans="1:108" ht="12.75" x14ac:dyDescent="0.2">
      <c r="A295" s="664">
        <v>288</v>
      </c>
      <c r="B295" s="665" t="s">
        <v>443</v>
      </c>
      <c r="C295" s="666" t="s">
        <v>486</v>
      </c>
      <c r="D295" s="667" t="s">
        <v>1202</v>
      </c>
      <c r="E295" s="668" t="s">
        <v>495</v>
      </c>
      <c r="F295" s="750">
        <v>89239486</v>
      </c>
      <c r="G295" s="751">
        <v>0</v>
      </c>
      <c r="H295" s="751">
        <v>662238</v>
      </c>
      <c r="I295" s="751">
        <v>256829</v>
      </c>
      <c r="J295" s="751">
        <v>0</v>
      </c>
      <c r="K295" s="751">
        <v>256829</v>
      </c>
      <c r="L295" s="751">
        <v>0</v>
      </c>
      <c r="M295" s="751">
        <v>0</v>
      </c>
      <c r="N295" s="751">
        <v>0</v>
      </c>
      <c r="O295" s="751">
        <v>0</v>
      </c>
      <c r="P295" s="751">
        <v>0</v>
      </c>
      <c r="Q295" s="751">
        <v>0</v>
      </c>
      <c r="R295" s="751">
        <v>88320419</v>
      </c>
      <c r="S295" s="749">
        <v>0.5</v>
      </c>
      <c r="T295" s="749">
        <v>0.49</v>
      </c>
      <c r="U295" s="749">
        <v>0</v>
      </c>
      <c r="V295" s="749">
        <v>0.01</v>
      </c>
      <c r="W295" s="749">
        <v>1</v>
      </c>
      <c r="X295" s="751">
        <v>44160210</v>
      </c>
      <c r="Y295" s="751">
        <v>43277005</v>
      </c>
      <c r="Z295" s="751">
        <v>0</v>
      </c>
      <c r="AA295" s="751">
        <v>883204</v>
      </c>
      <c r="AB295" s="751">
        <v>88320419</v>
      </c>
      <c r="AC295" s="751">
        <v>0</v>
      </c>
      <c r="AD295" s="751">
        <v>0</v>
      </c>
      <c r="AE295" s="751">
        <v>44160210</v>
      </c>
      <c r="AF295" s="751">
        <v>43277005</v>
      </c>
      <c r="AG295" s="751">
        <v>0</v>
      </c>
      <c r="AH295" s="751">
        <v>883204</v>
      </c>
      <c r="AI295" s="751">
        <v>88320419</v>
      </c>
      <c r="AJ295" s="751">
        <v>256829</v>
      </c>
      <c r="AK295" s="751">
        <v>256829</v>
      </c>
      <c r="AL295" s="751">
        <v>0</v>
      </c>
      <c r="AM295" s="751">
        <v>0</v>
      </c>
      <c r="AN295" s="751">
        <v>0</v>
      </c>
      <c r="AO295" s="751">
        <v>0</v>
      </c>
      <c r="AP295" s="751">
        <v>0</v>
      </c>
      <c r="AQ295" s="751">
        <v>0</v>
      </c>
      <c r="AR295" s="751">
        <v>0</v>
      </c>
      <c r="AS295" s="751">
        <v>0</v>
      </c>
      <c r="AT295" s="751">
        <v>0</v>
      </c>
      <c r="AU295" s="751">
        <v>0</v>
      </c>
      <c r="AV295" s="751">
        <v>0</v>
      </c>
      <c r="AW295" s="751">
        <v>0</v>
      </c>
      <c r="AX295" s="751">
        <v>0</v>
      </c>
      <c r="AY295" s="751">
        <v>0</v>
      </c>
      <c r="AZ295" s="751">
        <v>0</v>
      </c>
      <c r="BA295" s="751">
        <v>0</v>
      </c>
      <c r="BB295" s="751">
        <v>0</v>
      </c>
      <c r="BC295" s="751">
        <v>-19618227</v>
      </c>
      <c r="BD295" s="751">
        <v>-20313429</v>
      </c>
      <c r="BE295" s="751">
        <v>0</v>
      </c>
      <c r="BF295" s="751">
        <v>-403350</v>
      </c>
      <c r="BG295" s="751">
        <v>-40335005</v>
      </c>
      <c r="BH295" s="751">
        <v>24541983</v>
      </c>
      <c r="BI295" s="751">
        <v>23220405</v>
      </c>
      <c r="BJ295" s="751">
        <v>0</v>
      </c>
      <c r="BK295" s="751">
        <v>479854</v>
      </c>
      <c r="BL295" s="751">
        <v>48242243</v>
      </c>
      <c r="BM295" s="751">
        <v>2254914</v>
      </c>
      <c r="BN295" s="751">
        <v>0</v>
      </c>
      <c r="BO295" s="751">
        <v>46019</v>
      </c>
      <c r="BP295" s="751">
        <v>2300933</v>
      </c>
      <c r="BQ295" s="751">
        <v>2368133</v>
      </c>
      <c r="BR295" s="751">
        <v>0</v>
      </c>
      <c r="BS295" s="751">
        <v>48329</v>
      </c>
      <c r="BT295" s="751">
        <v>2416462</v>
      </c>
      <c r="BU295" s="751">
        <v>185597</v>
      </c>
      <c r="BV295" s="751">
        <v>0</v>
      </c>
      <c r="BW295" s="751">
        <v>3788</v>
      </c>
      <c r="BX295" s="751">
        <v>189385</v>
      </c>
      <c r="BY295" s="751">
        <v>20501</v>
      </c>
      <c r="BZ295" s="751">
        <v>0</v>
      </c>
      <c r="CA295" s="751">
        <v>418</v>
      </c>
      <c r="CB295" s="751">
        <v>20919</v>
      </c>
      <c r="CC295" s="751">
        <v>0</v>
      </c>
      <c r="CD295" s="751">
        <v>0</v>
      </c>
      <c r="CE295" s="751">
        <v>0</v>
      </c>
      <c r="CF295" s="751">
        <v>0</v>
      </c>
      <c r="CG295" s="751">
        <v>264169</v>
      </c>
      <c r="CH295" s="751">
        <v>0</v>
      </c>
      <c r="CI295" s="751">
        <v>5391</v>
      </c>
      <c r="CJ295" s="751">
        <v>269560</v>
      </c>
      <c r="CK295" s="751">
        <v>0</v>
      </c>
      <c r="CL295" s="751">
        <v>0</v>
      </c>
      <c r="CM295" s="751">
        <v>0</v>
      </c>
      <c r="CN295" s="751">
        <v>0</v>
      </c>
      <c r="CO295" s="751">
        <v>0</v>
      </c>
      <c r="CP295" s="751">
        <v>0</v>
      </c>
      <c r="CQ295" s="751">
        <v>0</v>
      </c>
      <c r="CR295" s="751">
        <v>0</v>
      </c>
      <c r="CS295" s="751">
        <v>0</v>
      </c>
      <c r="CT295" s="751">
        <v>0</v>
      </c>
      <c r="CU295" s="751">
        <v>0</v>
      </c>
      <c r="CV295" s="751">
        <v>0</v>
      </c>
      <c r="CW295" s="751">
        <v>5093314</v>
      </c>
      <c r="CX295" s="751">
        <v>0</v>
      </c>
      <c r="CY295" s="751">
        <v>103945</v>
      </c>
      <c r="CZ295" s="751">
        <v>5197259</v>
      </c>
      <c r="DA295" s="662" t="s">
        <v>495</v>
      </c>
      <c r="DB295" s="324" t="s">
        <v>486</v>
      </c>
      <c r="DC295" s="663" t="s">
        <v>494</v>
      </c>
      <c r="DD295" s="529" t="s">
        <v>1501</v>
      </c>
    </row>
    <row r="296" spans="1:108" ht="12.75" x14ac:dyDescent="0.2">
      <c r="A296" s="664">
        <v>289</v>
      </c>
      <c r="B296" s="665" t="s">
        <v>445</v>
      </c>
      <c r="C296" s="666" t="s">
        <v>1201</v>
      </c>
      <c r="D296" s="667" t="s">
        <v>1224</v>
      </c>
      <c r="E296" s="668" t="s">
        <v>444</v>
      </c>
      <c r="F296" s="750">
        <v>10630931</v>
      </c>
      <c r="G296" s="751">
        <v>76867</v>
      </c>
      <c r="H296" s="751">
        <v>0</v>
      </c>
      <c r="I296" s="751">
        <v>81891</v>
      </c>
      <c r="J296" s="751">
        <v>0</v>
      </c>
      <c r="K296" s="751">
        <v>81891</v>
      </c>
      <c r="L296" s="751">
        <v>0</v>
      </c>
      <c r="M296" s="751">
        <v>0</v>
      </c>
      <c r="N296" s="751">
        <v>0</v>
      </c>
      <c r="O296" s="751">
        <v>0</v>
      </c>
      <c r="P296" s="751">
        <v>0</v>
      </c>
      <c r="Q296" s="751">
        <v>0</v>
      </c>
      <c r="R296" s="751">
        <v>10625907</v>
      </c>
      <c r="S296" s="749">
        <v>0.5</v>
      </c>
      <c r="T296" s="749">
        <v>0.4</v>
      </c>
      <c r="U296" s="749">
        <v>0.09</v>
      </c>
      <c r="V296" s="749">
        <v>0.01</v>
      </c>
      <c r="W296" s="749">
        <v>1</v>
      </c>
      <c r="X296" s="751">
        <v>5312953</v>
      </c>
      <c r="Y296" s="751">
        <v>4250363</v>
      </c>
      <c r="Z296" s="751">
        <v>956332</v>
      </c>
      <c r="AA296" s="751">
        <v>106259</v>
      </c>
      <c r="AB296" s="751">
        <v>10625907</v>
      </c>
      <c r="AC296" s="751">
        <v>0</v>
      </c>
      <c r="AD296" s="751">
        <v>0</v>
      </c>
      <c r="AE296" s="751">
        <v>5312953</v>
      </c>
      <c r="AF296" s="751">
        <v>4250363</v>
      </c>
      <c r="AG296" s="751">
        <v>956332</v>
      </c>
      <c r="AH296" s="751">
        <v>106259</v>
      </c>
      <c r="AI296" s="751">
        <v>10625907</v>
      </c>
      <c r="AJ296" s="751">
        <v>81891</v>
      </c>
      <c r="AK296" s="751">
        <v>81891</v>
      </c>
      <c r="AL296" s="751">
        <v>0</v>
      </c>
      <c r="AM296" s="751">
        <v>0</v>
      </c>
      <c r="AN296" s="751">
        <v>0</v>
      </c>
      <c r="AO296" s="751">
        <v>0</v>
      </c>
      <c r="AP296" s="751">
        <v>0</v>
      </c>
      <c r="AQ296" s="751">
        <v>0</v>
      </c>
      <c r="AR296" s="751">
        <v>0</v>
      </c>
      <c r="AS296" s="751">
        <v>0</v>
      </c>
      <c r="AT296" s="751">
        <v>0</v>
      </c>
      <c r="AU296" s="751">
        <v>0</v>
      </c>
      <c r="AV296" s="751">
        <v>0</v>
      </c>
      <c r="AW296" s="751">
        <v>0</v>
      </c>
      <c r="AX296" s="751">
        <v>0</v>
      </c>
      <c r="AY296" s="751">
        <v>0</v>
      </c>
      <c r="AZ296" s="751">
        <v>0</v>
      </c>
      <c r="BA296" s="751">
        <v>0</v>
      </c>
      <c r="BB296" s="751">
        <v>0</v>
      </c>
      <c r="BC296" s="751">
        <v>-3196026</v>
      </c>
      <c r="BD296" s="751">
        <v>-2556820</v>
      </c>
      <c r="BE296" s="751">
        <v>-575285</v>
      </c>
      <c r="BF296" s="751">
        <v>-63921</v>
      </c>
      <c r="BG296" s="751">
        <v>-6392051</v>
      </c>
      <c r="BH296" s="751">
        <v>2116928</v>
      </c>
      <c r="BI296" s="751">
        <v>1775434</v>
      </c>
      <c r="BJ296" s="751">
        <v>381047</v>
      </c>
      <c r="BK296" s="751">
        <v>42338</v>
      </c>
      <c r="BL296" s="751">
        <v>4315747</v>
      </c>
      <c r="BM296" s="751">
        <v>221462</v>
      </c>
      <c r="BN296" s="751">
        <v>49829</v>
      </c>
      <c r="BO296" s="751">
        <v>5537</v>
      </c>
      <c r="BP296" s="751">
        <v>276828</v>
      </c>
      <c r="BQ296" s="751">
        <v>892426</v>
      </c>
      <c r="BR296" s="751">
        <v>200796</v>
      </c>
      <c r="BS296" s="751">
        <v>22311</v>
      </c>
      <c r="BT296" s="751">
        <v>1115533</v>
      </c>
      <c r="BU296" s="751">
        <v>32391</v>
      </c>
      <c r="BV296" s="751">
        <v>7288</v>
      </c>
      <c r="BW296" s="751">
        <v>810</v>
      </c>
      <c r="BX296" s="751">
        <v>40489</v>
      </c>
      <c r="BY296" s="751">
        <v>0</v>
      </c>
      <c r="BZ296" s="751">
        <v>0</v>
      </c>
      <c r="CA296" s="751">
        <v>0</v>
      </c>
      <c r="CB296" s="751">
        <v>0</v>
      </c>
      <c r="CC296" s="751">
        <v>16758</v>
      </c>
      <c r="CD296" s="751">
        <v>3771</v>
      </c>
      <c r="CE296" s="751">
        <v>419</v>
      </c>
      <c r="CF296" s="751">
        <v>20948</v>
      </c>
      <c r="CG296" s="751">
        <v>11522</v>
      </c>
      <c r="CH296" s="751">
        <v>2592</v>
      </c>
      <c r="CI296" s="751">
        <v>288</v>
      </c>
      <c r="CJ296" s="751">
        <v>14402</v>
      </c>
      <c r="CK296" s="751">
        <v>0</v>
      </c>
      <c r="CL296" s="751">
        <v>0</v>
      </c>
      <c r="CM296" s="751">
        <v>0</v>
      </c>
      <c r="CN296" s="751">
        <v>0</v>
      </c>
      <c r="CO296" s="751">
        <v>0</v>
      </c>
      <c r="CP296" s="751">
        <v>0</v>
      </c>
      <c r="CQ296" s="751">
        <v>0</v>
      </c>
      <c r="CR296" s="751">
        <v>0</v>
      </c>
      <c r="CS296" s="751">
        <v>631</v>
      </c>
      <c r="CT296" s="751">
        <v>142</v>
      </c>
      <c r="CU296" s="751">
        <v>16</v>
      </c>
      <c r="CV296" s="751">
        <v>789</v>
      </c>
      <c r="CW296" s="751">
        <v>1175190</v>
      </c>
      <c r="CX296" s="751">
        <v>264418</v>
      </c>
      <c r="CY296" s="751">
        <v>29381</v>
      </c>
      <c r="CZ296" s="751">
        <v>1468989</v>
      </c>
      <c r="DA296" s="662" t="s">
        <v>444</v>
      </c>
      <c r="DB296" s="324" t="s">
        <v>521</v>
      </c>
      <c r="DC296" s="663" t="s">
        <v>519</v>
      </c>
      <c r="DD296" s="529" t="s">
        <v>1502</v>
      </c>
    </row>
    <row r="297" spans="1:108" ht="12.75" x14ac:dyDescent="0.2">
      <c r="A297" s="664">
        <v>290</v>
      </c>
      <c r="B297" s="665" t="s">
        <v>447</v>
      </c>
      <c r="C297" s="666" t="s">
        <v>1201</v>
      </c>
      <c r="D297" s="667" t="s">
        <v>1204</v>
      </c>
      <c r="E297" s="668" t="s">
        <v>446</v>
      </c>
      <c r="F297" s="750">
        <v>30937669</v>
      </c>
      <c r="G297" s="751">
        <v>0</v>
      </c>
      <c r="H297" s="751">
        <v>3342</v>
      </c>
      <c r="I297" s="751">
        <v>126905</v>
      </c>
      <c r="J297" s="751">
        <v>0</v>
      </c>
      <c r="K297" s="751">
        <v>126905</v>
      </c>
      <c r="L297" s="751">
        <v>0</v>
      </c>
      <c r="M297" s="751">
        <v>0</v>
      </c>
      <c r="N297" s="751">
        <v>0</v>
      </c>
      <c r="O297" s="751">
        <v>0</v>
      </c>
      <c r="P297" s="751">
        <v>0</v>
      </c>
      <c r="Q297" s="751">
        <v>0</v>
      </c>
      <c r="R297" s="751">
        <v>30807422</v>
      </c>
      <c r="S297" s="749">
        <v>0.5</v>
      </c>
      <c r="T297" s="749">
        <v>0.4</v>
      </c>
      <c r="U297" s="749">
        <v>0.09</v>
      </c>
      <c r="V297" s="749">
        <v>0.01</v>
      </c>
      <c r="W297" s="749">
        <v>1</v>
      </c>
      <c r="X297" s="751">
        <v>15403711</v>
      </c>
      <c r="Y297" s="751">
        <v>12322969</v>
      </c>
      <c r="Z297" s="751">
        <v>2772668</v>
      </c>
      <c r="AA297" s="751">
        <v>308074</v>
      </c>
      <c r="AB297" s="751">
        <v>30807422</v>
      </c>
      <c r="AC297" s="751">
        <v>0</v>
      </c>
      <c r="AD297" s="751">
        <v>0</v>
      </c>
      <c r="AE297" s="751">
        <v>15403711</v>
      </c>
      <c r="AF297" s="751">
        <v>12322969</v>
      </c>
      <c r="AG297" s="751">
        <v>2772668</v>
      </c>
      <c r="AH297" s="751">
        <v>308074</v>
      </c>
      <c r="AI297" s="751">
        <v>30807422</v>
      </c>
      <c r="AJ297" s="751">
        <v>126905</v>
      </c>
      <c r="AK297" s="751">
        <v>126905</v>
      </c>
      <c r="AL297" s="751">
        <v>0</v>
      </c>
      <c r="AM297" s="751">
        <v>0</v>
      </c>
      <c r="AN297" s="751">
        <v>0</v>
      </c>
      <c r="AO297" s="751">
        <v>0</v>
      </c>
      <c r="AP297" s="751">
        <v>0</v>
      </c>
      <c r="AQ297" s="751">
        <v>0</v>
      </c>
      <c r="AR297" s="751">
        <v>0</v>
      </c>
      <c r="AS297" s="751">
        <v>0</v>
      </c>
      <c r="AT297" s="751">
        <v>0</v>
      </c>
      <c r="AU297" s="751">
        <v>0</v>
      </c>
      <c r="AV297" s="751">
        <v>0</v>
      </c>
      <c r="AW297" s="751">
        <v>0</v>
      </c>
      <c r="AX297" s="751">
        <v>0</v>
      </c>
      <c r="AY297" s="751">
        <v>0</v>
      </c>
      <c r="AZ297" s="751">
        <v>0</v>
      </c>
      <c r="BA297" s="751">
        <v>0</v>
      </c>
      <c r="BB297" s="751">
        <v>0</v>
      </c>
      <c r="BC297" s="751">
        <v>-4406300</v>
      </c>
      <c r="BD297" s="751">
        <v>-2642597</v>
      </c>
      <c r="BE297" s="751">
        <v>-474474</v>
      </c>
      <c r="BF297" s="751">
        <v>-63614</v>
      </c>
      <c r="BG297" s="751">
        <v>-7586985</v>
      </c>
      <c r="BH297" s="751">
        <v>10997411</v>
      </c>
      <c r="BI297" s="751">
        <v>9807277</v>
      </c>
      <c r="BJ297" s="751">
        <v>2298194</v>
      </c>
      <c r="BK297" s="751">
        <v>244460</v>
      </c>
      <c r="BL297" s="751">
        <v>23347342</v>
      </c>
      <c r="BM297" s="751">
        <v>642079</v>
      </c>
      <c r="BN297" s="751">
        <v>144468</v>
      </c>
      <c r="BO297" s="751">
        <v>16052</v>
      </c>
      <c r="BP297" s="751">
        <v>802599</v>
      </c>
      <c r="BQ297" s="751">
        <v>1185040</v>
      </c>
      <c r="BR297" s="751">
        <v>266634</v>
      </c>
      <c r="BS297" s="751">
        <v>29626</v>
      </c>
      <c r="BT297" s="751">
        <v>1481300</v>
      </c>
      <c r="BU297" s="751">
        <v>66172</v>
      </c>
      <c r="BV297" s="751">
        <v>14889</v>
      </c>
      <c r="BW297" s="751">
        <v>1654</v>
      </c>
      <c r="BX297" s="751">
        <v>82715</v>
      </c>
      <c r="BY297" s="751">
        <v>7580</v>
      </c>
      <c r="BZ297" s="751">
        <v>1706</v>
      </c>
      <c r="CA297" s="751">
        <v>190</v>
      </c>
      <c r="CB297" s="751">
        <v>9476</v>
      </c>
      <c r="CC297" s="751">
        <v>641</v>
      </c>
      <c r="CD297" s="751">
        <v>144</v>
      </c>
      <c r="CE297" s="751">
        <v>16</v>
      </c>
      <c r="CF297" s="751">
        <v>801</v>
      </c>
      <c r="CG297" s="751">
        <v>892</v>
      </c>
      <c r="CH297" s="751">
        <v>201</v>
      </c>
      <c r="CI297" s="751">
        <v>22</v>
      </c>
      <c r="CJ297" s="751">
        <v>1115</v>
      </c>
      <c r="CK297" s="751">
        <v>0</v>
      </c>
      <c r="CL297" s="751">
        <v>0</v>
      </c>
      <c r="CM297" s="751">
        <v>0</v>
      </c>
      <c r="CN297" s="751">
        <v>0</v>
      </c>
      <c r="CO297" s="751">
        <v>0</v>
      </c>
      <c r="CP297" s="751">
        <v>0</v>
      </c>
      <c r="CQ297" s="751">
        <v>0</v>
      </c>
      <c r="CR297" s="751">
        <v>0</v>
      </c>
      <c r="CS297" s="751">
        <v>0</v>
      </c>
      <c r="CT297" s="751">
        <v>0</v>
      </c>
      <c r="CU297" s="751">
        <v>0</v>
      </c>
      <c r="CV297" s="751">
        <v>0</v>
      </c>
      <c r="CW297" s="751">
        <v>1902404</v>
      </c>
      <c r="CX297" s="751">
        <v>428042</v>
      </c>
      <c r="CY297" s="751">
        <v>47560</v>
      </c>
      <c r="CZ297" s="751">
        <v>2378006</v>
      </c>
      <c r="DA297" s="662" t="s">
        <v>446</v>
      </c>
      <c r="DB297" s="324" t="s">
        <v>547</v>
      </c>
      <c r="DC297" s="663" t="s">
        <v>545</v>
      </c>
      <c r="DD297" s="529" t="s">
        <v>1503</v>
      </c>
    </row>
    <row r="298" spans="1:108" ht="12.75" x14ac:dyDescent="0.2">
      <c r="A298" s="664">
        <v>291</v>
      </c>
      <c r="B298" s="665" t="s">
        <v>449</v>
      </c>
      <c r="C298" s="666" t="s">
        <v>1201</v>
      </c>
      <c r="D298" s="667" t="s">
        <v>1206</v>
      </c>
      <c r="E298" s="668" t="s">
        <v>448</v>
      </c>
      <c r="F298" s="750">
        <v>18160682</v>
      </c>
      <c r="G298" s="751">
        <v>113264</v>
      </c>
      <c r="H298" s="751">
        <v>0</v>
      </c>
      <c r="I298" s="751">
        <v>104723</v>
      </c>
      <c r="J298" s="751">
        <v>0</v>
      </c>
      <c r="K298" s="751">
        <v>104723</v>
      </c>
      <c r="L298" s="751">
        <v>0</v>
      </c>
      <c r="M298" s="751">
        <v>0</v>
      </c>
      <c r="N298" s="751">
        <v>204957</v>
      </c>
      <c r="O298" s="751">
        <v>52313</v>
      </c>
      <c r="P298" s="751">
        <v>152644</v>
      </c>
      <c r="Q298" s="751">
        <v>0</v>
      </c>
      <c r="R298" s="751">
        <v>17964266</v>
      </c>
      <c r="S298" s="749">
        <v>0.5</v>
      </c>
      <c r="T298" s="749">
        <v>0.4</v>
      </c>
      <c r="U298" s="749">
        <v>0.1</v>
      </c>
      <c r="V298" s="749">
        <v>0</v>
      </c>
      <c r="W298" s="749">
        <v>1</v>
      </c>
      <c r="X298" s="751">
        <v>8982133</v>
      </c>
      <c r="Y298" s="751">
        <v>7185706</v>
      </c>
      <c r="Z298" s="751">
        <v>1796427</v>
      </c>
      <c r="AA298" s="751">
        <v>0</v>
      </c>
      <c r="AB298" s="751">
        <v>17964266</v>
      </c>
      <c r="AC298" s="751">
        <v>0</v>
      </c>
      <c r="AD298" s="751">
        <v>0</v>
      </c>
      <c r="AE298" s="751">
        <v>8982133</v>
      </c>
      <c r="AF298" s="751">
        <v>7185706</v>
      </c>
      <c r="AG298" s="751">
        <v>1796427</v>
      </c>
      <c r="AH298" s="751">
        <v>0</v>
      </c>
      <c r="AI298" s="751">
        <v>17964266</v>
      </c>
      <c r="AJ298" s="751">
        <v>104723</v>
      </c>
      <c r="AK298" s="751">
        <v>104723</v>
      </c>
      <c r="AL298" s="751">
        <v>0</v>
      </c>
      <c r="AM298" s="751">
        <v>0</v>
      </c>
      <c r="AN298" s="751">
        <v>52313</v>
      </c>
      <c r="AO298" s="751">
        <v>152644</v>
      </c>
      <c r="AP298" s="751">
        <v>204957</v>
      </c>
      <c r="AQ298" s="751">
        <v>0</v>
      </c>
      <c r="AR298" s="751">
        <v>0</v>
      </c>
      <c r="AS298" s="751">
        <v>0</v>
      </c>
      <c r="AT298" s="751">
        <v>0</v>
      </c>
      <c r="AU298" s="751">
        <v>0</v>
      </c>
      <c r="AV298" s="751">
        <v>0</v>
      </c>
      <c r="AW298" s="751">
        <v>0</v>
      </c>
      <c r="AX298" s="751">
        <v>0</v>
      </c>
      <c r="AY298" s="751">
        <v>0</v>
      </c>
      <c r="AZ298" s="751">
        <v>0</v>
      </c>
      <c r="BA298" s="751">
        <v>0</v>
      </c>
      <c r="BB298" s="751">
        <v>0</v>
      </c>
      <c r="BC298" s="751">
        <v>-3630652</v>
      </c>
      <c r="BD298" s="751">
        <v>-2904522</v>
      </c>
      <c r="BE298" s="751">
        <v>-726130</v>
      </c>
      <c r="BF298" s="751">
        <v>0</v>
      </c>
      <c r="BG298" s="751">
        <v>-7261305</v>
      </c>
      <c r="BH298" s="751">
        <v>5351481</v>
      </c>
      <c r="BI298" s="751">
        <v>4438220</v>
      </c>
      <c r="BJ298" s="751">
        <v>1222941</v>
      </c>
      <c r="BK298" s="751">
        <v>0</v>
      </c>
      <c r="BL298" s="751">
        <v>11012641</v>
      </c>
      <c r="BM298" s="751">
        <v>377131</v>
      </c>
      <c r="BN298" s="751">
        <v>101555</v>
      </c>
      <c r="BO298" s="751">
        <v>0</v>
      </c>
      <c r="BP298" s="751">
        <v>478686</v>
      </c>
      <c r="BQ298" s="751">
        <v>851238</v>
      </c>
      <c r="BR298" s="751">
        <v>212810</v>
      </c>
      <c r="BS298" s="751">
        <v>0</v>
      </c>
      <c r="BT298" s="751">
        <v>1064048</v>
      </c>
      <c r="BU298" s="751">
        <v>42585</v>
      </c>
      <c r="BV298" s="751">
        <v>10646</v>
      </c>
      <c r="BW298" s="751">
        <v>0</v>
      </c>
      <c r="BX298" s="751">
        <v>53231</v>
      </c>
      <c r="BY298" s="751">
        <v>451</v>
      </c>
      <c r="BZ298" s="751">
        <v>113</v>
      </c>
      <c r="CA298" s="751">
        <v>0</v>
      </c>
      <c r="CB298" s="751">
        <v>564</v>
      </c>
      <c r="CC298" s="751">
        <v>14445</v>
      </c>
      <c r="CD298" s="751">
        <v>3611</v>
      </c>
      <c r="CE298" s="751">
        <v>0</v>
      </c>
      <c r="CF298" s="751">
        <v>18056</v>
      </c>
      <c r="CG298" s="751">
        <v>14053</v>
      </c>
      <c r="CH298" s="751">
        <v>3513</v>
      </c>
      <c r="CI298" s="751">
        <v>0</v>
      </c>
      <c r="CJ298" s="751">
        <v>17566</v>
      </c>
      <c r="CK298" s="751">
        <v>0</v>
      </c>
      <c r="CL298" s="751">
        <v>0</v>
      </c>
      <c r="CM298" s="751">
        <v>0</v>
      </c>
      <c r="CN298" s="751">
        <v>0</v>
      </c>
      <c r="CO298" s="751">
        <v>0</v>
      </c>
      <c r="CP298" s="751">
        <v>0</v>
      </c>
      <c r="CQ298" s="751">
        <v>0</v>
      </c>
      <c r="CR298" s="751">
        <v>0</v>
      </c>
      <c r="CS298" s="751">
        <v>0</v>
      </c>
      <c r="CT298" s="751">
        <v>0</v>
      </c>
      <c r="CU298" s="751">
        <v>0</v>
      </c>
      <c r="CV298" s="751">
        <v>0</v>
      </c>
      <c r="CW298" s="751">
        <v>1299903</v>
      </c>
      <c r="CX298" s="751">
        <v>332248</v>
      </c>
      <c r="CY298" s="751">
        <v>0</v>
      </c>
      <c r="CZ298" s="751">
        <v>1632151</v>
      </c>
      <c r="DA298" s="662" t="s">
        <v>448</v>
      </c>
      <c r="DB298" s="324" t="s">
        <v>552</v>
      </c>
      <c r="DC298" s="663" t="s">
        <v>512</v>
      </c>
      <c r="DD298" s="529" t="s">
        <v>1504</v>
      </c>
    </row>
    <row r="299" spans="1:108" ht="12.75" x14ac:dyDescent="0.2">
      <c r="A299" s="664">
        <v>292</v>
      </c>
      <c r="B299" s="665" t="s">
        <v>1126</v>
      </c>
      <c r="C299" s="666" t="s">
        <v>486</v>
      </c>
      <c r="D299" s="667" t="s">
        <v>1206</v>
      </c>
      <c r="E299" s="668" t="s">
        <v>1093</v>
      </c>
      <c r="F299" s="750">
        <v>172416828</v>
      </c>
      <c r="G299" s="751">
        <v>0</v>
      </c>
      <c r="H299" s="751">
        <v>161034</v>
      </c>
      <c r="I299" s="751">
        <v>502019</v>
      </c>
      <c r="J299" s="751">
        <v>0</v>
      </c>
      <c r="K299" s="751">
        <v>502019</v>
      </c>
      <c r="L299" s="751">
        <v>0</v>
      </c>
      <c r="M299" s="751">
        <v>1581888</v>
      </c>
      <c r="N299" s="751">
        <v>1453137</v>
      </c>
      <c r="O299" s="751">
        <v>1453137</v>
      </c>
      <c r="P299" s="751">
        <v>0</v>
      </c>
      <c r="Q299" s="751">
        <v>0</v>
      </c>
      <c r="R299" s="751">
        <v>168718750</v>
      </c>
      <c r="S299" s="749">
        <v>0.5</v>
      </c>
      <c r="T299" s="749">
        <v>0.49</v>
      </c>
      <c r="U299" s="749">
        <v>0</v>
      </c>
      <c r="V299" s="749">
        <v>0.01</v>
      </c>
      <c r="W299" s="749">
        <v>1</v>
      </c>
      <c r="X299" s="751">
        <v>84359374</v>
      </c>
      <c r="Y299" s="751">
        <v>82672188</v>
      </c>
      <c r="Z299" s="751">
        <v>0</v>
      </c>
      <c r="AA299" s="751">
        <v>1687188</v>
      </c>
      <c r="AB299" s="751">
        <v>168718750</v>
      </c>
      <c r="AC299" s="751">
        <v>256861</v>
      </c>
      <c r="AD299" s="751">
        <v>256861</v>
      </c>
      <c r="AE299" s="751">
        <v>84102513</v>
      </c>
      <c r="AF299" s="751">
        <v>82672188</v>
      </c>
      <c r="AG299" s="751">
        <v>0</v>
      </c>
      <c r="AH299" s="751">
        <v>1687188</v>
      </c>
      <c r="AI299" s="751">
        <v>168461889</v>
      </c>
      <c r="AJ299" s="751">
        <v>502019</v>
      </c>
      <c r="AK299" s="751">
        <v>502019</v>
      </c>
      <c r="AL299" s="751">
        <v>1581888</v>
      </c>
      <c r="AM299" s="751">
        <v>1581888</v>
      </c>
      <c r="AN299" s="751">
        <v>1453137</v>
      </c>
      <c r="AO299" s="751">
        <v>0</v>
      </c>
      <c r="AP299" s="751">
        <v>1453137</v>
      </c>
      <c r="AQ299" s="751">
        <v>0</v>
      </c>
      <c r="AR299" s="751">
        <v>0</v>
      </c>
      <c r="AS299" s="751">
        <v>0</v>
      </c>
      <c r="AT299" s="751">
        <v>0</v>
      </c>
      <c r="AU299" s="751">
        <v>256861</v>
      </c>
      <c r="AV299" s="751">
        <v>0</v>
      </c>
      <c r="AW299" s="751">
        <v>0</v>
      </c>
      <c r="AX299" s="751">
        <v>256861</v>
      </c>
      <c r="AY299" s="751">
        <v>0</v>
      </c>
      <c r="AZ299" s="751">
        <v>0</v>
      </c>
      <c r="BA299" s="751">
        <v>0</v>
      </c>
      <c r="BB299" s="751">
        <v>0</v>
      </c>
      <c r="BC299" s="751">
        <v>-29954926</v>
      </c>
      <c r="BD299" s="751">
        <v>-31775017</v>
      </c>
      <c r="BE299" s="751">
        <v>0</v>
      </c>
      <c r="BF299" s="751">
        <v>-623535</v>
      </c>
      <c r="BG299" s="751">
        <v>-62353478</v>
      </c>
      <c r="BH299" s="751">
        <v>54147587</v>
      </c>
      <c r="BI299" s="751">
        <v>54691076</v>
      </c>
      <c r="BJ299" s="751">
        <v>0</v>
      </c>
      <c r="BK299" s="751">
        <v>1063653</v>
      </c>
      <c r="BL299" s="751">
        <v>109902316</v>
      </c>
      <c r="BM299" s="751">
        <v>4479090</v>
      </c>
      <c r="BN299" s="751">
        <v>0</v>
      </c>
      <c r="BO299" s="751">
        <v>87910</v>
      </c>
      <c r="BP299" s="751">
        <v>4567000</v>
      </c>
      <c r="BQ299" s="751">
        <v>4508611</v>
      </c>
      <c r="BR299" s="751">
        <v>0</v>
      </c>
      <c r="BS299" s="751">
        <v>89915</v>
      </c>
      <c r="BT299" s="751">
        <v>4598526</v>
      </c>
      <c r="BU299" s="751">
        <v>330135</v>
      </c>
      <c r="BV299" s="751">
        <v>0</v>
      </c>
      <c r="BW299" s="751">
        <v>6307</v>
      </c>
      <c r="BX299" s="751">
        <v>336442</v>
      </c>
      <c r="BY299" s="751">
        <v>0</v>
      </c>
      <c r="BZ299" s="751">
        <v>0</v>
      </c>
      <c r="CA299" s="751">
        <v>0</v>
      </c>
      <c r="CB299" s="751">
        <v>0</v>
      </c>
      <c r="CC299" s="751">
        <v>65659</v>
      </c>
      <c r="CD299" s="751">
        <v>0</v>
      </c>
      <c r="CE299" s="751">
        <v>1340</v>
      </c>
      <c r="CF299" s="751">
        <v>66999</v>
      </c>
      <c r="CG299" s="751">
        <v>33248</v>
      </c>
      <c r="CH299" s="751">
        <v>0</v>
      </c>
      <c r="CI299" s="751">
        <v>679</v>
      </c>
      <c r="CJ299" s="751">
        <v>33927</v>
      </c>
      <c r="CK299" s="751">
        <v>0</v>
      </c>
      <c r="CL299" s="751">
        <v>0</v>
      </c>
      <c r="CM299" s="751">
        <v>0</v>
      </c>
      <c r="CN299" s="751">
        <v>0</v>
      </c>
      <c r="CO299" s="751">
        <v>0</v>
      </c>
      <c r="CP299" s="751">
        <v>0</v>
      </c>
      <c r="CQ299" s="751">
        <v>0</v>
      </c>
      <c r="CR299" s="751">
        <v>0</v>
      </c>
      <c r="CS299" s="751">
        <v>0</v>
      </c>
      <c r="CT299" s="751">
        <v>0</v>
      </c>
      <c r="CU299" s="751">
        <v>0</v>
      </c>
      <c r="CV299" s="751">
        <v>0</v>
      </c>
      <c r="CW299" s="751">
        <v>9416743</v>
      </c>
      <c r="CX299" s="751">
        <v>0</v>
      </c>
      <c r="CY299" s="751">
        <v>186151</v>
      </c>
      <c r="CZ299" s="751">
        <v>9602894</v>
      </c>
      <c r="DA299" s="662" t="s">
        <v>1093</v>
      </c>
      <c r="DB299" s="324" t="s">
        <v>486</v>
      </c>
      <c r="DC299" s="663" t="s">
        <v>1026</v>
      </c>
      <c r="DD299" s="529" t="s">
        <v>1541</v>
      </c>
    </row>
    <row r="300" spans="1:108" ht="12.75" x14ac:dyDescent="0.2">
      <c r="A300" s="664">
        <v>293</v>
      </c>
      <c r="B300" s="665" t="s">
        <v>451</v>
      </c>
      <c r="C300" s="666" t="s">
        <v>1201</v>
      </c>
      <c r="D300" s="667" t="s">
        <v>1202</v>
      </c>
      <c r="E300" s="668" t="s">
        <v>450</v>
      </c>
      <c r="F300" s="750">
        <v>40810684</v>
      </c>
      <c r="G300" s="751">
        <v>202299</v>
      </c>
      <c r="H300" s="751">
        <v>0</v>
      </c>
      <c r="I300" s="751">
        <v>168233</v>
      </c>
      <c r="J300" s="751">
        <v>0</v>
      </c>
      <c r="K300" s="751">
        <v>168233</v>
      </c>
      <c r="L300" s="751">
        <v>0</v>
      </c>
      <c r="M300" s="751">
        <v>0</v>
      </c>
      <c r="N300" s="751">
        <v>209141</v>
      </c>
      <c r="O300" s="751">
        <v>209141</v>
      </c>
      <c r="P300" s="751">
        <v>0</v>
      </c>
      <c r="Q300" s="751">
        <v>0</v>
      </c>
      <c r="R300" s="751">
        <v>40635609</v>
      </c>
      <c r="S300" s="749">
        <v>0.5</v>
      </c>
      <c r="T300" s="749">
        <v>0.4</v>
      </c>
      <c r="U300" s="749">
        <v>0.1</v>
      </c>
      <c r="V300" s="749">
        <v>0</v>
      </c>
      <c r="W300" s="749">
        <v>1</v>
      </c>
      <c r="X300" s="751">
        <v>20317804</v>
      </c>
      <c r="Y300" s="751">
        <v>16254244</v>
      </c>
      <c r="Z300" s="751">
        <v>4063561</v>
      </c>
      <c r="AA300" s="751">
        <v>0</v>
      </c>
      <c r="AB300" s="751">
        <v>40635609</v>
      </c>
      <c r="AC300" s="751">
        <v>0</v>
      </c>
      <c r="AD300" s="751">
        <v>0</v>
      </c>
      <c r="AE300" s="751">
        <v>20317804</v>
      </c>
      <c r="AF300" s="751">
        <v>16254244</v>
      </c>
      <c r="AG300" s="751">
        <v>4063561</v>
      </c>
      <c r="AH300" s="751">
        <v>0</v>
      </c>
      <c r="AI300" s="751">
        <v>40635609</v>
      </c>
      <c r="AJ300" s="751">
        <v>168233</v>
      </c>
      <c r="AK300" s="751">
        <v>168233</v>
      </c>
      <c r="AL300" s="751">
        <v>0</v>
      </c>
      <c r="AM300" s="751">
        <v>0</v>
      </c>
      <c r="AN300" s="751">
        <v>209141</v>
      </c>
      <c r="AO300" s="751">
        <v>0</v>
      </c>
      <c r="AP300" s="751">
        <v>209141</v>
      </c>
      <c r="AQ300" s="751">
        <v>0</v>
      </c>
      <c r="AR300" s="751">
        <v>0</v>
      </c>
      <c r="AS300" s="751">
        <v>0</v>
      </c>
      <c r="AT300" s="751">
        <v>0</v>
      </c>
      <c r="AU300" s="751">
        <v>0</v>
      </c>
      <c r="AV300" s="751">
        <v>0</v>
      </c>
      <c r="AW300" s="751">
        <v>0</v>
      </c>
      <c r="AX300" s="751">
        <v>0</v>
      </c>
      <c r="AY300" s="751">
        <v>0</v>
      </c>
      <c r="AZ300" s="751">
        <v>0</v>
      </c>
      <c r="BA300" s="751">
        <v>0</v>
      </c>
      <c r="BB300" s="751">
        <v>0</v>
      </c>
      <c r="BC300" s="751">
        <v>-8596646</v>
      </c>
      <c r="BD300" s="751">
        <v>-6877316</v>
      </c>
      <c r="BE300" s="751">
        <v>-1719329</v>
      </c>
      <c r="BF300" s="751">
        <v>0</v>
      </c>
      <c r="BG300" s="751">
        <v>-17193291</v>
      </c>
      <c r="BH300" s="751">
        <v>11721159</v>
      </c>
      <c r="BI300" s="751">
        <v>9754302</v>
      </c>
      <c r="BJ300" s="751">
        <v>2344232</v>
      </c>
      <c r="BK300" s="751">
        <v>0</v>
      </c>
      <c r="BL300" s="751">
        <v>23819692</v>
      </c>
      <c r="BM300" s="751">
        <v>857812</v>
      </c>
      <c r="BN300" s="751">
        <v>211729</v>
      </c>
      <c r="BO300" s="751">
        <v>0</v>
      </c>
      <c r="BP300" s="751">
        <v>1069541</v>
      </c>
      <c r="BQ300" s="751">
        <v>1324191</v>
      </c>
      <c r="BR300" s="751">
        <v>331048</v>
      </c>
      <c r="BS300" s="751">
        <v>0</v>
      </c>
      <c r="BT300" s="751">
        <v>1655239</v>
      </c>
      <c r="BU300" s="751">
        <v>101276</v>
      </c>
      <c r="BV300" s="751">
        <v>25319</v>
      </c>
      <c r="BW300" s="751">
        <v>0</v>
      </c>
      <c r="BX300" s="751">
        <v>126595</v>
      </c>
      <c r="BY300" s="751">
        <v>4306</v>
      </c>
      <c r="BZ300" s="751">
        <v>1076</v>
      </c>
      <c r="CA300" s="751">
        <v>0</v>
      </c>
      <c r="CB300" s="751">
        <v>5382</v>
      </c>
      <c r="CC300" s="751">
        <v>12845</v>
      </c>
      <c r="CD300" s="751">
        <v>3211</v>
      </c>
      <c r="CE300" s="751">
        <v>0</v>
      </c>
      <c r="CF300" s="751">
        <v>16056</v>
      </c>
      <c r="CG300" s="751">
        <v>26175</v>
      </c>
      <c r="CH300" s="751">
        <v>6544</v>
      </c>
      <c r="CI300" s="751">
        <v>0</v>
      </c>
      <c r="CJ300" s="751">
        <v>32719</v>
      </c>
      <c r="CK300" s="751">
        <v>0</v>
      </c>
      <c r="CL300" s="751">
        <v>0</v>
      </c>
      <c r="CM300" s="751">
        <v>0</v>
      </c>
      <c r="CN300" s="751">
        <v>0</v>
      </c>
      <c r="CO300" s="751">
        <v>0</v>
      </c>
      <c r="CP300" s="751">
        <v>0</v>
      </c>
      <c r="CQ300" s="751">
        <v>0</v>
      </c>
      <c r="CR300" s="751">
        <v>0</v>
      </c>
      <c r="CS300" s="751">
        <v>0</v>
      </c>
      <c r="CT300" s="751">
        <v>0</v>
      </c>
      <c r="CU300" s="751">
        <v>0</v>
      </c>
      <c r="CV300" s="751">
        <v>0</v>
      </c>
      <c r="CW300" s="751">
        <v>2326605</v>
      </c>
      <c r="CX300" s="751">
        <v>578927</v>
      </c>
      <c r="CY300" s="751">
        <v>0</v>
      </c>
      <c r="CZ300" s="751">
        <v>2905532</v>
      </c>
      <c r="DA300" s="662" t="s">
        <v>450</v>
      </c>
      <c r="DB300" s="324" t="s">
        <v>560</v>
      </c>
      <c r="DC300" s="663" t="s">
        <v>512</v>
      </c>
      <c r="DD300" s="529" t="s">
        <v>1505</v>
      </c>
    </row>
    <row r="301" spans="1:108" ht="12.75" x14ac:dyDescent="0.2">
      <c r="A301" s="664">
        <v>294</v>
      </c>
      <c r="B301" s="665" t="s">
        <v>1025</v>
      </c>
      <c r="C301" s="666" t="s">
        <v>1201</v>
      </c>
      <c r="D301" s="667" t="s">
        <v>1224</v>
      </c>
      <c r="E301" s="668" t="s">
        <v>1024</v>
      </c>
      <c r="F301" s="750">
        <v>74787141</v>
      </c>
      <c r="G301" s="751">
        <v>52172</v>
      </c>
      <c r="H301" s="751">
        <v>0</v>
      </c>
      <c r="I301" s="751">
        <v>245023</v>
      </c>
      <c r="J301" s="751">
        <v>0</v>
      </c>
      <c r="K301" s="751">
        <v>245023</v>
      </c>
      <c r="L301" s="751">
        <v>0</v>
      </c>
      <c r="M301" s="751">
        <v>1201480</v>
      </c>
      <c r="N301" s="751">
        <v>512159</v>
      </c>
      <c r="O301" s="751">
        <v>512159</v>
      </c>
      <c r="P301" s="751">
        <v>0</v>
      </c>
      <c r="Q301" s="751">
        <v>0</v>
      </c>
      <c r="R301" s="751">
        <v>72880651</v>
      </c>
      <c r="S301" s="749">
        <v>0.5</v>
      </c>
      <c r="T301" s="749">
        <v>0.4</v>
      </c>
      <c r="U301" s="749">
        <v>0.1</v>
      </c>
      <c r="V301" s="749">
        <v>0</v>
      </c>
      <c r="W301" s="749">
        <v>1</v>
      </c>
      <c r="X301" s="751">
        <v>36440326</v>
      </c>
      <c r="Y301" s="751">
        <v>29152260</v>
      </c>
      <c r="Z301" s="751">
        <v>7288065</v>
      </c>
      <c r="AA301" s="751">
        <v>0</v>
      </c>
      <c r="AB301" s="751">
        <v>72880651</v>
      </c>
      <c r="AC301" s="751">
        <v>0</v>
      </c>
      <c r="AD301" s="751">
        <v>0</v>
      </c>
      <c r="AE301" s="751">
        <v>36440326</v>
      </c>
      <c r="AF301" s="751">
        <v>29152260</v>
      </c>
      <c r="AG301" s="751">
        <v>7288065</v>
      </c>
      <c r="AH301" s="751">
        <v>0</v>
      </c>
      <c r="AI301" s="751">
        <v>72880651</v>
      </c>
      <c r="AJ301" s="751">
        <v>245023</v>
      </c>
      <c r="AK301" s="751">
        <v>245023</v>
      </c>
      <c r="AL301" s="751">
        <v>1201480</v>
      </c>
      <c r="AM301" s="751">
        <v>1201480</v>
      </c>
      <c r="AN301" s="751">
        <v>512159</v>
      </c>
      <c r="AO301" s="751">
        <v>0</v>
      </c>
      <c r="AP301" s="751">
        <v>512159</v>
      </c>
      <c r="AQ301" s="751">
        <v>0</v>
      </c>
      <c r="AR301" s="751">
        <v>0</v>
      </c>
      <c r="AS301" s="751">
        <v>0</v>
      </c>
      <c r="AT301" s="751">
        <v>0</v>
      </c>
      <c r="AU301" s="751">
        <v>0</v>
      </c>
      <c r="AV301" s="751">
        <v>0</v>
      </c>
      <c r="AW301" s="751">
        <v>0</v>
      </c>
      <c r="AX301" s="751">
        <v>0</v>
      </c>
      <c r="AY301" s="751">
        <v>0</v>
      </c>
      <c r="AZ301" s="751">
        <v>0</v>
      </c>
      <c r="BA301" s="751">
        <v>0</v>
      </c>
      <c r="BB301" s="751">
        <v>0</v>
      </c>
      <c r="BC301" s="751">
        <v>-19899939</v>
      </c>
      <c r="BD301" s="751">
        <v>-15919951</v>
      </c>
      <c r="BE301" s="751">
        <v>-3979988</v>
      </c>
      <c r="BF301" s="751">
        <v>0</v>
      </c>
      <c r="BG301" s="751">
        <v>-39799878</v>
      </c>
      <c r="BH301" s="751">
        <v>16540387</v>
      </c>
      <c r="BI301" s="751">
        <v>15190971</v>
      </c>
      <c r="BJ301" s="751">
        <v>3308077</v>
      </c>
      <c r="BK301" s="751">
        <v>0</v>
      </c>
      <c r="BL301" s="751">
        <v>35039435</v>
      </c>
      <c r="BM301" s="751">
        <v>1608243</v>
      </c>
      <c r="BN301" s="751">
        <v>379739</v>
      </c>
      <c r="BO301" s="751">
        <v>0</v>
      </c>
      <c r="BP301" s="751">
        <v>1987982</v>
      </c>
      <c r="BQ301" s="751">
        <v>1910478</v>
      </c>
      <c r="BR301" s="751">
        <v>477619</v>
      </c>
      <c r="BS301" s="751">
        <v>0</v>
      </c>
      <c r="BT301" s="751">
        <v>2388097</v>
      </c>
      <c r="BU301" s="751">
        <v>156429</v>
      </c>
      <c r="BV301" s="751">
        <v>39107</v>
      </c>
      <c r="BW301" s="751">
        <v>0</v>
      </c>
      <c r="BX301" s="751">
        <v>195536</v>
      </c>
      <c r="BY301" s="751">
        <v>0</v>
      </c>
      <c r="BZ301" s="751">
        <v>0</v>
      </c>
      <c r="CA301" s="751">
        <v>0</v>
      </c>
      <c r="CB301" s="751">
        <v>0</v>
      </c>
      <c r="CC301" s="751">
        <v>20235</v>
      </c>
      <c r="CD301" s="751">
        <v>5059</v>
      </c>
      <c r="CE301" s="751">
        <v>0</v>
      </c>
      <c r="CF301" s="751">
        <v>25294</v>
      </c>
      <c r="CG301" s="751">
        <v>5385</v>
      </c>
      <c r="CH301" s="751">
        <v>1346</v>
      </c>
      <c r="CI301" s="751">
        <v>0</v>
      </c>
      <c r="CJ301" s="751">
        <v>6731</v>
      </c>
      <c r="CK301" s="751">
        <v>0</v>
      </c>
      <c r="CL301" s="751">
        <v>0</v>
      </c>
      <c r="CM301" s="751">
        <v>0</v>
      </c>
      <c r="CN301" s="751">
        <v>0</v>
      </c>
      <c r="CO301" s="751">
        <v>0</v>
      </c>
      <c r="CP301" s="751">
        <v>0</v>
      </c>
      <c r="CQ301" s="751">
        <v>0</v>
      </c>
      <c r="CR301" s="751">
        <v>0</v>
      </c>
      <c r="CS301" s="751">
        <v>631</v>
      </c>
      <c r="CT301" s="751">
        <v>158</v>
      </c>
      <c r="CU301" s="751">
        <v>0</v>
      </c>
      <c r="CV301" s="751">
        <v>789</v>
      </c>
      <c r="CW301" s="751">
        <v>3701401</v>
      </c>
      <c r="CX301" s="751">
        <v>903028</v>
      </c>
      <c r="CY301" s="751">
        <v>0</v>
      </c>
      <c r="CZ301" s="751">
        <v>4604429</v>
      </c>
      <c r="DA301" s="662" t="s">
        <v>1024</v>
      </c>
      <c r="DB301" s="324" t="s">
        <v>565</v>
      </c>
      <c r="DC301" s="663" t="s">
        <v>512</v>
      </c>
      <c r="DD301" s="529" t="s">
        <v>1506</v>
      </c>
    </row>
    <row r="302" spans="1:108" ht="12.75" x14ac:dyDescent="0.2">
      <c r="A302" s="664">
        <v>295</v>
      </c>
      <c r="B302" s="665" t="s">
        <v>453</v>
      </c>
      <c r="C302" s="666" t="s">
        <v>1257</v>
      </c>
      <c r="D302" s="667" t="s">
        <v>1214</v>
      </c>
      <c r="E302" s="668" t="s">
        <v>452</v>
      </c>
      <c r="F302" s="750">
        <v>2124946841</v>
      </c>
      <c r="G302" s="751">
        <v>1722538</v>
      </c>
      <c r="H302" s="751">
        <v>0</v>
      </c>
      <c r="I302" s="751">
        <v>3258293</v>
      </c>
      <c r="J302" s="751">
        <v>0</v>
      </c>
      <c r="K302" s="751">
        <v>3258293</v>
      </c>
      <c r="L302" s="751">
        <v>0</v>
      </c>
      <c r="M302" s="751">
        <v>0</v>
      </c>
      <c r="N302" s="751">
        <v>0</v>
      </c>
      <c r="O302" s="751">
        <v>0</v>
      </c>
      <c r="P302" s="751">
        <v>0</v>
      </c>
      <c r="Q302" s="751">
        <v>0</v>
      </c>
      <c r="R302" s="751">
        <v>2123411086</v>
      </c>
      <c r="S302" s="749">
        <v>0.33</v>
      </c>
      <c r="T302" s="749">
        <v>0.3</v>
      </c>
      <c r="U302" s="749">
        <v>0.37</v>
      </c>
      <c r="V302" s="749">
        <v>0</v>
      </c>
      <c r="W302" s="749">
        <v>1</v>
      </c>
      <c r="X302" s="751">
        <v>700725658</v>
      </c>
      <c r="Y302" s="751">
        <v>637023326</v>
      </c>
      <c r="Z302" s="751">
        <v>785662102</v>
      </c>
      <c r="AA302" s="751">
        <v>0</v>
      </c>
      <c r="AB302" s="751">
        <v>2123411086</v>
      </c>
      <c r="AC302" s="751">
        <v>0</v>
      </c>
      <c r="AD302" s="751">
        <v>0</v>
      </c>
      <c r="AE302" s="751">
        <v>700725658</v>
      </c>
      <c r="AF302" s="751">
        <v>637023326</v>
      </c>
      <c r="AG302" s="751">
        <v>785662102</v>
      </c>
      <c r="AH302" s="751">
        <v>0</v>
      </c>
      <c r="AI302" s="751">
        <v>2123411086</v>
      </c>
      <c r="AJ302" s="751">
        <v>3258293</v>
      </c>
      <c r="AK302" s="751">
        <v>3258293</v>
      </c>
      <c r="AL302" s="751">
        <v>0</v>
      </c>
      <c r="AM302" s="751">
        <v>0</v>
      </c>
      <c r="AN302" s="751">
        <v>0</v>
      </c>
      <c r="AO302" s="751">
        <v>0</v>
      </c>
      <c r="AP302" s="751">
        <v>0</v>
      </c>
      <c r="AQ302" s="751">
        <v>0</v>
      </c>
      <c r="AR302" s="751">
        <v>0</v>
      </c>
      <c r="AS302" s="751">
        <v>0</v>
      </c>
      <c r="AT302" s="751">
        <v>0</v>
      </c>
      <c r="AU302" s="751">
        <v>0</v>
      </c>
      <c r="AV302" s="751">
        <v>0</v>
      </c>
      <c r="AW302" s="751">
        <v>0</v>
      </c>
      <c r="AX302" s="751">
        <v>0</v>
      </c>
      <c r="AY302" s="751">
        <v>0</v>
      </c>
      <c r="AZ302" s="751">
        <v>0</v>
      </c>
      <c r="BA302" s="751">
        <v>0</v>
      </c>
      <c r="BB302" s="751">
        <v>0</v>
      </c>
      <c r="BC302" s="751">
        <v>-351945951</v>
      </c>
      <c r="BD302" s="751">
        <v>-333518139</v>
      </c>
      <c r="BE302" s="751">
        <v>-394052964</v>
      </c>
      <c r="BF302" s="751">
        <v>0</v>
      </c>
      <c r="BG302" s="751">
        <v>-1079517053</v>
      </c>
      <c r="BH302" s="751">
        <v>348779707</v>
      </c>
      <c r="BI302" s="751">
        <v>306763480</v>
      </c>
      <c r="BJ302" s="751">
        <v>391609138</v>
      </c>
      <c r="BK302" s="751">
        <v>0</v>
      </c>
      <c r="BL302" s="751">
        <v>1047152326</v>
      </c>
      <c r="BM302" s="751">
        <v>33191596</v>
      </c>
      <c r="BN302" s="751">
        <v>40936302</v>
      </c>
      <c r="BO302" s="751">
        <v>0</v>
      </c>
      <c r="BP302" s="751">
        <v>74127898</v>
      </c>
      <c r="BQ302" s="751">
        <v>1835942</v>
      </c>
      <c r="BR302" s="751">
        <v>2264328</v>
      </c>
      <c r="BS302" s="751">
        <v>0</v>
      </c>
      <c r="BT302" s="751">
        <v>4100270</v>
      </c>
      <c r="BU302" s="751">
        <v>625742</v>
      </c>
      <c r="BV302" s="751">
        <v>771749</v>
      </c>
      <c r="BW302" s="751">
        <v>0</v>
      </c>
      <c r="BX302" s="751">
        <v>1397491</v>
      </c>
      <c r="BY302" s="751">
        <v>0</v>
      </c>
      <c r="BZ302" s="751">
        <v>0</v>
      </c>
      <c r="CA302" s="751">
        <v>0</v>
      </c>
      <c r="CB302" s="751">
        <v>0</v>
      </c>
      <c r="CC302" s="751">
        <v>0</v>
      </c>
      <c r="CD302" s="751">
        <v>0</v>
      </c>
      <c r="CE302" s="751">
        <v>0</v>
      </c>
      <c r="CF302" s="751">
        <v>0</v>
      </c>
      <c r="CG302" s="751">
        <v>15650</v>
      </c>
      <c r="CH302" s="751">
        <v>19302</v>
      </c>
      <c r="CI302" s="751">
        <v>0</v>
      </c>
      <c r="CJ302" s="751">
        <v>34952</v>
      </c>
      <c r="CK302" s="751">
        <v>0</v>
      </c>
      <c r="CL302" s="751">
        <v>0</v>
      </c>
      <c r="CM302" s="751">
        <v>0</v>
      </c>
      <c r="CN302" s="751">
        <v>0</v>
      </c>
      <c r="CO302" s="751">
        <v>0</v>
      </c>
      <c r="CP302" s="751">
        <v>0</v>
      </c>
      <c r="CQ302" s="751">
        <v>0</v>
      </c>
      <c r="CR302" s="751">
        <v>0</v>
      </c>
      <c r="CS302" s="751">
        <v>0</v>
      </c>
      <c r="CT302" s="751">
        <v>0</v>
      </c>
      <c r="CU302" s="751">
        <v>0</v>
      </c>
      <c r="CV302" s="751">
        <v>0</v>
      </c>
      <c r="CW302" s="751">
        <v>35668930</v>
      </c>
      <c r="CX302" s="751">
        <v>43991681</v>
      </c>
      <c r="CY302" s="751">
        <v>0</v>
      </c>
      <c r="CZ302" s="751">
        <v>79660611</v>
      </c>
      <c r="DA302" s="662" t="s">
        <v>452</v>
      </c>
      <c r="DB302" s="324" t="s">
        <v>576</v>
      </c>
      <c r="DC302" s="669" t="s">
        <v>485</v>
      </c>
      <c r="DD302" s="529" t="s">
        <v>1507</v>
      </c>
    </row>
    <row r="303" spans="1:108" ht="12.75" x14ac:dyDescent="0.2">
      <c r="A303" s="664">
        <v>296</v>
      </c>
      <c r="B303" s="665" t="s">
        <v>455</v>
      </c>
      <c r="C303" s="671" t="s">
        <v>1217</v>
      </c>
      <c r="D303" s="672" t="s">
        <v>1204</v>
      </c>
      <c r="E303" s="668" t="s">
        <v>454</v>
      </c>
      <c r="F303" s="750">
        <v>84379453</v>
      </c>
      <c r="G303" s="751">
        <v>0</v>
      </c>
      <c r="H303" s="751">
        <v>952444</v>
      </c>
      <c r="I303" s="751">
        <v>369490</v>
      </c>
      <c r="J303" s="751">
        <v>0</v>
      </c>
      <c r="K303" s="751">
        <v>369490</v>
      </c>
      <c r="L303" s="751">
        <v>0</v>
      </c>
      <c r="M303" s="751">
        <v>0</v>
      </c>
      <c r="N303" s="751">
        <v>0</v>
      </c>
      <c r="O303" s="751">
        <v>0</v>
      </c>
      <c r="P303" s="751">
        <v>0</v>
      </c>
      <c r="Q303" s="751">
        <v>0</v>
      </c>
      <c r="R303" s="751">
        <v>83057519</v>
      </c>
      <c r="S303" s="749">
        <v>0</v>
      </c>
      <c r="T303" s="749">
        <v>0.99</v>
      </c>
      <c r="U303" s="749">
        <v>0</v>
      </c>
      <c r="V303" s="749">
        <v>0.01</v>
      </c>
      <c r="W303" s="749">
        <v>1</v>
      </c>
      <c r="X303" s="751">
        <v>0</v>
      </c>
      <c r="Y303" s="751">
        <v>82226944</v>
      </c>
      <c r="Z303" s="751">
        <v>0</v>
      </c>
      <c r="AA303" s="751">
        <v>830575</v>
      </c>
      <c r="AB303" s="751">
        <v>83057519</v>
      </c>
      <c r="AC303" s="751">
        <v>0</v>
      </c>
      <c r="AD303" s="751">
        <v>0</v>
      </c>
      <c r="AE303" s="751">
        <v>0</v>
      </c>
      <c r="AF303" s="751">
        <v>82226944</v>
      </c>
      <c r="AG303" s="751">
        <v>0</v>
      </c>
      <c r="AH303" s="751">
        <v>830575</v>
      </c>
      <c r="AI303" s="751">
        <v>83057519</v>
      </c>
      <c r="AJ303" s="751">
        <v>369490</v>
      </c>
      <c r="AK303" s="751">
        <v>369490</v>
      </c>
      <c r="AL303" s="751">
        <v>0</v>
      </c>
      <c r="AM303" s="751">
        <v>0</v>
      </c>
      <c r="AN303" s="751">
        <v>0</v>
      </c>
      <c r="AO303" s="751">
        <v>0</v>
      </c>
      <c r="AP303" s="751">
        <v>0</v>
      </c>
      <c r="AQ303" s="751">
        <v>0</v>
      </c>
      <c r="AR303" s="751">
        <v>0</v>
      </c>
      <c r="AS303" s="751">
        <v>0</v>
      </c>
      <c r="AT303" s="751">
        <v>0</v>
      </c>
      <c r="AU303" s="751">
        <v>0</v>
      </c>
      <c r="AV303" s="751">
        <v>0</v>
      </c>
      <c r="AW303" s="751">
        <v>0</v>
      </c>
      <c r="AX303" s="751">
        <v>0</v>
      </c>
      <c r="AY303" s="751">
        <v>0</v>
      </c>
      <c r="AZ303" s="751">
        <v>0</v>
      </c>
      <c r="BA303" s="751">
        <v>0</v>
      </c>
      <c r="BB303" s="751">
        <v>0</v>
      </c>
      <c r="BC303" s="751">
        <v>0</v>
      </c>
      <c r="BD303" s="751">
        <v>-41901721</v>
      </c>
      <c r="BE303" s="751">
        <v>0</v>
      </c>
      <c r="BF303" s="751">
        <v>-423250</v>
      </c>
      <c r="BG303" s="751">
        <v>-42324971</v>
      </c>
      <c r="BH303" s="751">
        <v>0</v>
      </c>
      <c r="BI303" s="751">
        <v>40694713</v>
      </c>
      <c r="BJ303" s="751">
        <v>0</v>
      </c>
      <c r="BK303" s="751">
        <v>407325</v>
      </c>
      <c r="BL303" s="751">
        <v>41102038</v>
      </c>
      <c r="BM303" s="751">
        <v>4284370</v>
      </c>
      <c r="BN303" s="751">
        <v>0</v>
      </c>
      <c r="BO303" s="751">
        <v>43276</v>
      </c>
      <c r="BP303" s="751">
        <v>4327646</v>
      </c>
      <c r="BQ303" s="751">
        <v>8391686</v>
      </c>
      <c r="BR303" s="751">
        <v>0</v>
      </c>
      <c r="BS303" s="751">
        <v>84764</v>
      </c>
      <c r="BT303" s="751">
        <v>8476450</v>
      </c>
      <c r="BU303" s="751">
        <v>391212</v>
      </c>
      <c r="BV303" s="751">
        <v>0</v>
      </c>
      <c r="BW303" s="751">
        <v>3952</v>
      </c>
      <c r="BX303" s="751">
        <v>395164</v>
      </c>
      <c r="BY303" s="751">
        <v>23217</v>
      </c>
      <c r="BZ303" s="751">
        <v>0</v>
      </c>
      <c r="CA303" s="751">
        <v>235</v>
      </c>
      <c r="CB303" s="751">
        <v>23452</v>
      </c>
      <c r="CC303" s="751">
        <v>0</v>
      </c>
      <c r="CD303" s="751">
        <v>0</v>
      </c>
      <c r="CE303" s="751">
        <v>0</v>
      </c>
      <c r="CF303" s="751">
        <v>0</v>
      </c>
      <c r="CG303" s="751">
        <v>22637</v>
      </c>
      <c r="CH303" s="751">
        <v>0</v>
      </c>
      <c r="CI303" s="751">
        <v>229</v>
      </c>
      <c r="CJ303" s="751">
        <v>22866</v>
      </c>
      <c r="CK303" s="751">
        <v>0</v>
      </c>
      <c r="CL303" s="751">
        <v>0</v>
      </c>
      <c r="CM303" s="751">
        <v>0</v>
      </c>
      <c r="CN303" s="751">
        <v>0</v>
      </c>
      <c r="CO303" s="751">
        <v>0</v>
      </c>
      <c r="CP303" s="751">
        <v>0</v>
      </c>
      <c r="CQ303" s="751">
        <v>0</v>
      </c>
      <c r="CR303" s="751">
        <v>0</v>
      </c>
      <c r="CS303" s="751">
        <v>0</v>
      </c>
      <c r="CT303" s="751">
        <v>0</v>
      </c>
      <c r="CU303" s="751">
        <v>0</v>
      </c>
      <c r="CV303" s="751">
        <v>0</v>
      </c>
      <c r="CW303" s="751">
        <v>13113122</v>
      </c>
      <c r="CX303" s="751">
        <v>0</v>
      </c>
      <c r="CY303" s="751">
        <v>132456</v>
      </c>
      <c r="CZ303" s="751">
        <v>13245578</v>
      </c>
      <c r="DA303" s="662" t="s">
        <v>454</v>
      </c>
      <c r="DB303" s="324" t="s">
        <v>570</v>
      </c>
      <c r="DC303" s="663" t="s">
        <v>1915</v>
      </c>
      <c r="DD303" s="529" t="s">
        <v>1508</v>
      </c>
    </row>
    <row r="304" spans="1:108" ht="12.75" x14ac:dyDescent="0.2">
      <c r="A304" s="664">
        <v>297</v>
      </c>
      <c r="B304" s="665" t="s">
        <v>457</v>
      </c>
      <c r="C304" s="666" t="s">
        <v>486</v>
      </c>
      <c r="D304" s="667" t="s">
        <v>1224</v>
      </c>
      <c r="E304" s="668" t="s">
        <v>456</v>
      </c>
      <c r="F304" s="750">
        <v>152533431</v>
      </c>
      <c r="G304" s="751">
        <v>0</v>
      </c>
      <c r="H304" s="751">
        <v>178179</v>
      </c>
      <c r="I304" s="751">
        <v>621717</v>
      </c>
      <c r="J304" s="751">
        <v>0</v>
      </c>
      <c r="K304" s="751">
        <v>621717</v>
      </c>
      <c r="L304" s="751">
        <v>0</v>
      </c>
      <c r="M304" s="751">
        <v>0</v>
      </c>
      <c r="N304" s="751">
        <v>1907945</v>
      </c>
      <c r="O304" s="751">
        <v>1907945</v>
      </c>
      <c r="P304" s="751">
        <v>0</v>
      </c>
      <c r="Q304" s="751">
        <v>0</v>
      </c>
      <c r="R304" s="751">
        <v>149825590</v>
      </c>
      <c r="S304" s="749">
        <v>0.5</v>
      </c>
      <c r="T304" s="749">
        <v>0.49</v>
      </c>
      <c r="U304" s="749">
        <v>0</v>
      </c>
      <c r="V304" s="749">
        <v>0.01</v>
      </c>
      <c r="W304" s="749">
        <v>1</v>
      </c>
      <c r="X304" s="751">
        <v>74912795</v>
      </c>
      <c r="Y304" s="751">
        <v>73414539</v>
      </c>
      <c r="Z304" s="751">
        <v>0</v>
      </c>
      <c r="AA304" s="751">
        <v>1498256</v>
      </c>
      <c r="AB304" s="751">
        <v>149825590</v>
      </c>
      <c r="AC304" s="751">
        <v>0</v>
      </c>
      <c r="AD304" s="751">
        <v>0</v>
      </c>
      <c r="AE304" s="751">
        <v>74912795</v>
      </c>
      <c r="AF304" s="751">
        <v>73414539</v>
      </c>
      <c r="AG304" s="751">
        <v>0</v>
      </c>
      <c r="AH304" s="751">
        <v>1498256</v>
      </c>
      <c r="AI304" s="751">
        <v>149825590</v>
      </c>
      <c r="AJ304" s="751">
        <v>621717</v>
      </c>
      <c r="AK304" s="751">
        <v>621717</v>
      </c>
      <c r="AL304" s="751">
        <v>0</v>
      </c>
      <c r="AM304" s="751">
        <v>0</v>
      </c>
      <c r="AN304" s="751">
        <v>1907945</v>
      </c>
      <c r="AO304" s="751">
        <v>0</v>
      </c>
      <c r="AP304" s="751">
        <v>1907945</v>
      </c>
      <c r="AQ304" s="751">
        <v>0</v>
      </c>
      <c r="AR304" s="751">
        <v>0</v>
      </c>
      <c r="AS304" s="751">
        <v>0</v>
      </c>
      <c r="AT304" s="751">
        <v>0</v>
      </c>
      <c r="AU304" s="751">
        <v>0</v>
      </c>
      <c r="AV304" s="751">
        <v>0</v>
      </c>
      <c r="AW304" s="751">
        <v>0</v>
      </c>
      <c r="AX304" s="751">
        <v>0</v>
      </c>
      <c r="AY304" s="751">
        <v>0</v>
      </c>
      <c r="AZ304" s="751">
        <v>0</v>
      </c>
      <c r="BA304" s="751">
        <v>0</v>
      </c>
      <c r="BB304" s="751">
        <v>0</v>
      </c>
      <c r="BC304" s="751">
        <v>-34934676</v>
      </c>
      <c r="BD304" s="751">
        <v>-34235982</v>
      </c>
      <c r="BE304" s="751">
        <v>0</v>
      </c>
      <c r="BF304" s="751">
        <v>-698694</v>
      </c>
      <c r="BG304" s="751">
        <v>-69869351</v>
      </c>
      <c r="BH304" s="751">
        <v>39978120</v>
      </c>
      <c r="BI304" s="751">
        <v>41708219</v>
      </c>
      <c r="BJ304" s="751">
        <v>0</v>
      </c>
      <c r="BK304" s="751">
        <v>799562</v>
      </c>
      <c r="BL304" s="751">
        <v>82485901</v>
      </c>
      <c r="BM304" s="751">
        <v>3924618</v>
      </c>
      <c r="BN304" s="751">
        <v>0</v>
      </c>
      <c r="BO304" s="751">
        <v>78065</v>
      </c>
      <c r="BP304" s="751">
        <v>4002683</v>
      </c>
      <c r="BQ304" s="751">
        <v>6834755</v>
      </c>
      <c r="BR304" s="751">
        <v>0</v>
      </c>
      <c r="BS304" s="751">
        <v>139485</v>
      </c>
      <c r="BT304" s="751">
        <v>6974240</v>
      </c>
      <c r="BU304" s="751">
        <v>336648</v>
      </c>
      <c r="BV304" s="751">
        <v>0</v>
      </c>
      <c r="BW304" s="751">
        <v>6870</v>
      </c>
      <c r="BX304" s="751">
        <v>343518</v>
      </c>
      <c r="BY304" s="751">
        <v>34188</v>
      </c>
      <c r="BZ304" s="751">
        <v>0</v>
      </c>
      <c r="CA304" s="751">
        <v>698</v>
      </c>
      <c r="CB304" s="751">
        <v>34886</v>
      </c>
      <c r="CC304" s="751">
        <v>73819</v>
      </c>
      <c r="CD304" s="751">
        <v>0</v>
      </c>
      <c r="CE304" s="751">
        <v>1507</v>
      </c>
      <c r="CF304" s="751">
        <v>75326</v>
      </c>
      <c r="CG304" s="751">
        <v>88697</v>
      </c>
      <c r="CH304" s="751">
        <v>0</v>
      </c>
      <c r="CI304" s="751">
        <v>1810</v>
      </c>
      <c r="CJ304" s="751">
        <v>90507</v>
      </c>
      <c r="CK304" s="751">
        <v>0</v>
      </c>
      <c r="CL304" s="751">
        <v>0</v>
      </c>
      <c r="CM304" s="751">
        <v>0</v>
      </c>
      <c r="CN304" s="751">
        <v>0</v>
      </c>
      <c r="CO304" s="751">
        <v>0</v>
      </c>
      <c r="CP304" s="751">
        <v>0</v>
      </c>
      <c r="CQ304" s="751">
        <v>0</v>
      </c>
      <c r="CR304" s="751">
        <v>0</v>
      </c>
      <c r="CS304" s="751">
        <v>773</v>
      </c>
      <c r="CT304" s="751">
        <v>0</v>
      </c>
      <c r="CU304" s="751">
        <v>16</v>
      </c>
      <c r="CV304" s="751">
        <v>789</v>
      </c>
      <c r="CW304" s="751">
        <v>11293498</v>
      </c>
      <c r="CX304" s="751">
        <v>0</v>
      </c>
      <c r="CY304" s="751">
        <v>228451</v>
      </c>
      <c r="CZ304" s="751">
        <v>11521949</v>
      </c>
      <c r="DA304" s="662" t="s">
        <v>456</v>
      </c>
      <c r="DB304" s="324" t="s">
        <v>486</v>
      </c>
      <c r="DC304" s="663" t="s">
        <v>1916</v>
      </c>
      <c r="DD304" s="529" t="s">
        <v>1509</v>
      </c>
    </row>
    <row r="305" spans="1:108" ht="12.75" x14ac:dyDescent="0.2">
      <c r="A305" s="664">
        <v>298</v>
      </c>
      <c r="B305" s="665" t="s">
        <v>459</v>
      </c>
      <c r="C305" s="666" t="s">
        <v>1201</v>
      </c>
      <c r="D305" s="667" t="s">
        <v>1202</v>
      </c>
      <c r="E305" s="668" t="s">
        <v>458</v>
      </c>
      <c r="F305" s="750">
        <v>64395509</v>
      </c>
      <c r="G305" s="751">
        <v>0</v>
      </c>
      <c r="H305" s="751">
        <v>35238</v>
      </c>
      <c r="I305" s="751">
        <v>207064</v>
      </c>
      <c r="J305" s="751">
        <v>0</v>
      </c>
      <c r="K305" s="751">
        <v>207064</v>
      </c>
      <c r="L305" s="751">
        <v>0</v>
      </c>
      <c r="M305" s="751">
        <v>0</v>
      </c>
      <c r="N305" s="751">
        <v>22000</v>
      </c>
      <c r="O305" s="751">
        <v>22000</v>
      </c>
      <c r="P305" s="751">
        <v>0</v>
      </c>
      <c r="Q305" s="751">
        <v>0</v>
      </c>
      <c r="R305" s="751">
        <v>64131207</v>
      </c>
      <c r="S305" s="749">
        <v>0.5</v>
      </c>
      <c r="T305" s="749">
        <v>0.4</v>
      </c>
      <c r="U305" s="749">
        <v>0.09</v>
      </c>
      <c r="V305" s="749">
        <v>0.01</v>
      </c>
      <c r="W305" s="749">
        <v>1</v>
      </c>
      <c r="X305" s="751">
        <v>32065603</v>
      </c>
      <c r="Y305" s="751">
        <v>25652483</v>
      </c>
      <c r="Z305" s="751">
        <v>5771809</v>
      </c>
      <c r="AA305" s="751">
        <v>641312</v>
      </c>
      <c r="AB305" s="751">
        <v>64131207</v>
      </c>
      <c r="AC305" s="751">
        <v>0</v>
      </c>
      <c r="AD305" s="751">
        <v>0</v>
      </c>
      <c r="AE305" s="751">
        <v>32065603</v>
      </c>
      <c r="AF305" s="751">
        <v>25652483</v>
      </c>
      <c r="AG305" s="751">
        <v>5771809</v>
      </c>
      <c r="AH305" s="751">
        <v>641312</v>
      </c>
      <c r="AI305" s="751">
        <v>64131207</v>
      </c>
      <c r="AJ305" s="751">
        <v>207064</v>
      </c>
      <c r="AK305" s="751">
        <v>207064</v>
      </c>
      <c r="AL305" s="751">
        <v>0</v>
      </c>
      <c r="AM305" s="751">
        <v>0</v>
      </c>
      <c r="AN305" s="751">
        <v>22000</v>
      </c>
      <c r="AO305" s="751">
        <v>0</v>
      </c>
      <c r="AP305" s="751">
        <v>22000</v>
      </c>
      <c r="AQ305" s="751">
        <v>0</v>
      </c>
      <c r="AR305" s="751">
        <v>0</v>
      </c>
      <c r="AS305" s="751">
        <v>0</v>
      </c>
      <c r="AT305" s="751">
        <v>0</v>
      </c>
      <c r="AU305" s="751">
        <v>0</v>
      </c>
      <c r="AV305" s="751">
        <v>0</v>
      </c>
      <c r="AW305" s="751">
        <v>0</v>
      </c>
      <c r="AX305" s="751">
        <v>0</v>
      </c>
      <c r="AY305" s="751">
        <v>0</v>
      </c>
      <c r="AZ305" s="751">
        <v>0</v>
      </c>
      <c r="BA305" s="751">
        <v>0</v>
      </c>
      <c r="BB305" s="751">
        <v>0</v>
      </c>
      <c r="BC305" s="751">
        <v>-13117579</v>
      </c>
      <c r="BD305" s="751">
        <v>-10494063</v>
      </c>
      <c r="BE305" s="751">
        <v>-2361164</v>
      </c>
      <c r="BF305" s="751">
        <v>-262352</v>
      </c>
      <c r="BG305" s="751">
        <v>-26235158</v>
      </c>
      <c r="BH305" s="751">
        <v>18948024</v>
      </c>
      <c r="BI305" s="751">
        <v>15387484</v>
      </c>
      <c r="BJ305" s="751">
        <v>3410645</v>
      </c>
      <c r="BK305" s="751">
        <v>378960</v>
      </c>
      <c r="BL305" s="751">
        <v>38125113</v>
      </c>
      <c r="BM305" s="751">
        <v>1337749</v>
      </c>
      <c r="BN305" s="751">
        <v>300736</v>
      </c>
      <c r="BO305" s="751">
        <v>33415</v>
      </c>
      <c r="BP305" s="751">
        <v>1671900</v>
      </c>
      <c r="BQ305" s="751">
        <v>1486822</v>
      </c>
      <c r="BR305" s="751">
        <v>334535</v>
      </c>
      <c r="BS305" s="751">
        <v>37171</v>
      </c>
      <c r="BT305" s="751">
        <v>1858528</v>
      </c>
      <c r="BU305" s="751">
        <v>115728</v>
      </c>
      <c r="BV305" s="751">
        <v>26039</v>
      </c>
      <c r="BW305" s="751">
        <v>2893</v>
      </c>
      <c r="BX305" s="751">
        <v>144660</v>
      </c>
      <c r="BY305" s="751">
        <v>5098</v>
      </c>
      <c r="BZ305" s="751">
        <v>1147</v>
      </c>
      <c r="CA305" s="751">
        <v>127</v>
      </c>
      <c r="CB305" s="751">
        <v>6372</v>
      </c>
      <c r="CC305" s="751">
        <v>2578</v>
      </c>
      <c r="CD305" s="751">
        <v>580</v>
      </c>
      <c r="CE305" s="751">
        <v>64</v>
      </c>
      <c r="CF305" s="751">
        <v>3222</v>
      </c>
      <c r="CG305" s="751">
        <v>24884</v>
      </c>
      <c r="CH305" s="751">
        <v>5599</v>
      </c>
      <c r="CI305" s="751">
        <v>622</v>
      </c>
      <c r="CJ305" s="751">
        <v>31105</v>
      </c>
      <c r="CK305" s="751">
        <v>0</v>
      </c>
      <c r="CL305" s="751">
        <v>0</v>
      </c>
      <c r="CM305" s="751">
        <v>0</v>
      </c>
      <c r="CN305" s="751">
        <v>0</v>
      </c>
      <c r="CO305" s="751">
        <v>0</v>
      </c>
      <c r="CP305" s="751">
        <v>0</v>
      </c>
      <c r="CQ305" s="751">
        <v>0</v>
      </c>
      <c r="CR305" s="751">
        <v>0</v>
      </c>
      <c r="CS305" s="751">
        <v>631</v>
      </c>
      <c r="CT305" s="751">
        <v>142</v>
      </c>
      <c r="CU305" s="751">
        <v>16</v>
      </c>
      <c r="CV305" s="751">
        <v>789</v>
      </c>
      <c r="CW305" s="751">
        <v>2973490</v>
      </c>
      <c r="CX305" s="751">
        <v>668778</v>
      </c>
      <c r="CY305" s="751">
        <v>74308</v>
      </c>
      <c r="CZ305" s="751">
        <v>3716576</v>
      </c>
      <c r="DA305" s="662" t="s">
        <v>458</v>
      </c>
      <c r="DB305" s="324" t="s">
        <v>532</v>
      </c>
      <c r="DC305" s="663" t="s">
        <v>1914</v>
      </c>
      <c r="DD305" s="529" t="s">
        <v>1510</v>
      </c>
    </row>
    <row r="306" spans="1:108" ht="14.25" x14ac:dyDescent="0.2">
      <c r="A306" s="664">
        <v>299</v>
      </c>
      <c r="B306" s="665" t="s">
        <v>460</v>
      </c>
      <c r="C306" s="666" t="s">
        <v>486</v>
      </c>
      <c r="D306" s="667" t="s">
        <v>1202</v>
      </c>
      <c r="E306" s="788" t="s">
        <v>1866</v>
      </c>
      <c r="F306" s="750">
        <v>101693062</v>
      </c>
      <c r="G306" s="751">
        <v>0</v>
      </c>
      <c r="H306" s="751">
        <v>8497</v>
      </c>
      <c r="I306" s="751">
        <v>232209</v>
      </c>
      <c r="J306" s="751">
        <v>0</v>
      </c>
      <c r="K306" s="751">
        <v>232209</v>
      </c>
      <c r="L306" s="751">
        <v>0</v>
      </c>
      <c r="M306" s="751">
        <v>0</v>
      </c>
      <c r="N306" s="751">
        <v>20730</v>
      </c>
      <c r="O306" s="751">
        <v>20730</v>
      </c>
      <c r="P306" s="751">
        <v>0</v>
      </c>
      <c r="Q306" s="751">
        <v>0</v>
      </c>
      <c r="R306" s="751">
        <v>101431626</v>
      </c>
      <c r="S306" s="749">
        <v>0.5</v>
      </c>
      <c r="T306" s="749">
        <v>0.49</v>
      </c>
      <c r="U306" s="749">
        <v>0</v>
      </c>
      <c r="V306" s="749">
        <v>0.01</v>
      </c>
      <c r="W306" s="749">
        <v>1</v>
      </c>
      <c r="X306" s="751">
        <v>50715813</v>
      </c>
      <c r="Y306" s="751">
        <v>49701497</v>
      </c>
      <c r="Z306" s="751">
        <v>0</v>
      </c>
      <c r="AA306" s="751">
        <v>1014316</v>
      </c>
      <c r="AB306" s="751">
        <v>101431626</v>
      </c>
      <c r="AC306" s="751">
        <v>0</v>
      </c>
      <c r="AD306" s="751">
        <v>0</v>
      </c>
      <c r="AE306" s="751">
        <v>50715813</v>
      </c>
      <c r="AF306" s="751">
        <v>49701497</v>
      </c>
      <c r="AG306" s="751">
        <v>0</v>
      </c>
      <c r="AH306" s="751">
        <v>1014316</v>
      </c>
      <c r="AI306" s="751">
        <v>101431626</v>
      </c>
      <c r="AJ306" s="751">
        <v>232209</v>
      </c>
      <c r="AK306" s="751">
        <v>232209</v>
      </c>
      <c r="AL306" s="751">
        <v>0</v>
      </c>
      <c r="AM306" s="751">
        <v>0</v>
      </c>
      <c r="AN306" s="751">
        <v>20730</v>
      </c>
      <c r="AO306" s="751">
        <v>0</v>
      </c>
      <c r="AP306" s="751">
        <v>20730</v>
      </c>
      <c r="AQ306" s="751">
        <v>0</v>
      </c>
      <c r="AR306" s="751">
        <v>0</v>
      </c>
      <c r="AS306" s="751">
        <v>0</v>
      </c>
      <c r="AT306" s="751">
        <v>0</v>
      </c>
      <c r="AU306" s="751">
        <v>0</v>
      </c>
      <c r="AV306" s="751">
        <v>0</v>
      </c>
      <c r="AW306" s="751">
        <v>0</v>
      </c>
      <c r="AX306" s="751">
        <v>0</v>
      </c>
      <c r="AY306" s="751">
        <v>0</v>
      </c>
      <c r="AZ306" s="751">
        <v>0</v>
      </c>
      <c r="BA306" s="751">
        <v>0</v>
      </c>
      <c r="BB306" s="751">
        <v>0</v>
      </c>
      <c r="BC306" s="751">
        <v>-22868856</v>
      </c>
      <c r="BD306" s="751">
        <v>-25807531</v>
      </c>
      <c r="BE306" s="751">
        <v>0</v>
      </c>
      <c r="BF306" s="751">
        <v>-491681</v>
      </c>
      <c r="BG306" s="751">
        <v>-49168068</v>
      </c>
      <c r="BH306" s="751">
        <v>27846957</v>
      </c>
      <c r="BI306" s="751">
        <v>24146905</v>
      </c>
      <c r="BJ306" s="751">
        <v>0</v>
      </c>
      <c r="BK306" s="751">
        <v>522635</v>
      </c>
      <c r="BL306" s="751">
        <v>52516497</v>
      </c>
      <c r="BM306" s="751">
        <v>2590737</v>
      </c>
      <c r="BN306" s="751">
        <v>0</v>
      </c>
      <c r="BO306" s="751">
        <v>52850</v>
      </c>
      <c r="BP306" s="751">
        <v>2643587</v>
      </c>
      <c r="BQ306" s="751">
        <v>1557247</v>
      </c>
      <c r="BR306" s="751">
        <v>0</v>
      </c>
      <c r="BS306" s="751">
        <v>31781</v>
      </c>
      <c r="BT306" s="751">
        <v>1589028</v>
      </c>
      <c r="BU306" s="751">
        <v>181281</v>
      </c>
      <c r="BV306" s="751">
        <v>0</v>
      </c>
      <c r="BW306" s="751">
        <v>3700</v>
      </c>
      <c r="BX306" s="751">
        <v>184981</v>
      </c>
      <c r="BY306" s="751">
        <v>0</v>
      </c>
      <c r="BZ306" s="751">
        <v>0</v>
      </c>
      <c r="CA306" s="751">
        <v>0</v>
      </c>
      <c r="CB306" s="751">
        <v>0</v>
      </c>
      <c r="CC306" s="751">
        <v>4592</v>
      </c>
      <c r="CD306" s="751">
        <v>0</v>
      </c>
      <c r="CE306" s="751">
        <v>94</v>
      </c>
      <c r="CF306" s="751">
        <v>4686</v>
      </c>
      <c r="CG306" s="751">
        <v>18578</v>
      </c>
      <c r="CH306" s="751">
        <v>0</v>
      </c>
      <c r="CI306" s="751">
        <v>379</v>
      </c>
      <c r="CJ306" s="751">
        <v>18957</v>
      </c>
      <c r="CK306" s="751">
        <v>0</v>
      </c>
      <c r="CL306" s="751">
        <v>0</v>
      </c>
      <c r="CM306" s="751">
        <v>0</v>
      </c>
      <c r="CN306" s="751">
        <v>0</v>
      </c>
      <c r="CO306" s="751">
        <v>0</v>
      </c>
      <c r="CP306" s="751">
        <v>0</v>
      </c>
      <c r="CQ306" s="751">
        <v>0</v>
      </c>
      <c r="CR306" s="751">
        <v>0</v>
      </c>
      <c r="CS306" s="751">
        <v>576</v>
      </c>
      <c r="CT306" s="751">
        <v>0</v>
      </c>
      <c r="CU306" s="751">
        <v>12</v>
      </c>
      <c r="CV306" s="751">
        <v>588</v>
      </c>
      <c r="CW306" s="751">
        <v>4353011</v>
      </c>
      <c r="CX306" s="751">
        <v>0</v>
      </c>
      <c r="CY306" s="751">
        <v>88816</v>
      </c>
      <c r="CZ306" s="751">
        <v>4441827</v>
      </c>
      <c r="DA306" s="662" t="s">
        <v>816</v>
      </c>
      <c r="DB306" s="324" t="s">
        <v>486</v>
      </c>
      <c r="DC306" s="791" t="s">
        <v>494</v>
      </c>
      <c r="DD306" s="529" t="s">
        <v>1511</v>
      </c>
    </row>
    <row r="307" spans="1:108" ht="12.75" x14ac:dyDescent="0.2">
      <c r="A307" s="664">
        <v>300</v>
      </c>
      <c r="B307" s="665" t="s">
        <v>462</v>
      </c>
      <c r="C307" s="666" t="s">
        <v>1217</v>
      </c>
      <c r="D307" s="667" t="s">
        <v>1204</v>
      </c>
      <c r="E307" s="668" t="s">
        <v>461</v>
      </c>
      <c r="F307" s="750">
        <v>73740518</v>
      </c>
      <c r="G307" s="751">
        <v>0</v>
      </c>
      <c r="H307" s="751">
        <v>385196</v>
      </c>
      <c r="I307" s="751">
        <v>320208</v>
      </c>
      <c r="J307" s="751">
        <v>0</v>
      </c>
      <c r="K307" s="751">
        <v>320208</v>
      </c>
      <c r="L307" s="751">
        <v>0</v>
      </c>
      <c r="M307" s="751">
        <v>3095</v>
      </c>
      <c r="N307" s="751">
        <v>0</v>
      </c>
      <c r="O307" s="751">
        <v>0</v>
      </c>
      <c r="P307" s="751">
        <v>0</v>
      </c>
      <c r="Q307" s="751">
        <v>0</v>
      </c>
      <c r="R307" s="751">
        <v>73032019</v>
      </c>
      <c r="S307" s="749">
        <v>0</v>
      </c>
      <c r="T307" s="749">
        <v>0.99</v>
      </c>
      <c r="U307" s="749">
        <v>0</v>
      </c>
      <c r="V307" s="749">
        <v>0.01</v>
      </c>
      <c r="W307" s="749">
        <v>1</v>
      </c>
      <c r="X307" s="751">
        <v>0</v>
      </c>
      <c r="Y307" s="751">
        <v>72301699</v>
      </c>
      <c r="Z307" s="751">
        <v>0</v>
      </c>
      <c r="AA307" s="751">
        <v>730320</v>
      </c>
      <c r="AB307" s="751">
        <v>73032019</v>
      </c>
      <c r="AC307" s="751">
        <v>0</v>
      </c>
      <c r="AD307" s="751">
        <v>0</v>
      </c>
      <c r="AE307" s="751">
        <v>0</v>
      </c>
      <c r="AF307" s="751">
        <v>72301699</v>
      </c>
      <c r="AG307" s="751">
        <v>0</v>
      </c>
      <c r="AH307" s="751">
        <v>730320</v>
      </c>
      <c r="AI307" s="751">
        <v>73032019</v>
      </c>
      <c r="AJ307" s="751">
        <v>320208</v>
      </c>
      <c r="AK307" s="751">
        <v>320208</v>
      </c>
      <c r="AL307" s="751">
        <v>3095</v>
      </c>
      <c r="AM307" s="751">
        <v>3095</v>
      </c>
      <c r="AN307" s="751">
        <v>0</v>
      </c>
      <c r="AO307" s="751">
        <v>0</v>
      </c>
      <c r="AP307" s="751">
        <v>0</v>
      </c>
      <c r="AQ307" s="751">
        <v>0</v>
      </c>
      <c r="AR307" s="751">
        <v>0</v>
      </c>
      <c r="AS307" s="751">
        <v>0</v>
      </c>
      <c r="AT307" s="751">
        <v>0</v>
      </c>
      <c r="AU307" s="751">
        <v>0</v>
      </c>
      <c r="AV307" s="751">
        <v>0</v>
      </c>
      <c r="AW307" s="751">
        <v>0</v>
      </c>
      <c r="AX307" s="751">
        <v>0</v>
      </c>
      <c r="AY307" s="751">
        <v>0</v>
      </c>
      <c r="AZ307" s="751">
        <v>0</v>
      </c>
      <c r="BA307" s="751">
        <v>0</v>
      </c>
      <c r="BB307" s="751">
        <v>0</v>
      </c>
      <c r="BC307" s="751">
        <v>0</v>
      </c>
      <c r="BD307" s="751">
        <v>-35987591</v>
      </c>
      <c r="BE307" s="751">
        <v>0</v>
      </c>
      <c r="BF307" s="751">
        <v>-363511</v>
      </c>
      <c r="BG307" s="751">
        <v>-36351102</v>
      </c>
      <c r="BH307" s="751">
        <v>0</v>
      </c>
      <c r="BI307" s="751">
        <v>36637411</v>
      </c>
      <c r="BJ307" s="751">
        <v>0</v>
      </c>
      <c r="BK307" s="751">
        <v>366809</v>
      </c>
      <c r="BL307" s="751">
        <v>37004220</v>
      </c>
      <c r="BM307" s="751">
        <v>3767384</v>
      </c>
      <c r="BN307" s="751">
        <v>0</v>
      </c>
      <c r="BO307" s="751">
        <v>38053</v>
      </c>
      <c r="BP307" s="751">
        <v>3805437</v>
      </c>
      <c r="BQ307" s="751">
        <v>7264109</v>
      </c>
      <c r="BR307" s="751">
        <v>0</v>
      </c>
      <c r="BS307" s="751">
        <v>73209</v>
      </c>
      <c r="BT307" s="751">
        <v>7337318</v>
      </c>
      <c r="BU307" s="751">
        <v>344558</v>
      </c>
      <c r="BV307" s="751">
        <v>0</v>
      </c>
      <c r="BW307" s="751">
        <v>3466</v>
      </c>
      <c r="BX307" s="751">
        <v>348024</v>
      </c>
      <c r="BY307" s="751">
        <v>57012</v>
      </c>
      <c r="BZ307" s="751">
        <v>0</v>
      </c>
      <c r="CA307" s="751">
        <v>576</v>
      </c>
      <c r="CB307" s="751">
        <v>57588</v>
      </c>
      <c r="CC307" s="751">
        <v>0</v>
      </c>
      <c r="CD307" s="751">
        <v>0</v>
      </c>
      <c r="CE307" s="751">
        <v>0</v>
      </c>
      <c r="CF307" s="751">
        <v>0</v>
      </c>
      <c r="CG307" s="751">
        <v>0</v>
      </c>
      <c r="CH307" s="751">
        <v>0</v>
      </c>
      <c r="CI307" s="751">
        <v>0</v>
      </c>
      <c r="CJ307" s="751">
        <v>0</v>
      </c>
      <c r="CK307" s="751">
        <v>0</v>
      </c>
      <c r="CL307" s="751">
        <v>0</v>
      </c>
      <c r="CM307" s="751">
        <v>0</v>
      </c>
      <c r="CN307" s="751">
        <v>0</v>
      </c>
      <c r="CO307" s="751">
        <v>0</v>
      </c>
      <c r="CP307" s="751">
        <v>0</v>
      </c>
      <c r="CQ307" s="751">
        <v>0</v>
      </c>
      <c r="CR307" s="751">
        <v>0</v>
      </c>
      <c r="CS307" s="751">
        <v>1562</v>
      </c>
      <c r="CT307" s="751">
        <v>0</v>
      </c>
      <c r="CU307" s="751">
        <v>16</v>
      </c>
      <c r="CV307" s="751">
        <v>1578</v>
      </c>
      <c r="CW307" s="751">
        <v>11434625</v>
      </c>
      <c r="CX307" s="751">
        <v>0</v>
      </c>
      <c r="CY307" s="751">
        <v>115320</v>
      </c>
      <c r="CZ307" s="751">
        <v>11549945</v>
      </c>
      <c r="DA307" s="662" t="s">
        <v>461</v>
      </c>
      <c r="DB307" s="324" t="s">
        <v>570</v>
      </c>
      <c r="DC307" s="663" t="s">
        <v>571</v>
      </c>
      <c r="DD307" s="529" t="s">
        <v>1512</v>
      </c>
    </row>
    <row r="308" spans="1:108" ht="12.75" x14ac:dyDescent="0.2">
      <c r="A308" s="664">
        <v>301</v>
      </c>
      <c r="B308" s="665" t="s">
        <v>464</v>
      </c>
      <c r="C308" s="666" t="s">
        <v>1201</v>
      </c>
      <c r="D308" s="667" t="s">
        <v>1202</v>
      </c>
      <c r="E308" s="668" t="s">
        <v>463</v>
      </c>
      <c r="F308" s="750">
        <v>47463796</v>
      </c>
      <c r="G308" s="751">
        <v>0</v>
      </c>
      <c r="H308" s="751">
        <v>22575</v>
      </c>
      <c r="I308" s="751">
        <v>133080</v>
      </c>
      <c r="J308" s="751">
        <v>0</v>
      </c>
      <c r="K308" s="751">
        <v>133080</v>
      </c>
      <c r="L308" s="751">
        <v>0</v>
      </c>
      <c r="M308" s="751">
        <v>0</v>
      </c>
      <c r="N308" s="751">
        <v>0</v>
      </c>
      <c r="O308" s="751">
        <v>0</v>
      </c>
      <c r="P308" s="751">
        <v>0</v>
      </c>
      <c r="Q308" s="751">
        <v>0</v>
      </c>
      <c r="R308" s="751">
        <v>47308141</v>
      </c>
      <c r="S308" s="749">
        <v>0.5</v>
      </c>
      <c r="T308" s="749">
        <v>0.4</v>
      </c>
      <c r="U308" s="749">
        <v>0.1</v>
      </c>
      <c r="V308" s="749">
        <v>0</v>
      </c>
      <c r="W308" s="749">
        <v>1</v>
      </c>
      <c r="X308" s="751">
        <v>23654071</v>
      </c>
      <c r="Y308" s="751">
        <v>18923256</v>
      </c>
      <c r="Z308" s="751">
        <v>4730814</v>
      </c>
      <c r="AA308" s="751">
        <v>0</v>
      </c>
      <c r="AB308" s="751">
        <v>47308141</v>
      </c>
      <c r="AC308" s="751">
        <v>0</v>
      </c>
      <c r="AD308" s="751">
        <v>0</v>
      </c>
      <c r="AE308" s="751">
        <v>23654071</v>
      </c>
      <c r="AF308" s="751">
        <v>18923256</v>
      </c>
      <c r="AG308" s="751">
        <v>4730814</v>
      </c>
      <c r="AH308" s="751">
        <v>0</v>
      </c>
      <c r="AI308" s="751">
        <v>47308141</v>
      </c>
      <c r="AJ308" s="751">
        <v>133080</v>
      </c>
      <c r="AK308" s="751">
        <v>133080</v>
      </c>
      <c r="AL308" s="751">
        <v>0</v>
      </c>
      <c r="AM308" s="751">
        <v>0</v>
      </c>
      <c r="AN308" s="751">
        <v>0</v>
      </c>
      <c r="AO308" s="751">
        <v>0</v>
      </c>
      <c r="AP308" s="751">
        <v>0</v>
      </c>
      <c r="AQ308" s="751">
        <v>0</v>
      </c>
      <c r="AR308" s="751">
        <v>0</v>
      </c>
      <c r="AS308" s="751">
        <v>0</v>
      </c>
      <c r="AT308" s="751">
        <v>0</v>
      </c>
      <c r="AU308" s="751">
        <v>0</v>
      </c>
      <c r="AV308" s="751">
        <v>0</v>
      </c>
      <c r="AW308" s="751">
        <v>0</v>
      </c>
      <c r="AX308" s="751">
        <v>0</v>
      </c>
      <c r="AY308" s="751">
        <v>0</v>
      </c>
      <c r="AZ308" s="751">
        <v>0</v>
      </c>
      <c r="BA308" s="751">
        <v>0</v>
      </c>
      <c r="BB308" s="751">
        <v>0</v>
      </c>
      <c r="BC308" s="751">
        <v>-9756673</v>
      </c>
      <c r="BD308" s="751">
        <v>-7805338</v>
      </c>
      <c r="BE308" s="751">
        <v>-1951335</v>
      </c>
      <c r="BF308" s="751">
        <v>0</v>
      </c>
      <c r="BG308" s="751">
        <v>-19513345</v>
      </c>
      <c r="BH308" s="751">
        <v>13897399</v>
      </c>
      <c r="BI308" s="751">
        <v>11250998</v>
      </c>
      <c r="BJ308" s="751">
        <v>2779480</v>
      </c>
      <c r="BK308" s="751">
        <v>0</v>
      </c>
      <c r="BL308" s="751">
        <v>27927876</v>
      </c>
      <c r="BM308" s="751">
        <v>985981</v>
      </c>
      <c r="BN308" s="751">
        <v>246495</v>
      </c>
      <c r="BO308" s="751">
        <v>0</v>
      </c>
      <c r="BP308" s="751">
        <v>1232476</v>
      </c>
      <c r="BQ308" s="751">
        <v>749776</v>
      </c>
      <c r="BR308" s="751">
        <v>187444</v>
      </c>
      <c r="BS308" s="751">
        <v>0</v>
      </c>
      <c r="BT308" s="751">
        <v>937220</v>
      </c>
      <c r="BU308" s="751">
        <v>84192</v>
      </c>
      <c r="BV308" s="751">
        <v>21048</v>
      </c>
      <c r="BW308" s="751">
        <v>0</v>
      </c>
      <c r="BX308" s="751">
        <v>105240</v>
      </c>
      <c r="BY308" s="751">
        <v>0</v>
      </c>
      <c r="BZ308" s="751">
        <v>0</v>
      </c>
      <c r="CA308" s="751">
        <v>0</v>
      </c>
      <c r="CB308" s="751">
        <v>0</v>
      </c>
      <c r="CC308" s="751">
        <v>431</v>
      </c>
      <c r="CD308" s="751">
        <v>108</v>
      </c>
      <c r="CE308" s="751">
        <v>0</v>
      </c>
      <c r="CF308" s="751">
        <v>539</v>
      </c>
      <c r="CG308" s="751">
        <v>3951</v>
      </c>
      <c r="CH308" s="751">
        <v>988</v>
      </c>
      <c r="CI308" s="751">
        <v>0</v>
      </c>
      <c r="CJ308" s="751">
        <v>4939</v>
      </c>
      <c r="CK308" s="751">
        <v>0</v>
      </c>
      <c r="CL308" s="751">
        <v>0</v>
      </c>
      <c r="CM308" s="751">
        <v>0</v>
      </c>
      <c r="CN308" s="751">
        <v>0</v>
      </c>
      <c r="CO308" s="751">
        <v>0</v>
      </c>
      <c r="CP308" s="751">
        <v>0</v>
      </c>
      <c r="CQ308" s="751">
        <v>0</v>
      </c>
      <c r="CR308" s="751">
        <v>0</v>
      </c>
      <c r="CS308" s="751">
        <v>0</v>
      </c>
      <c r="CT308" s="751">
        <v>0</v>
      </c>
      <c r="CU308" s="751">
        <v>0</v>
      </c>
      <c r="CV308" s="751">
        <v>0</v>
      </c>
      <c r="CW308" s="751">
        <v>1824331</v>
      </c>
      <c r="CX308" s="751">
        <v>456083</v>
      </c>
      <c r="CY308" s="751">
        <v>0</v>
      </c>
      <c r="CZ308" s="751">
        <v>2280414</v>
      </c>
      <c r="DA308" s="662" t="s">
        <v>463</v>
      </c>
      <c r="DB308" s="324" t="s">
        <v>566</v>
      </c>
      <c r="DC308" s="663" t="s">
        <v>512</v>
      </c>
      <c r="DD308" s="529" t="s">
        <v>1513</v>
      </c>
    </row>
    <row r="309" spans="1:108" ht="12.75" x14ac:dyDescent="0.2">
      <c r="A309" s="664">
        <v>302</v>
      </c>
      <c r="B309" s="665" t="s">
        <v>465</v>
      </c>
      <c r="C309" s="666" t="s">
        <v>486</v>
      </c>
      <c r="D309" s="667" t="s">
        <v>1202</v>
      </c>
      <c r="E309" s="668" t="s">
        <v>498</v>
      </c>
      <c r="F309" s="750">
        <v>71231023</v>
      </c>
      <c r="G309" s="751">
        <v>255680</v>
      </c>
      <c r="H309" s="751">
        <v>0</v>
      </c>
      <c r="I309" s="751">
        <v>204587</v>
      </c>
      <c r="J309" s="751">
        <v>0</v>
      </c>
      <c r="K309" s="751">
        <v>204587</v>
      </c>
      <c r="L309" s="751">
        <v>0</v>
      </c>
      <c r="M309" s="751">
        <v>0</v>
      </c>
      <c r="N309" s="751">
        <v>12350</v>
      </c>
      <c r="O309" s="751">
        <v>12350</v>
      </c>
      <c r="P309" s="751">
        <v>0</v>
      </c>
      <c r="Q309" s="751">
        <v>0</v>
      </c>
      <c r="R309" s="751">
        <v>71269766</v>
      </c>
      <c r="S309" s="749">
        <v>0.5</v>
      </c>
      <c r="T309" s="749">
        <v>0.49</v>
      </c>
      <c r="U309" s="749">
        <v>0</v>
      </c>
      <c r="V309" s="749">
        <v>0.01</v>
      </c>
      <c r="W309" s="749">
        <v>1</v>
      </c>
      <c r="X309" s="751">
        <v>35634883</v>
      </c>
      <c r="Y309" s="751">
        <v>34922185</v>
      </c>
      <c r="Z309" s="751">
        <v>0</v>
      </c>
      <c r="AA309" s="751">
        <v>712698</v>
      </c>
      <c r="AB309" s="751">
        <v>71269766</v>
      </c>
      <c r="AC309" s="751">
        <v>0</v>
      </c>
      <c r="AD309" s="751">
        <v>0</v>
      </c>
      <c r="AE309" s="751">
        <v>35634883</v>
      </c>
      <c r="AF309" s="751">
        <v>34922185</v>
      </c>
      <c r="AG309" s="751">
        <v>0</v>
      </c>
      <c r="AH309" s="751">
        <v>712698</v>
      </c>
      <c r="AI309" s="751">
        <v>71269766</v>
      </c>
      <c r="AJ309" s="751">
        <v>204587</v>
      </c>
      <c r="AK309" s="751">
        <v>204587</v>
      </c>
      <c r="AL309" s="751">
        <v>0</v>
      </c>
      <c r="AM309" s="751">
        <v>0</v>
      </c>
      <c r="AN309" s="751">
        <v>12350</v>
      </c>
      <c r="AO309" s="751">
        <v>0</v>
      </c>
      <c r="AP309" s="751">
        <v>12350</v>
      </c>
      <c r="AQ309" s="751">
        <v>0</v>
      </c>
      <c r="AR309" s="751">
        <v>0</v>
      </c>
      <c r="AS309" s="751">
        <v>0</v>
      </c>
      <c r="AT309" s="751">
        <v>0</v>
      </c>
      <c r="AU309" s="751">
        <v>0</v>
      </c>
      <c r="AV309" s="751">
        <v>0</v>
      </c>
      <c r="AW309" s="751">
        <v>0</v>
      </c>
      <c r="AX309" s="751">
        <v>0</v>
      </c>
      <c r="AY309" s="751">
        <v>0</v>
      </c>
      <c r="AZ309" s="751">
        <v>0</v>
      </c>
      <c r="BA309" s="751">
        <v>0</v>
      </c>
      <c r="BB309" s="751">
        <v>0</v>
      </c>
      <c r="BC309" s="751">
        <v>-10621418</v>
      </c>
      <c r="BD309" s="751">
        <v>-10684491</v>
      </c>
      <c r="BE309" s="751">
        <v>0</v>
      </c>
      <c r="BF309" s="751">
        <v>-215211</v>
      </c>
      <c r="BG309" s="751">
        <v>-21521120</v>
      </c>
      <c r="BH309" s="751">
        <v>25013465</v>
      </c>
      <c r="BI309" s="751">
        <v>24454631</v>
      </c>
      <c r="BJ309" s="751">
        <v>0</v>
      </c>
      <c r="BK309" s="751">
        <v>497487</v>
      </c>
      <c r="BL309" s="751">
        <v>49965583</v>
      </c>
      <c r="BM309" s="751">
        <v>1820236</v>
      </c>
      <c r="BN309" s="751">
        <v>0</v>
      </c>
      <c r="BO309" s="751">
        <v>37135</v>
      </c>
      <c r="BP309" s="751">
        <v>1857371</v>
      </c>
      <c r="BQ309" s="751">
        <v>1358803</v>
      </c>
      <c r="BR309" s="751">
        <v>0</v>
      </c>
      <c r="BS309" s="751">
        <v>27731</v>
      </c>
      <c r="BT309" s="751">
        <v>1386534</v>
      </c>
      <c r="BU309" s="751">
        <v>134937</v>
      </c>
      <c r="BV309" s="751">
        <v>0</v>
      </c>
      <c r="BW309" s="751">
        <v>2754</v>
      </c>
      <c r="BX309" s="751">
        <v>137691</v>
      </c>
      <c r="BY309" s="751">
        <v>3919</v>
      </c>
      <c r="BZ309" s="751">
        <v>0</v>
      </c>
      <c r="CA309" s="751">
        <v>80</v>
      </c>
      <c r="CB309" s="751">
        <v>3999</v>
      </c>
      <c r="CC309" s="751">
        <v>1366</v>
      </c>
      <c r="CD309" s="751">
        <v>0</v>
      </c>
      <c r="CE309" s="751">
        <v>28</v>
      </c>
      <c r="CF309" s="751">
        <v>1394</v>
      </c>
      <c r="CG309" s="751">
        <v>15331</v>
      </c>
      <c r="CH309" s="751">
        <v>0</v>
      </c>
      <c r="CI309" s="751">
        <v>313</v>
      </c>
      <c r="CJ309" s="751">
        <v>15644</v>
      </c>
      <c r="CK309" s="751">
        <v>0</v>
      </c>
      <c r="CL309" s="751">
        <v>0</v>
      </c>
      <c r="CM309" s="751">
        <v>0</v>
      </c>
      <c r="CN309" s="751">
        <v>0</v>
      </c>
      <c r="CO309" s="751">
        <v>0</v>
      </c>
      <c r="CP309" s="751">
        <v>0</v>
      </c>
      <c r="CQ309" s="751">
        <v>0</v>
      </c>
      <c r="CR309" s="751">
        <v>0</v>
      </c>
      <c r="CS309" s="751">
        <v>0</v>
      </c>
      <c r="CT309" s="751">
        <v>0</v>
      </c>
      <c r="CU309" s="751">
        <v>0</v>
      </c>
      <c r="CV309" s="751">
        <v>0</v>
      </c>
      <c r="CW309" s="751">
        <v>3334592</v>
      </c>
      <c r="CX309" s="751">
        <v>0</v>
      </c>
      <c r="CY309" s="751">
        <v>68041</v>
      </c>
      <c r="CZ309" s="751">
        <v>3402633</v>
      </c>
      <c r="DA309" s="662" t="s">
        <v>498</v>
      </c>
      <c r="DB309" s="673" t="s">
        <v>486</v>
      </c>
      <c r="DC309" s="674" t="s">
        <v>494</v>
      </c>
      <c r="DD309" s="529" t="s">
        <v>1514</v>
      </c>
    </row>
    <row r="310" spans="1:108" ht="12.75" x14ac:dyDescent="0.2">
      <c r="A310" s="664">
        <v>303</v>
      </c>
      <c r="B310" s="665" t="s">
        <v>467</v>
      </c>
      <c r="C310" s="666" t="s">
        <v>1217</v>
      </c>
      <c r="D310" s="667" t="s">
        <v>1228</v>
      </c>
      <c r="E310" s="668" t="s">
        <v>466</v>
      </c>
      <c r="F310" s="750">
        <v>69775151</v>
      </c>
      <c r="G310" s="751">
        <v>103585</v>
      </c>
      <c r="H310" s="751">
        <v>0</v>
      </c>
      <c r="I310" s="751">
        <v>331730</v>
      </c>
      <c r="J310" s="751">
        <v>0</v>
      </c>
      <c r="K310" s="751">
        <v>331730</v>
      </c>
      <c r="L310" s="751">
        <v>0</v>
      </c>
      <c r="M310" s="751">
        <v>691740</v>
      </c>
      <c r="N310" s="751">
        <v>5115</v>
      </c>
      <c r="O310" s="751">
        <v>5115</v>
      </c>
      <c r="P310" s="751">
        <v>0</v>
      </c>
      <c r="Q310" s="751">
        <v>0</v>
      </c>
      <c r="R310" s="751">
        <v>68850151</v>
      </c>
      <c r="S310" s="749">
        <v>0</v>
      </c>
      <c r="T310" s="749">
        <v>0.99</v>
      </c>
      <c r="U310" s="749">
        <v>0</v>
      </c>
      <c r="V310" s="749">
        <v>0.01</v>
      </c>
      <c r="W310" s="749">
        <v>1</v>
      </c>
      <c r="X310" s="751">
        <v>0</v>
      </c>
      <c r="Y310" s="751">
        <v>68161649</v>
      </c>
      <c r="Z310" s="751">
        <v>0</v>
      </c>
      <c r="AA310" s="751">
        <v>688502</v>
      </c>
      <c r="AB310" s="751">
        <v>68850151</v>
      </c>
      <c r="AC310" s="751">
        <v>0</v>
      </c>
      <c r="AD310" s="751">
        <v>0</v>
      </c>
      <c r="AE310" s="751">
        <v>0</v>
      </c>
      <c r="AF310" s="751">
        <v>68161649</v>
      </c>
      <c r="AG310" s="751">
        <v>0</v>
      </c>
      <c r="AH310" s="751">
        <v>688502</v>
      </c>
      <c r="AI310" s="751">
        <v>68850151</v>
      </c>
      <c r="AJ310" s="751">
        <v>331730</v>
      </c>
      <c r="AK310" s="751">
        <v>331730</v>
      </c>
      <c r="AL310" s="751">
        <v>691740</v>
      </c>
      <c r="AM310" s="751">
        <v>691740</v>
      </c>
      <c r="AN310" s="751">
        <v>5115</v>
      </c>
      <c r="AO310" s="751">
        <v>0</v>
      </c>
      <c r="AP310" s="751">
        <v>5115</v>
      </c>
      <c r="AQ310" s="751">
        <v>0</v>
      </c>
      <c r="AR310" s="751">
        <v>0</v>
      </c>
      <c r="AS310" s="751">
        <v>0</v>
      </c>
      <c r="AT310" s="751">
        <v>0</v>
      </c>
      <c r="AU310" s="751">
        <v>0</v>
      </c>
      <c r="AV310" s="751">
        <v>0</v>
      </c>
      <c r="AW310" s="751">
        <v>0</v>
      </c>
      <c r="AX310" s="751">
        <v>0</v>
      </c>
      <c r="AY310" s="751">
        <v>0</v>
      </c>
      <c r="AZ310" s="751">
        <v>0</v>
      </c>
      <c r="BA310" s="751">
        <v>0</v>
      </c>
      <c r="BB310" s="751">
        <v>0</v>
      </c>
      <c r="BC310" s="751">
        <v>0</v>
      </c>
      <c r="BD310" s="751">
        <v>-33864698</v>
      </c>
      <c r="BE310" s="751">
        <v>0</v>
      </c>
      <c r="BF310" s="751">
        <v>-342068</v>
      </c>
      <c r="BG310" s="751">
        <v>-34206765</v>
      </c>
      <c r="BH310" s="751">
        <v>0</v>
      </c>
      <c r="BI310" s="751">
        <v>35325536</v>
      </c>
      <c r="BJ310" s="751">
        <v>0</v>
      </c>
      <c r="BK310" s="751">
        <v>346434</v>
      </c>
      <c r="BL310" s="751">
        <v>35671971</v>
      </c>
      <c r="BM310" s="751">
        <v>3587818</v>
      </c>
      <c r="BN310" s="751">
        <v>0</v>
      </c>
      <c r="BO310" s="751">
        <v>35874</v>
      </c>
      <c r="BP310" s="751">
        <v>3623692</v>
      </c>
      <c r="BQ310" s="751">
        <v>7521824</v>
      </c>
      <c r="BR310" s="751">
        <v>0</v>
      </c>
      <c r="BS310" s="751">
        <v>75978</v>
      </c>
      <c r="BT310" s="751">
        <v>7597802</v>
      </c>
      <c r="BU310" s="751">
        <v>349533</v>
      </c>
      <c r="BV310" s="751">
        <v>0</v>
      </c>
      <c r="BW310" s="751">
        <v>3531</v>
      </c>
      <c r="BX310" s="751">
        <v>353064</v>
      </c>
      <c r="BY310" s="751">
        <v>8498</v>
      </c>
      <c r="BZ310" s="751">
        <v>0</v>
      </c>
      <c r="CA310" s="751">
        <v>86</v>
      </c>
      <c r="CB310" s="751">
        <v>8584</v>
      </c>
      <c r="CC310" s="751">
        <v>0</v>
      </c>
      <c r="CD310" s="751">
        <v>0</v>
      </c>
      <c r="CE310" s="751">
        <v>0</v>
      </c>
      <c r="CF310" s="751">
        <v>0</v>
      </c>
      <c r="CG310" s="751">
        <v>22943</v>
      </c>
      <c r="CH310" s="751">
        <v>0</v>
      </c>
      <c r="CI310" s="751">
        <v>232</v>
      </c>
      <c r="CJ310" s="751">
        <v>23175</v>
      </c>
      <c r="CK310" s="751">
        <v>0</v>
      </c>
      <c r="CL310" s="751">
        <v>0</v>
      </c>
      <c r="CM310" s="751">
        <v>0</v>
      </c>
      <c r="CN310" s="751">
        <v>0</v>
      </c>
      <c r="CO310" s="751">
        <v>0</v>
      </c>
      <c r="CP310" s="751">
        <v>0</v>
      </c>
      <c r="CQ310" s="751">
        <v>0</v>
      </c>
      <c r="CR310" s="751">
        <v>0</v>
      </c>
      <c r="CS310" s="751">
        <v>1562</v>
      </c>
      <c r="CT310" s="751">
        <v>0</v>
      </c>
      <c r="CU310" s="751">
        <v>16</v>
      </c>
      <c r="CV310" s="751">
        <v>1578</v>
      </c>
      <c r="CW310" s="751">
        <v>11492178</v>
      </c>
      <c r="CX310" s="751">
        <v>0</v>
      </c>
      <c r="CY310" s="751">
        <v>115717</v>
      </c>
      <c r="CZ310" s="751">
        <v>11607895</v>
      </c>
      <c r="DA310" s="662" t="s">
        <v>466</v>
      </c>
      <c r="DB310" s="673" t="s">
        <v>570</v>
      </c>
      <c r="DC310" s="674" t="s">
        <v>574</v>
      </c>
      <c r="DD310" s="529" t="s">
        <v>1515</v>
      </c>
    </row>
    <row r="311" spans="1:108" ht="12.75" x14ac:dyDescent="0.2">
      <c r="A311" s="664">
        <v>304</v>
      </c>
      <c r="B311" s="665" t="s">
        <v>469</v>
      </c>
      <c r="C311" s="666" t="s">
        <v>1201</v>
      </c>
      <c r="D311" s="667" t="s">
        <v>1228</v>
      </c>
      <c r="E311" s="668" t="s">
        <v>468</v>
      </c>
      <c r="F311" s="750">
        <v>42954062</v>
      </c>
      <c r="G311" s="751">
        <v>0</v>
      </c>
      <c r="H311" s="751">
        <v>46301</v>
      </c>
      <c r="I311" s="751">
        <v>128478</v>
      </c>
      <c r="J311" s="751">
        <v>0</v>
      </c>
      <c r="K311" s="751">
        <v>128478</v>
      </c>
      <c r="L311" s="751">
        <v>0</v>
      </c>
      <c r="M311" s="751">
        <v>0</v>
      </c>
      <c r="N311" s="751">
        <v>4506</v>
      </c>
      <c r="O311" s="751">
        <v>4506</v>
      </c>
      <c r="P311" s="751">
        <v>0</v>
      </c>
      <c r="Q311" s="751">
        <v>0</v>
      </c>
      <c r="R311" s="751">
        <v>42774777</v>
      </c>
      <c r="S311" s="749">
        <v>0.5</v>
      </c>
      <c r="T311" s="749">
        <v>0.4</v>
      </c>
      <c r="U311" s="749">
        <v>0.09</v>
      </c>
      <c r="V311" s="749">
        <v>0.01</v>
      </c>
      <c r="W311" s="749">
        <v>1</v>
      </c>
      <c r="X311" s="751">
        <v>21387388</v>
      </c>
      <c r="Y311" s="751">
        <v>17109911</v>
      </c>
      <c r="Z311" s="751">
        <v>3849730</v>
      </c>
      <c r="AA311" s="751">
        <v>427748</v>
      </c>
      <c r="AB311" s="751">
        <v>42774777</v>
      </c>
      <c r="AC311" s="751">
        <v>0</v>
      </c>
      <c r="AD311" s="751">
        <v>0</v>
      </c>
      <c r="AE311" s="751">
        <v>21387388</v>
      </c>
      <c r="AF311" s="751">
        <v>17109911</v>
      </c>
      <c r="AG311" s="751">
        <v>3849730</v>
      </c>
      <c r="AH311" s="751">
        <v>427748</v>
      </c>
      <c r="AI311" s="751">
        <v>42774777</v>
      </c>
      <c r="AJ311" s="751">
        <v>128478</v>
      </c>
      <c r="AK311" s="751">
        <v>128478</v>
      </c>
      <c r="AL311" s="751">
        <v>0</v>
      </c>
      <c r="AM311" s="751">
        <v>0</v>
      </c>
      <c r="AN311" s="751">
        <v>4506</v>
      </c>
      <c r="AO311" s="751">
        <v>0</v>
      </c>
      <c r="AP311" s="751">
        <v>4506</v>
      </c>
      <c r="AQ311" s="751">
        <v>0</v>
      </c>
      <c r="AR311" s="751">
        <v>0</v>
      </c>
      <c r="AS311" s="751">
        <v>0</v>
      </c>
      <c r="AT311" s="751">
        <v>0</v>
      </c>
      <c r="AU311" s="751">
        <v>0</v>
      </c>
      <c r="AV311" s="751">
        <v>0</v>
      </c>
      <c r="AW311" s="751">
        <v>0</v>
      </c>
      <c r="AX311" s="751">
        <v>0</v>
      </c>
      <c r="AY311" s="751">
        <v>0</v>
      </c>
      <c r="AZ311" s="751">
        <v>0</v>
      </c>
      <c r="BA311" s="751">
        <v>0</v>
      </c>
      <c r="BB311" s="751">
        <v>0</v>
      </c>
      <c r="BC311" s="751">
        <v>-10276159</v>
      </c>
      <c r="BD311" s="751">
        <v>-8986964</v>
      </c>
      <c r="BE311" s="751">
        <v>812268</v>
      </c>
      <c r="BF311" s="751">
        <v>-186372</v>
      </c>
      <c r="BG311" s="751">
        <v>-18637227</v>
      </c>
      <c r="BH311" s="751">
        <v>11111229</v>
      </c>
      <c r="BI311" s="751">
        <v>8255931</v>
      </c>
      <c r="BJ311" s="751">
        <v>4661998</v>
      </c>
      <c r="BK311" s="751">
        <v>241376</v>
      </c>
      <c r="BL311" s="751">
        <v>24270534</v>
      </c>
      <c r="BM311" s="751">
        <v>891733</v>
      </c>
      <c r="BN311" s="751">
        <v>200587</v>
      </c>
      <c r="BO311" s="751">
        <v>22287</v>
      </c>
      <c r="BP311" s="751">
        <v>1114607</v>
      </c>
      <c r="BQ311" s="751">
        <v>1045976</v>
      </c>
      <c r="BR311" s="751">
        <v>235344</v>
      </c>
      <c r="BS311" s="751">
        <v>26149</v>
      </c>
      <c r="BT311" s="751">
        <v>1307469</v>
      </c>
      <c r="BU311" s="751">
        <v>72432</v>
      </c>
      <c r="BV311" s="751">
        <v>16297</v>
      </c>
      <c r="BW311" s="751">
        <v>1811</v>
      </c>
      <c r="BX311" s="751">
        <v>90540</v>
      </c>
      <c r="BY311" s="751">
        <v>0</v>
      </c>
      <c r="BZ311" s="751">
        <v>0</v>
      </c>
      <c r="CA311" s="751">
        <v>0</v>
      </c>
      <c r="CB311" s="751">
        <v>0</v>
      </c>
      <c r="CC311" s="751">
        <v>0</v>
      </c>
      <c r="CD311" s="751">
        <v>0</v>
      </c>
      <c r="CE311" s="751">
        <v>0</v>
      </c>
      <c r="CF311" s="751">
        <v>0</v>
      </c>
      <c r="CG311" s="751">
        <v>4669</v>
      </c>
      <c r="CH311" s="751">
        <v>1051</v>
      </c>
      <c r="CI311" s="751">
        <v>117</v>
      </c>
      <c r="CJ311" s="751">
        <v>5837</v>
      </c>
      <c r="CK311" s="751">
        <v>0</v>
      </c>
      <c r="CL311" s="751">
        <v>0</v>
      </c>
      <c r="CM311" s="751">
        <v>0</v>
      </c>
      <c r="CN311" s="751">
        <v>0</v>
      </c>
      <c r="CO311" s="751">
        <v>0</v>
      </c>
      <c r="CP311" s="751">
        <v>0</v>
      </c>
      <c r="CQ311" s="751">
        <v>0</v>
      </c>
      <c r="CR311" s="751">
        <v>0</v>
      </c>
      <c r="CS311" s="751">
        <v>0</v>
      </c>
      <c r="CT311" s="751">
        <v>0</v>
      </c>
      <c r="CU311" s="751">
        <v>0</v>
      </c>
      <c r="CV311" s="751">
        <v>0</v>
      </c>
      <c r="CW311" s="751">
        <v>2014810</v>
      </c>
      <c r="CX311" s="751">
        <v>453279</v>
      </c>
      <c r="CY311" s="751">
        <v>50364</v>
      </c>
      <c r="CZ311" s="751">
        <v>2518453</v>
      </c>
      <c r="DA311" s="662" t="s">
        <v>468</v>
      </c>
      <c r="DB311" s="673" t="s">
        <v>535</v>
      </c>
      <c r="DC311" s="674" t="s">
        <v>534</v>
      </c>
      <c r="DD311" s="529" t="s">
        <v>1516</v>
      </c>
    </row>
    <row r="312" spans="1:108" ht="12.75" x14ac:dyDescent="0.2">
      <c r="A312" s="664">
        <v>305</v>
      </c>
      <c r="B312" s="675" t="s">
        <v>471</v>
      </c>
      <c r="C312" s="666" t="s">
        <v>1201</v>
      </c>
      <c r="D312" s="667" t="s">
        <v>1202</v>
      </c>
      <c r="E312" s="668" t="s">
        <v>470</v>
      </c>
      <c r="F312" s="750">
        <v>32423104</v>
      </c>
      <c r="G312" s="751">
        <v>30971</v>
      </c>
      <c r="H312" s="751">
        <v>0</v>
      </c>
      <c r="I312" s="751">
        <v>122526</v>
      </c>
      <c r="J312" s="751">
        <v>0</v>
      </c>
      <c r="K312" s="751">
        <v>122526</v>
      </c>
      <c r="L312" s="751">
        <v>0</v>
      </c>
      <c r="M312" s="751">
        <v>0</v>
      </c>
      <c r="N312" s="751">
        <v>0</v>
      </c>
      <c r="O312" s="751">
        <v>0</v>
      </c>
      <c r="P312" s="751">
        <v>0</v>
      </c>
      <c r="Q312" s="751">
        <v>0</v>
      </c>
      <c r="R312" s="751">
        <v>32331549</v>
      </c>
      <c r="S312" s="749">
        <v>0.5</v>
      </c>
      <c r="T312" s="749">
        <v>0.4</v>
      </c>
      <c r="U312" s="749">
        <v>0.1</v>
      </c>
      <c r="V312" s="749">
        <v>0</v>
      </c>
      <c r="W312" s="749">
        <v>1</v>
      </c>
      <c r="X312" s="751">
        <v>16165774</v>
      </c>
      <c r="Y312" s="751">
        <v>12932620</v>
      </c>
      <c r="Z312" s="751">
        <v>3233155</v>
      </c>
      <c r="AA312" s="751">
        <v>0</v>
      </c>
      <c r="AB312" s="751">
        <v>32331549</v>
      </c>
      <c r="AC312" s="751">
        <v>0</v>
      </c>
      <c r="AD312" s="751">
        <v>0</v>
      </c>
      <c r="AE312" s="751">
        <v>16165774</v>
      </c>
      <c r="AF312" s="751">
        <v>12932620</v>
      </c>
      <c r="AG312" s="751">
        <v>3233155</v>
      </c>
      <c r="AH312" s="751">
        <v>0</v>
      </c>
      <c r="AI312" s="751">
        <v>32331549</v>
      </c>
      <c r="AJ312" s="751">
        <v>122526</v>
      </c>
      <c r="AK312" s="751">
        <v>122526</v>
      </c>
      <c r="AL312" s="751">
        <v>0</v>
      </c>
      <c r="AM312" s="751">
        <v>0</v>
      </c>
      <c r="AN312" s="751">
        <v>0</v>
      </c>
      <c r="AO312" s="751">
        <v>0</v>
      </c>
      <c r="AP312" s="751">
        <v>0</v>
      </c>
      <c r="AQ312" s="751">
        <v>0</v>
      </c>
      <c r="AR312" s="751">
        <v>0</v>
      </c>
      <c r="AS312" s="751">
        <v>0</v>
      </c>
      <c r="AT312" s="751">
        <v>0</v>
      </c>
      <c r="AU312" s="751">
        <v>0</v>
      </c>
      <c r="AV312" s="751">
        <v>0</v>
      </c>
      <c r="AW312" s="751">
        <v>0</v>
      </c>
      <c r="AX312" s="751">
        <v>0</v>
      </c>
      <c r="AY312" s="751">
        <v>0</v>
      </c>
      <c r="AZ312" s="751">
        <v>0</v>
      </c>
      <c r="BA312" s="751">
        <v>0</v>
      </c>
      <c r="BB312" s="751">
        <v>0</v>
      </c>
      <c r="BC312" s="751">
        <v>-8417493</v>
      </c>
      <c r="BD312" s="751">
        <v>-6733995</v>
      </c>
      <c r="BE312" s="751">
        <v>-2537575</v>
      </c>
      <c r="BF312" s="751">
        <v>0</v>
      </c>
      <c r="BG312" s="751">
        <v>-17689063</v>
      </c>
      <c r="BH312" s="751">
        <v>7748281</v>
      </c>
      <c r="BI312" s="751">
        <v>6321151</v>
      </c>
      <c r="BJ312" s="751">
        <v>695580</v>
      </c>
      <c r="BK312" s="751">
        <v>0</v>
      </c>
      <c r="BL312" s="751">
        <v>14765012</v>
      </c>
      <c r="BM312" s="751">
        <v>673844</v>
      </c>
      <c r="BN312" s="751">
        <v>168461</v>
      </c>
      <c r="BO312" s="751">
        <v>0</v>
      </c>
      <c r="BP312" s="751">
        <v>842305</v>
      </c>
      <c r="BQ312" s="751">
        <v>1088418</v>
      </c>
      <c r="BR312" s="751">
        <v>272105</v>
      </c>
      <c r="BS312" s="751">
        <v>0</v>
      </c>
      <c r="BT312" s="751">
        <v>1360523</v>
      </c>
      <c r="BU312" s="751">
        <v>60669</v>
      </c>
      <c r="BV312" s="751">
        <v>15167</v>
      </c>
      <c r="BW312" s="751">
        <v>0</v>
      </c>
      <c r="BX312" s="751">
        <v>75836</v>
      </c>
      <c r="BY312" s="751">
        <v>0</v>
      </c>
      <c r="BZ312" s="751">
        <v>0</v>
      </c>
      <c r="CA312" s="751">
        <v>0</v>
      </c>
      <c r="CB312" s="751">
        <v>0</v>
      </c>
      <c r="CC312" s="751">
        <v>0</v>
      </c>
      <c r="CD312" s="751">
        <v>0</v>
      </c>
      <c r="CE312" s="751">
        <v>0</v>
      </c>
      <c r="CF312" s="751">
        <v>0</v>
      </c>
      <c r="CG312" s="751">
        <v>8536</v>
      </c>
      <c r="CH312" s="751">
        <v>2134</v>
      </c>
      <c r="CI312" s="751">
        <v>0</v>
      </c>
      <c r="CJ312" s="751">
        <v>10670</v>
      </c>
      <c r="CK312" s="751">
        <v>0</v>
      </c>
      <c r="CL312" s="751">
        <v>0</v>
      </c>
      <c r="CM312" s="751">
        <v>0</v>
      </c>
      <c r="CN312" s="751">
        <v>0</v>
      </c>
      <c r="CO312" s="751">
        <v>0</v>
      </c>
      <c r="CP312" s="751">
        <v>0</v>
      </c>
      <c r="CQ312" s="751">
        <v>0</v>
      </c>
      <c r="CR312" s="751">
        <v>0</v>
      </c>
      <c r="CS312" s="751">
        <v>0</v>
      </c>
      <c r="CT312" s="751">
        <v>0</v>
      </c>
      <c r="CU312" s="751">
        <v>0</v>
      </c>
      <c r="CV312" s="751">
        <v>0</v>
      </c>
      <c r="CW312" s="751">
        <v>1831467</v>
      </c>
      <c r="CX312" s="751">
        <v>457867</v>
      </c>
      <c r="CY312" s="751">
        <v>0</v>
      </c>
      <c r="CZ312" s="751">
        <v>2289334</v>
      </c>
      <c r="DA312" s="662" t="s">
        <v>470</v>
      </c>
      <c r="DB312" s="673" t="s">
        <v>568</v>
      </c>
      <c r="DC312" s="674" t="s">
        <v>512</v>
      </c>
      <c r="DD312" s="529" t="s">
        <v>1517</v>
      </c>
    </row>
    <row r="313" spans="1:108" ht="12.75" x14ac:dyDescent="0.2">
      <c r="A313" s="664">
        <v>306</v>
      </c>
      <c r="B313" s="665" t="s">
        <v>473</v>
      </c>
      <c r="C313" s="666" t="s">
        <v>1201</v>
      </c>
      <c r="D313" s="667" t="s">
        <v>1228</v>
      </c>
      <c r="E313" s="668" t="s">
        <v>472</v>
      </c>
      <c r="F313" s="750">
        <v>44957127</v>
      </c>
      <c r="G313" s="751">
        <v>17724</v>
      </c>
      <c r="H313" s="751">
        <v>0</v>
      </c>
      <c r="I313" s="751">
        <v>188970</v>
      </c>
      <c r="J313" s="751">
        <v>0</v>
      </c>
      <c r="K313" s="751">
        <v>188970</v>
      </c>
      <c r="L313" s="751">
        <v>0</v>
      </c>
      <c r="M313" s="751">
        <v>0</v>
      </c>
      <c r="N313" s="751">
        <v>374358</v>
      </c>
      <c r="O313" s="751">
        <v>192074</v>
      </c>
      <c r="P313" s="751">
        <v>182284</v>
      </c>
      <c r="Q313" s="751">
        <v>0</v>
      </c>
      <c r="R313" s="751">
        <v>44411523</v>
      </c>
      <c r="S313" s="749">
        <v>0.5</v>
      </c>
      <c r="T313" s="749">
        <v>0.4</v>
      </c>
      <c r="U313" s="749">
        <v>0.09</v>
      </c>
      <c r="V313" s="749">
        <v>0.01</v>
      </c>
      <c r="W313" s="749">
        <v>1</v>
      </c>
      <c r="X313" s="751">
        <v>22205762</v>
      </c>
      <c r="Y313" s="751">
        <v>17764609</v>
      </c>
      <c r="Z313" s="751">
        <v>3997037</v>
      </c>
      <c r="AA313" s="751">
        <v>444115</v>
      </c>
      <c r="AB313" s="751">
        <v>44411523</v>
      </c>
      <c r="AC313" s="751">
        <v>0</v>
      </c>
      <c r="AD313" s="751">
        <v>0</v>
      </c>
      <c r="AE313" s="751">
        <v>22205762</v>
      </c>
      <c r="AF313" s="751">
        <v>17764609</v>
      </c>
      <c r="AG313" s="751">
        <v>3997037</v>
      </c>
      <c r="AH313" s="751">
        <v>444115</v>
      </c>
      <c r="AI313" s="751">
        <v>44411523</v>
      </c>
      <c r="AJ313" s="751">
        <v>188970</v>
      </c>
      <c r="AK313" s="751">
        <v>188970</v>
      </c>
      <c r="AL313" s="751">
        <v>0</v>
      </c>
      <c r="AM313" s="751">
        <v>0</v>
      </c>
      <c r="AN313" s="751">
        <v>192074</v>
      </c>
      <c r="AO313" s="751">
        <v>182284</v>
      </c>
      <c r="AP313" s="751">
        <v>374358</v>
      </c>
      <c r="AQ313" s="751">
        <v>0</v>
      </c>
      <c r="AR313" s="751">
        <v>0</v>
      </c>
      <c r="AS313" s="751">
        <v>0</v>
      </c>
      <c r="AT313" s="751">
        <v>0</v>
      </c>
      <c r="AU313" s="751">
        <v>0</v>
      </c>
      <c r="AV313" s="751">
        <v>0</v>
      </c>
      <c r="AW313" s="751">
        <v>0</v>
      </c>
      <c r="AX313" s="751">
        <v>0</v>
      </c>
      <c r="AY313" s="751">
        <v>0</v>
      </c>
      <c r="AZ313" s="751">
        <v>0</v>
      </c>
      <c r="BA313" s="751">
        <v>0</v>
      </c>
      <c r="BB313" s="751">
        <v>0</v>
      </c>
      <c r="BC313" s="751">
        <v>-7812633</v>
      </c>
      <c r="BD313" s="751">
        <v>-7035512</v>
      </c>
      <c r="BE313" s="751">
        <v>1323011</v>
      </c>
      <c r="BF313" s="751">
        <v>-136618</v>
      </c>
      <c r="BG313" s="751">
        <v>-13661751</v>
      </c>
      <c r="BH313" s="751">
        <v>14393129</v>
      </c>
      <c r="BI313" s="751">
        <v>11110141</v>
      </c>
      <c r="BJ313" s="751">
        <v>5502332</v>
      </c>
      <c r="BK313" s="751">
        <v>307497</v>
      </c>
      <c r="BL313" s="751">
        <v>31313100</v>
      </c>
      <c r="BM313" s="751">
        <v>935619</v>
      </c>
      <c r="BN313" s="751">
        <v>217760</v>
      </c>
      <c r="BO313" s="751">
        <v>23140</v>
      </c>
      <c r="BP313" s="751">
        <v>1176519</v>
      </c>
      <c r="BQ313" s="751">
        <v>1741703</v>
      </c>
      <c r="BR313" s="751">
        <v>391883</v>
      </c>
      <c r="BS313" s="751">
        <v>43543</v>
      </c>
      <c r="BT313" s="751">
        <v>2177129</v>
      </c>
      <c r="BU313" s="751">
        <v>82752</v>
      </c>
      <c r="BV313" s="751">
        <v>18619</v>
      </c>
      <c r="BW313" s="751">
        <v>2069</v>
      </c>
      <c r="BX313" s="751">
        <v>103440</v>
      </c>
      <c r="BY313" s="751">
        <v>0</v>
      </c>
      <c r="BZ313" s="751">
        <v>0</v>
      </c>
      <c r="CA313" s="751">
        <v>0</v>
      </c>
      <c r="CB313" s="751">
        <v>0</v>
      </c>
      <c r="CC313" s="751">
        <v>18029</v>
      </c>
      <c r="CD313" s="751">
        <v>4056</v>
      </c>
      <c r="CE313" s="751">
        <v>451</v>
      </c>
      <c r="CF313" s="751">
        <v>22536</v>
      </c>
      <c r="CG313" s="751">
        <v>9609</v>
      </c>
      <c r="CH313" s="751">
        <v>2162</v>
      </c>
      <c r="CI313" s="751">
        <v>240</v>
      </c>
      <c r="CJ313" s="751">
        <v>12011</v>
      </c>
      <c r="CK313" s="751">
        <v>0</v>
      </c>
      <c r="CL313" s="751">
        <v>0</v>
      </c>
      <c r="CM313" s="751">
        <v>0</v>
      </c>
      <c r="CN313" s="751">
        <v>0</v>
      </c>
      <c r="CO313" s="751">
        <v>0</v>
      </c>
      <c r="CP313" s="751">
        <v>0</v>
      </c>
      <c r="CQ313" s="751">
        <v>0</v>
      </c>
      <c r="CR313" s="751">
        <v>0</v>
      </c>
      <c r="CS313" s="751">
        <v>0</v>
      </c>
      <c r="CT313" s="751">
        <v>0</v>
      </c>
      <c r="CU313" s="751">
        <v>0</v>
      </c>
      <c r="CV313" s="751">
        <v>0</v>
      </c>
      <c r="CW313" s="751">
        <v>2787712</v>
      </c>
      <c r="CX313" s="751">
        <v>634480</v>
      </c>
      <c r="CY313" s="751">
        <v>69443</v>
      </c>
      <c r="CZ313" s="751">
        <v>3491635</v>
      </c>
      <c r="DA313" s="662" t="s">
        <v>472</v>
      </c>
      <c r="DB313" s="673" t="s">
        <v>535</v>
      </c>
      <c r="DC313" s="674" t="s">
        <v>534</v>
      </c>
      <c r="DD313" s="529" t="s">
        <v>1518</v>
      </c>
    </row>
    <row r="314" spans="1:108" ht="12.75" x14ac:dyDescent="0.2">
      <c r="A314" s="664">
        <v>307</v>
      </c>
      <c r="B314" s="665" t="s">
        <v>475</v>
      </c>
      <c r="C314" s="666" t="s">
        <v>1201</v>
      </c>
      <c r="D314" s="667" t="s">
        <v>1204</v>
      </c>
      <c r="E314" s="668" t="s">
        <v>474</v>
      </c>
      <c r="F314" s="750">
        <v>26435679</v>
      </c>
      <c r="G314" s="751">
        <v>0</v>
      </c>
      <c r="H314" s="751">
        <v>802596</v>
      </c>
      <c r="I314" s="751">
        <v>147818</v>
      </c>
      <c r="J314" s="751">
        <v>0</v>
      </c>
      <c r="K314" s="751">
        <v>147818</v>
      </c>
      <c r="L314" s="751">
        <v>0</v>
      </c>
      <c r="M314" s="751">
        <v>80792</v>
      </c>
      <c r="N314" s="751">
        <v>0</v>
      </c>
      <c r="O314" s="751">
        <v>0</v>
      </c>
      <c r="P314" s="751">
        <v>0</v>
      </c>
      <c r="Q314" s="751">
        <v>0</v>
      </c>
      <c r="R314" s="751">
        <v>25404473</v>
      </c>
      <c r="S314" s="749">
        <v>0.5</v>
      </c>
      <c r="T314" s="749">
        <v>0.4</v>
      </c>
      <c r="U314" s="749">
        <v>0.09</v>
      </c>
      <c r="V314" s="749">
        <v>0.01</v>
      </c>
      <c r="W314" s="749">
        <v>1</v>
      </c>
      <c r="X314" s="751">
        <v>12702236</v>
      </c>
      <c r="Y314" s="751">
        <v>10161789</v>
      </c>
      <c r="Z314" s="751">
        <v>2286403</v>
      </c>
      <c r="AA314" s="751">
        <v>254045</v>
      </c>
      <c r="AB314" s="751">
        <v>25404473</v>
      </c>
      <c r="AC314" s="751">
        <v>0</v>
      </c>
      <c r="AD314" s="751">
        <v>0</v>
      </c>
      <c r="AE314" s="751">
        <v>12702236</v>
      </c>
      <c r="AF314" s="751">
        <v>10161789</v>
      </c>
      <c r="AG314" s="751">
        <v>2286403</v>
      </c>
      <c r="AH314" s="751">
        <v>254045</v>
      </c>
      <c r="AI314" s="751">
        <v>25404473</v>
      </c>
      <c r="AJ314" s="751">
        <v>147818</v>
      </c>
      <c r="AK314" s="751">
        <v>147818</v>
      </c>
      <c r="AL314" s="751">
        <v>80792</v>
      </c>
      <c r="AM314" s="751">
        <v>80792</v>
      </c>
      <c r="AN314" s="751">
        <v>0</v>
      </c>
      <c r="AO314" s="751">
        <v>0</v>
      </c>
      <c r="AP314" s="751">
        <v>0</v>
      </c>
      <c r="AQ314" s="751">
        <v>0</v>
      </c>
      <c r="AR314" s="751">
        <v>0</v>
      </c>
      <c r="AS314" s="751">
        <v>0</v>
      </c>
      <c r="AT314" s="751">
        <v>0</v>
      </c>
      <c r="AU314" s="751">
        <v>0</v>
      </c>
      <c r="AV314" s="751">
        <v>0</v>
      </c>
      <c r="AW314" s="751">
        <v>0</v>
      </c>
      <c r="AX314" s="751">
        <v>0</v>
      </c>
      <c r="AY314" s="751">
        <v>0</v>
      </c>
      <c r="AZ314" s="751">
        <v>0</v>
      </c>
      <c r="BA314" s="751">
        <v>0</v>
      </c>
      <c r="BB314" s="751">
        <v>0</v>
      </c>
      <c r="BC314" s="751">
        <v>-6358867</v>
      </c>
      <c r="BD314" s="751">
        <v>-5183907</v>
      </c>
      <c r="BE314" s="751">
        <v>-1179556</v>
      </c>
      <c r="BF314" s="751">
        <v>-129867</v>
      </c>
      <c r="BG314" s="751">
        <v>-12852196</v>
      </c>
      <c r="BH314" s="751">
        <v>6343370</v>
      </c>
      <c r="BI314" s="751">
        <v>5206492</v>
      </c>
      <c r="BJ314" s="751">
        <v>1106847</v>
      </c>
      <c r="BK314" s="751">
        <v>124178</v>
      </c>
      <c r="BL314" s="751">
        <v>12780887</v>
      </c>
      <c r="BM314" s="751">
        <v>533682</v>
      </c>
      <c r="BN314" s="751">
        <v>119131</v>
      </c>
      <c r="BO314" s="751">
        <v>13237</v>
      </c>
      <c r="BP314" s="751">
        <v>666050</v>
      </c>
      <c r="BQ314" s="751">
        <v>1549249</v>
      </c>
      <c r="BR314" s="751">
        <v>340198</v>
      </c>
      <c r="BS314" s="751">
        <v>37800</v>
      </c>
      <c r="BT314" s="751">
        <v>1927247</v>
      </c>
      <c r="BU314" s="751">
        <v>62389</v>
      </c>
      <c r="BV314" s="751">
        <v>13607</v>
      </c>
      <c r="BW314" s="751">
        <v>1512</v>
      </c>
      <c r="BX314" s="751">
        <v>77508</v>
      </c>
      <c r="BY314" s="751">
        <v>6982</v>
      </c>
      <c r="BZ314" s="751">
        <v>1134</v>
      </c>
      <c r="CA314" s="751">
        <v>126</v>
      </c>
      <c r="CB314" s="751">
        <v>8242</v>
      </c>
      <c r="CC314" s="751">
        <v>0</v>
      </c>
      <c r="CD314" s="751">
        <v>0</v>
      </c>
      <c r="CE314" s="751">
        <v>0</v>
      </c>
      <c r="CF314" s="751">
        <v>0</v>
      </c>
      <c r="CG314" s="751">
        <v>5910</v>
      </c>
      <c r="CH314" s="751">
        <v>1330</v>
      </c>
      <c r="CI314" s="751">
        <v>148</v>
      </c>
      <c r="CJ314" s="751">
        <v>7388</v>
      </c>
      <c r="CK314" s="751">
        <v>0</v>
      </c>
      <c r="CL314" s="751">
        <v>0</v>
      </c>
      <c r="CM314" s="751">
        <v>0</v>
      </c>
      <c r="CN314" s="751">
        <v>0</v>
      </c>
      <c r="CO314" s="751">
        <v>0</v>
      </c>
      <c r="CP314" s="751">
        <v>0</v>
      </c>
      <c r="CQ314" s="751">
        <v>0</v>
      </c>
      <c r="CR314" s="751">
        <v>0</v>
      </c>
      <c r="CS314" s="751">
        <v>0</v>
      </c>
      <c r="CT314" s="751">
        <v>0</v>
      </c>
      <c r="CU314" s="751">
        <v>0</v>
      </c>
      <c r="CV314" s="751">
        <v>0</v>
      </c>
      <c r="CW314" s="751">
        <v>2158212</v>
      </c>
      <c r="CX314" s="751">
        <v>475400</v>
      </c>
      <c r="CY314" s="751">
        <v>52823</v>
      </c>
      <c r="CZ314" s="751">
        <v>2686435</v>
      </c>
      <c r="DA314" s="662" t="s">
        <v>474</v>
      </c>
      <c r="DB314" s="673" t="s">
        <v>547</v>
      </c>
      <c r="DC314" s="674" t="s">
        <v>545</v>
      </c>
      <c r="DD314" s="529" t="s">
        <v>1519</v>
      </c>
    </row>
    <row r="315" spans="1:108" ht="12.75" x14ac:dyDescent="0.2">
      <c r="A315" s="664">
        <v>308</v>
      </c>
      <c r="B315" s="665" t="s">
        <v>477</v>
      </c>
      <c r="C315" s="666" t="s">
        <v>1201</v>
      </c>
      <c r="D315" s="667" t="s">
        <v>1228</v>
      </c>
      <c r="E315" s="668" t="s">
        <v>476</v>
      </c>
      <c r="F315" s="750">
        <v>28621362</v>
      </c>
      <c r="G315" s="751">
        <v>58789</v>
      </c>
      <c r="H315" s="751">
        <v>0</v>
      </c>
      <c r="I315" s="751">
        <v>130417</v>
      </c>
      <c r="J315" s="751">
        <v>0</v>
      </c>
      <c r="K315" s="751">
        <v>130417</v>
      </c>
      <c r="L315" s="751">
        <v>0</v>
      </c>
      <c r="M315" s="751">
        <v>0</v>
      </c>
      <c r="N315" s="751">
        <v>5240</v>
      </c>
      <c r="O315" s="751">
        <v>5240</v>
      </c>
      <c r="P315" s="751">
        <v>0</v>
      </c>
      <c r="Q315" s="751">
        <v>0</v>
      </c>
      <c r="R315" s="751">
        <v>28544494</v>
      </c>
      <c r="S315" s="749">
        <v>0.5</v>
      </c>
      <c r="T315" s="749">
        <v>0.4</v>
      </c>
      <c r="U315" s="749">
        <v>0.09</v>
      </c>
      <c r="V315" s="749">
        <v>0.01</v>
      </c>
      <c r="W315" s="749">
        <v>1</v>
      </c>
      <c r="X315" s="751">
        <v>14272247</v>
      </c>
      <c r="Y315" s="751">
        <v>11417798</v>
      </c>
      <c r="Z315" s="751">
        <v>2569004</v>
      </c>
      <c r="AA315" s="751">
        <v>285445</v>
      </c>
      <c r="AB315" s="751">
        <v>28544494</v>
      </c>
      <c r="AC315" s="751">
        <v>0</v>
      </c>
      <c r="AD315" s="751">
        <v>0</v>
      </c>
      <c r="AE315" s="751">
        <v>14272247</v>
      </c>
      <c r="AF315" s="751">
        <v>11417798</v>
      </c>
      <c r="AG315" s="751">
        <v>2569004</v>
      </c>
      <c r="AH315" s="751">
        <v>285445</v>
      </c>
      <c r="AI315" s="751">
        <v>28544494</v>
      </c>
      <c r="AJ315" s="751">
        <v>130417</v>
      </c>
      <c r="AK315" s="751">
        <v>130417</v>
      </c>
      <c r="AL315" s="751">
        <v>0</v>
      </c>
      <c r="AM315" s="751">
        <v>0</v>
      </c>
      <c r="AN315" s="751">
        <v>5240</v>
      </c>
      <c r="AO315" s="751">
        <v>0</v>
      </c>
      <c r="AP315" s="751">
        <v>5240</v>
      </c>
      <c r="AQ315" s="751">
        <v>0</v>
      </c>
      <c r="AR315" s="751">
        <v>0</v>
      </c>
      <c r="AS315" s="751">
        <v>0</v>
      </c>
      <c r="AT315" s="751">
        <v>0</v>
      </c>
      <c r="AU315" s="751">
        <v>0</v>
      </c>
      <c r="AV315" s="751">
        <v>0</v>
      </c>
      <c r="AW315" s="751">
        <v>0</v>
      </c>
      <c r="AX315" s="751">
        <v>0</v>
      </c>
      <c r="AY315" s="751">
        <v>0</v>
      </c>
      <c r="AZ315" s="751">
        <v>0</v>
      </c>
      <c r="BA315" s="751">
        <v>0</v>
      </c>
      <c r="BB315" s="751">
        <v>0</v>
      </c>
      <c r="BC315" s="751">
        <v>-8057035</v>
      </c>
      <c r="BD315" s="751">
        <v>-6948711</v>
      </c>
      <c r="BE315" s="751">
        <v>297947</v>
      </c>
      <c r="BF315" s="751">
        <v>-148564</v>
      </c>
      <c r="BG315" s="751">
        <v>-14856363</v>
      </c>
      <c r="BH315" s="751">
        <v>6215212</v>
      </c>
      <c r="BI315" s="751">
        <v>4604744</v>
      </c>
      <c r="BJ315" s="751">
        <v>2866951</v>
      </c>
      <c r="BK315" s="751">
        <v>136881</v>
      </c>
      <c r="BL315" s="751">
        <v>13823788</v>
      </c>
      <c r="BM315" s="751">
        <v>595188</v>
      </c>
      <c r="BN315" s="751">
        <v>133856</v>
      </c>
      <c r="BO315" s="751">
        <v>14873</v>
      </c>
      <c r="BP315" s="751">
        <v>743917</v>
      </c>
      <c r="BQ315" s="751">
        <v>1150331</v>
      </c>
      <c r="BR315" s="751">
        <v>258824</v>
      </c>
      <c r="BS315" s="751">
        <v>28758</v>
      </c>
      <c r="BT315" s="751">
        <v>1437913</v>
      </c>
      <c r="BU315" s="751">
        <v>60791</v>
      </c>
      <c r="BV315" s="751">
        <v>13678</v>
      </c>
      <c r="BW315" s="751">
        <v>1520</v>
      </c>
      <c r="BX315" s="751">
        <v>75989</v>
      </c>
      <c r="BY315" s="751">
        <v>0</v>
      </c>
      <c r="BZ315" s="751">
        <v>0</v>
      </c>
      <c r="CA315" s="751">
        <v>0</v>
      </c>
      <c r="CB315" s="751">
        <v>0</v>
      </c>
      <c r="CC315" s="751">
        <v>4028</v>
      </c>
      <c r="CD315" s="751">
        <v>907</v>
      </c>
      <c r="CE315" s="751">
        <v>101</v>
      </c>
      <c r="CF315" s="751">
        <v>5036</v>
      </c>
      <c r="CG315" s="751">
        <v>8259</v>
      </c>
      <c r="CH315" s="751">
        <v>1858</v>
      </c>
      <c r="CI315" s="751">
        <v>206</v>
      </c>
      <c r="CJ315" s="751">
        <v>10323</v>
      </c>
      <c r="CK315" s="751">
        <v>0</v>
      </c>
      <c r="CL315" s="751">
        <v>0</v>
      </c>
      <c r="CM315" s="751">
        <v>0</v>
      </c>
      <c r="CN315" s="751">
        <v>0</v>
      </c>
      <c r="CO315" s="751">
        <v>0</v>
      </c>
      <c r="CP315" s="751">
        <v>0</v>
      </c>
      <c r="CQ315" s="751">
        <v>0</v>
      </c>
      <c r="CR315" s="751">
        <v>0</v>
      </c>
      <c r="CS315" s="751">
        <v>0</v>
      </c>
      <c r="CT315" s="751">
        <v>0</v>
      </c>
      <c r="CU315" s="751">
        <v>0</v>
      </c>
      <c r="CV315" s="751">
        <v>0</v>
      </c>
      <c r="CW315" s="751">
        <v>1818597</v>
      </c>
      <c r="CX315" s="751">
        <v>409123</v>
      </c>
      <c r="CY315" s="751">
        <v>45458</v>
      </c>
      <c r="CZ315" s="751">
        <v>2273178</v>
      </c>
      <c r="DA315" s="662" t="s">
        <v>476</v>
      </c>
      <c r="DB315" s="673" t="s">
        <v>535</v>
      </c>
      <c r="DC315" s="674" t="s">
        <v>534</v>
      </c>
      <c r="DD315" s="529" t="s">
        <v>1520</v>
      </c>
    </row>
    <row r="316" spans="1:108" ht="13.5" thickBot="1" x14ac:dyDescent="0.25">
      <c r="A316" s="664">
        <v>309</v>
      </c>
      <c r="B316" s="665" t="s">
        <v>479</v>
      </c>
      <c r="C316" s="666" t="s">
        <v>486</v>
      </c>
      <c r="D316" s="667" t="s">
        <v>1218</v>
      </c>
      <c r="E316" s="668" t="s">
        <v>554</v>
      </c>
      <c r="F316" s="750">
        <v>106563311</v>
      </c>
      <c r="G316" s="751">
        <v>0</v>
      </c>
      <c r="H316" s="751">
        <v>375196</v>
      </c>
      <c r="I316" s="751">
        <v>289552</v>
      </c>
      <c r="J316" s="751">
        <v>0</v>
      </c>
      <c r="K316" s="751">
        <v>289552</v>
      </c>
      <c r="L316" s="751">
        <v>0</v>
      </c>
      <c r="M316" s="751">
        <v>221254</v>
      </c>
      <c r="N316" s="751">
        <v>0</v>
      </c>
      <c r="O316" s="751">
        <v>0</v>
      </c>
      <c r="P316" s="751">
        <v>0</v>
      </c>
      <c r="Q316" s="751">
        <v>0</v>
      </c>
      <c r="R316" s="751">
        <v>105677309</v>
      </c>
      <c r="S316" s="749">
        <v>0.5</v>
      </c>
      <c r="T316" s="749">
        <v>0.49</v>
      </c>
      <c r="U316" s="749">
        <v>0</v>
      </c>
      <c r="V316" s="749">
        <v>0.01</v>
      </c>
      <c r="W316" s="749">
        <v>1</v>
      </c>
      <c r="X316" s="751">
        <v>52838655</v>
      </c>
      <c r="Y316" s="751">
        <v>51781881</v>
      </c>
      <c r="Z316" s="751">
        <v>0</v>
      </c>
      <c r="AA316" s="751">
        <v>1056773</v>
      </c>
      <c r="AB316" s="751">
        <v>105677309</v>
      </c>
      <c r="AC316" s="751">
        <v>0</v>
      </c>
      <c r="AD316" s="751">
        <v>0</v>
      </c>
      <c r="AE316" s="751">
        <v>52838655</v>
      </c>
      <c r="AF316" s="751">
        <v>51781881</v>
      </c>
      <c r="AG316" s="751">
        <v>0</v>
      </c>
      <c r="AH316" s="751">
        <v>1056773</v>
      </c>
      <c r="AI316" s="751">
        <v>105677309</v>
      </c>
      <c r="AJ316" s="751">
        <v>289552</v>
      </c>
      <c r="AK316" s="751">
        <v>289552</v>
      </c>
      <c r="AL316" s="751">
        <v>221254</v>
      </c>
      <c r="AM316" s="751">
        <v>221254</v>
      </c>
      <c r="AN316" s="751">
        <v>0</v>
      </c>
      <c r="AO316" s="751">
        <v>0</v>
      </c>
      <c r="AP316" s="751">
        <v>0</v>
      </c>
      <c r="AQ316" s="751">
        <v>0</v>
      </c>
      <c r="AR316" s="751">
        <v>0</v>
      </c>
      <c r="AS316" s="751">
        <v>0</v>
      </c>
      <c r="AT316" s="751">
        <v>0</v>
      </c>
      <c r="AU316" s="751">
        <v>0</v>
      </c>
      <c r="AV316" s="751">
        <v>0</v>
      </c>
      <c r="AW316" s="751">
        <v>0</v>
      </c>
      <c r="AX316" s="751">
        <v>0</v>
      </c>
      <c r="AY316" s="751">
        <v>0</v>
      </c>
      <c r="AZ316" s="751">
        <v>0</v>
      </c>
      <c r="BA316" s="751">
        <v>0</v>
      </c>
      <c r="BB316" s="751">
        <v>0</v>
      </c>
      <c r="BC316" s="751">
        <v>-34402728</v>
      </c>
      <c r="BD316" s="751">
        <v>-34148692</v>
      </c>
      <c r="BE316" s="751">
        <v>0</v>
      </c>
      <c r="BF316" s="751">
        <v>-692439</v>
      </c>
      <c r="BG316" s="751">
        <v>-69243858</v>
      </c>
      <c r="BH316" s="751">
        <v>18435927</v>
      </c>
      <c r="BI316" s="751">
        <v>18143995</v>
      </c>
      <c r="BJ316" s="751">
        <v>0</v>
      </c>
      <c r="BK316" s="751">
        <v>364334</v>
      </c>
      <c r="BL316" s="751">
        <v>36944257</v>
      </c>
      <c r="BM316" s="751">
        <v>2709582</v>
      </c>
      <c r="BN316" s="751">
        <v>0</v>
      </c>
      <c r="BO316" s="751">
        <v>55062</v>
      </c>
      <c r="BP316" s="751">
        <v>2764644</v>
      </c>
      <c r="BQ316" s="751">
        <v>2483595</v>
      </c>
      <c r="BR316" s="751">
        <v>0</v>
      </c>
      <c r="BS316" s="751">
        <v>50638</v>
      </c>
      <c r="BT316" s="751">
        <v>2534233</v>
      </c>
      <c r="BU316" s="751">
        <v>184163</v>
      </c>
      <c r="BV316" s="751">
        <v>0</v>
      </c>
      <c r="BW316" s="751">
        <v>3714</v>
      </c>
      <c r="BX316" s="751">
        <v>187877</v>
      </c>
      <c r="BY316" s="751">
        <v>25777</v>
      </c>
      <c r="BZ316" s="751">
        <v>0</v>
      </c>
      <c r="CA316" s="751">
        <v>526</v>
      </c>
      <c r="CB316" s="751">
        <v>26303</v>
      </c>
      <c r="CC316" s="751">
        <v>1482</v>
      </c>
      <c r="CD316" s="751">
        <v>0</v>
      </c>
      <c r="CE316" s="751">
        <v>30</v>
      </c>
      <c r="CF316" s="751">
        <v>1512</v>
      </c>
      <c r="CG316" s="751">
        <v>15083</v>
      </c>
      <c r="CH316" s="751">
        <v>0</v>
      </c>
      <c r="CI316" s="751">
        <v>308</v>
      </c>
      <c r="CJ316" s="751">
        <v>15391</v>
      </c>
      <c r="CK316" s="751">
        <v>0</v>
      </c>
      <c r="CL316" s="751">
        <v>0</v>
      </c>
      <c r="CM316" s="751">
        <v>0</v>
      </c>
      <c r="CN316" s="751">
        <v>0</v>
      </c>
      <c r="CO316" s="751">
        <v>0</v>
      </c>
      <c r="CP316" s="751">
        <v>0</v>
      </c>
      <c r="CQ316" s="751">
        <v>0</v>
      </c>
      <c r="CR316" s="751">
        <v>0</v>
      </c>
      <c r="CS316" s="751">
        <v>773</v>
      </c>
      <c r="CT316" s="751">
        <v>0</v>
      </c>
      <c r="CU316" s="751">
        <v>16</v>
      </c>
      <c r="CV316" s="751">
        <v>789</v>
      </c>
      <c r="CW316" s="751">
        <v>5420455</v>
      </c>
      <c r="CX316" s="751">
        <v>0</v>
      </c>
      <c r="CY316" s="751">
        <v>110294</v>
      </c>
      <c r="CZ316" s="751">
        <v>5530749</v>
      </c>
      <c r="DA316" s="662" t="s">
        <v>554</v>
      </c>
      <c r="DB316" s="673" t="s">
        <v>486</v>
      </c>
      <c r="DC316" s="674" t="s">
        <v>555</v>
      </c>
      <c r="DD316" s="529" t="s">
        <v>1521</v>
      </c>
    </row>
    <row r="317" spans="1:108" ht="13.5" thickBot="1" x14ac:dyDescent="0.25">
      <c r="A317" s="677">
        <v>310</v>
      </c>
      <c r="B317" s="676" t="s">
        <v>480</v>
      </c>
      <c r="C317" s="677"/>
      <c r="D317" s="678" t="s">
        <v>1211</v>
      </c>
      <c r="E317" s="679" t="s">
        <v>1524</v>
      </c>
      <c r="F317" s="752">
        <f>SUM(F8:F316)</f>
        <v>25464815917</v>
      </c>
      <c r="G317" s="752">
        <f t="shared" ref="G317:R317" si="0">SUM(G8:G316)</f>
        <v>39735475</v>
      </c>
      <c r="H317" s="752">
        <f t="shared" si="0"/>
        <v>97501972</v>
      </c>
      <c r="I317" s="752">
        <f t="shared" si="0"/>
        <v>84000014</v>
      </c>
      <c r="J317" s="752">
        <f t="shared" si="0"/>
        <v>0</v>
      </c>
      <c r="K317" s="752">
        <f t="shared" si="0"/>
        <v>84000014</v>
      </c>
      <c r="L317" s="752">
        <f t="shared" si="0"/>
        <v>12064000</v>
      </c>
      <c r="M317" s="752">
        <f t="shared" si="0"/>
        <v>100108675</v>
      </c>
      <c r="N317" s="752">
        <f t="shared" si="0"/>
        <v>86843040</v>
      </c>
      <c r="O317" s="752">
        <f t="shared" si="0"/>
        <v>82280059</v>
      </c>
      <c r="P317" s="752">
        <f t="shared" si="0"/>
        <v>4562981</v>
      </c>
      <c r="Q317" s="752">
        <f t="shared" si="0"/>
        <v>26368</v>
      </c>
      <c r="R317" s="752">
        <f t="shared" si="0"/>
        <v>25124007322</v>
      </c>
      <c r="S317" s="680"/>
      <c r="T317" s="680"/>
      <c r="U317" s="680"/>
      <c r="V317" s="680"/>
      <c r="W317" s="680"/>
      <c r="X317" s="752">
        <f t="shared" ref="X317" si="1">SUM(X8:X316)</f>
        <v>9596645952</v>
      </c>
      <c r="Y317" s="752">
        <f t="shared" ref="Y317" si="2">SUM(Y8:Y316)</f>
        <v>11569650733</v>
      </c>
      <c r="Z317" s="752">
        <f t="shared" ref="Z317" si="3">SUM(Z8:Z316)</f>
        <v>3824211497</v>
      </c>
      <c r="AA317" s="752">
        <f t="shared" ref="AA317" si="4">SUM(AA8:AA316)</f>
        <v>133499142</v>
      </c>
      <c r="AB317" s="752">
        <f t="shared" ref="AB317" si="5">SUM(AB8:AB316)</f>
        <v>25124007322</v>
      </c>
      <c r="AC317" s="752">
        <f t="shared" ref="AC317" si="6">SUM(AC8:AC316)</f>
        <v>10671144</v>
      </c>
      <c r="AD317" s="752">
        <f t="shared" ref="AD317" si="7">SUM(AD8:AD316)</f>
        <v>10671144</v>
      </c>
      <c r="AE317" s="752">
        <f t="shared" ref="AE317" si="8">SUM(AE8:AE316)</f>
        <v>9585974808</v>
      </c>
      <c r="AF317" s="752">
        <f t="shared" ref="AF317" si="9">SUM(AF8:AF316)</f>
        <v>11569650733</v>
      </c>
      <c r="AG317" s="752">
        <f t="shared" ref="AG317" si="10">SUM(AG8:AG316)</f>
        <v>3824211497</v>
      </c>
      <c r="AH317" s="752">
        <f t="shared" ref="AH317" si="11">SUM(AH8:AH316)</f>
        <v>133499142</v>
      </c>
      <c r="AI317" s="752">
        <f t="shared" ref="AI317" si="12">SUM(AI8:AI316)</f>
        <v>25113336178</v>
      </c>
      <c r="AJ317" s="752">
        <f t="shared" ref="AJ317" si="13">SUM(AJ8:AJ316)</f>
        <v>84000014</v>
      </c>
      <c r="AK317" s="752">
        <f t="shared" ref="AK317" si="14">SUM(AK8:AK316)</f>
        <v>84000014</v>
      </c>
      <c r="AL317" s="752">
        <f t="shared" ref="AL317" si="15">SUM(AL8:AL316)</f>
        <v>100108675</v>
      </c>
      <c r="AM317" s="752">
        <f t="shared" ref="AM317" si="16">SUM(AM8:AM316)</f>
        <v>100108675</v>
      </c>
      <c r="AN317" s="752">
        <f t="shared" ref="AN317" si="17">SUM(AN8:AN316)</f>
        <v>82280059</v>
      </c>
      <c r="AO317" s="752">
        <f t="shared" ref="AO317" si="18">SUM(AO8:AO316)</f>
        <v>4562981</v>
      </c>
      <c r="AP317" s="752">
        <f t="shared" ref="AP317" si="19">SUM(AP8:AP316)</f>
        <v>86843040</v>
      </c>
      <c r="AQ317" s="752">
        <f t="shared" ref="AQ317" si="20">SUM(AQ8:AQ316)</f>
        <v>10547</v>
      </c>
      <c r="AR317" s="752">
        <f t="shared" ref="AR317" si="21">SUM(AR8:AR316)</f>
        <v>15557</v>
      </c>
      <c r="AS317" s="752">
        <f t="shared" ref="AS317" si="22">SUM(AS8:AS316)</f>
        <v>264</v>
      </c>
      <c r="AT317" s="752">
        <f t="shared" ref="AT317" si="23">SUM(AT8:AT316)</f>
        <v>26368</v>
      </c>
      <c r="AU317" s="752">
        <f t="shared" ref="AU317" si="24">SUM(AU8:AU316)</f>
        <v>9862769</v>
      </c>
      <c r="AV317" s="752">
        <f t="shared" ref="AV317" si="25">SUM(AV8:AV316)</f>
        <v>134409</v>
      </c>
      <c r="AW317" s="752">
        <f t="shared" ref="AW317" si="26">SUM(AW8:AW316)</f>
        <v>15944</v>
      </c>
      <c r="AX317" s="752">
        <f t="shared" ref="AX317" si="27">SUM(AX8:AX316)</f>
        <v>10013122</v>
      </c>
      <c r="AY317" s="752">
        <f t="shared" ref="AY317" si="28">SUM(AY8:AY316)</f>
        <v>12064000</v>
      </c>
      <c r="AZ317" s="752">
        <f t="shared" ref="AZ317" si="29">SUM(AZ8:AZ316)</f>
        <v>12064000</v>
      </c>
      <c r="BA317" s="752">
        <f t="shared" ref="BA317" si="30">SUM(BA8:BA316)</f>
        <v>658022</v>
      </c>
      <c r="BB317" s="752">
        <f t="shared" ref="BB317" si="31">SUM(BB8:BB316)</f>
        <v>658022</v>
      </c>
      <c r="BC317" s="752">
        <f t="shared" ref="BC317" si="32">SUM(BC8:BC316)</f>
        <v>-4268241085</v>
      </c>
      <c r="BD317" s="752">
        <f t="shared" ref="BD317" si="33">SUM(BD8:BD316)</f>
        <v>-5301057338</v>
      </c>
      <c r="BE317" s="752">
        <f t="shared" ref="BE317" si="34">SUM(BE8:BE316)</f>
        <v>-1574949040</v>
      </c>
      <c r="BF317" s="752">
        <f t="shared" ref="BF317" si="35">SUM(BF8:BF316)</f>
        <v>-61744101</v>
      </c>
      <c r="BG317" s="752">
        <f t="shared" ref="BG317" si="36">SUM(BG8:BG316)</f>
        <v>-11205991535</v>
      </c>
      <c r="BH317" s="752">
        <f t="shared" ref="BH317" si="37">SUM(BH8:BH316)</f>
        <v>5317733758</v>
      </c>
      <c r="BI317" s="752">
        <f t="shared" ref="BI317" si="38">SUM(BI8:BI316)</f>
        <v>6557577482</v>
      </c>
      <c r="BJ317" s="752">
        <f t="shared" ref="BJ317" si="39">SUM(BJ8:BJ316)</f>
        <v>2253975405</v>
      </c>
      <c r="BK317" s="752">
        <f t="shared" ref="BK317" si="40">SUM(BK8:BK316)</f>
        <v>71771248</v>
      </c>
      <c r="BL317" s="752">
        <f t="shared" ref="BL317" si="41">SUM(BL8:BL316)</f>
        <v>14201057885</v>
      </c>
      <c r="BM317" s="752">
        <f t="shared" ref="BM317" si="42">SUM(BM8:BM316)</f>
        <v>613508023</v>
      </c>
      <c r="BN317" s="752">
        <f t="shared" ref="BN317" si="43">SUM(BN8:BN316)</f>
        <v>199503079</v>
      </c>
      <c r="BO317" s="752">
        <f t="shared" ref="BO317" si="44">SUM(BO8:BO316)</f>
        <v>6956713</v>
      </c>
      <c r="BP317" s="752">
        <f t="shared" ref="BP317" si="45">SUM(BP8:BP316)</f>
        <v>819967815</v>
      </c>
      <c r="BQ317" s="752">
        <f t="shared" ref="BQ317" si="46">SUM(BQ8:BQ316)</f>
        <v>777884687</v>
      </c>
      <c r="BR317" s="752">
        <f t="shared" ref="BR317" si="47">SUM(BR8:BR316)</f>
        <v>130511371</v>
      </c>
      <c r="BS317" s="752">
        <f t="shared" ref="BS317" si="48">SUM(BS8:BS316)</f>
        <v>10518077</v>
      </c>
      <c r="BT317" s="752">
        <f t="shared" ref="BT317" si="49">SUM(BT8:BT316)</f>
        <v>918914135</v>
      </c>
      <c r="BU317" s="752">
        <f t="shared" ref="BU317" si="50">SUM(BU8:BU316)</f>
        <v>43993137</v>
      </c>
      <c r="BV317" s="752">
        <f t="shared" ref="BV317" si="51">SUM(BV8:BV316)</f>
        <v>8620887</v>
      </c>
      <c r="BW317" s="752">
        <f t="shared" ref="BW317" si="52">SUM(BW8:BW316)</f>
        <v>572431</v>
      </c>
      <c r="BX317" s="752">
        <f t="shared" ref="BX317" si="53">SUM(BX8:BX316)</f>
        <v>53186455</v>
      </c>
      <c r="BY317" s="752">
        <f t="shared" ref="BY317" si="54">SUM(BY8:BY316)</f>
        <v>1972670</v>
      </c>
      <c r="BZ317" s="752">
        <f t="shared" ref="BZ317" si="55">SUM(BZ8:BZ316)</f>
        <v>169288</v>
      </c>
      <c r="CA317" s="752">
        <f t="shared" ref="CA317" si="56">SUM(CA8:CA316)</f>
        <v>31083</v>
      </c>
      <c r="CB317" s="752">
        <f t="shared" ref="CB317" si="57">SUM(CB8:CB316)</f>
        <v>2173041</v>
      </c>
      <c r="CC317" s="752">
        <f t="shared" ref="CC317" si="58">SUM(CC8:CC316)</f>
        <v>1985246</v>
      </c>
      <c r="CD317" s="752">
        <f t="shared" ref="CD317" si="59">SUM(CD8:CD316)</f>
        <v>297401</v>
      </c>
      <c r="CE317" s="752">
        <f t="shared" ref="CE317" si="60">SUM(CE8:CE316)</f>
        <v>27403</v>
      </c>
      <c r="CF317" s="752">
        <f t="shared" ref="CF317" si="61">SUM(CF8:CF316)</f>
        <v>2310050</v>
      </c>
      <c r="CG317" s="752">
        <f t="shared" ref="CG317" si="62">SUM(CG8:CG316)</f>
        <v>6275236</v>
      </c>
      <c r="CH317" s="752">
        <f t="shared" ref="CH317" si="63">SUM(CH8:CH316)</f>
        <v>1741422</v>
      </c>
      <c r="CI317" s="752">
        <f t="shared" ref="CI317" si="64">SUM(CI8:CI316)</f>
        <v>77863</v>
      </c>
      <c r="CJ317" s="752">
        <f t="shared" ref="CJ317" si="65">SUM(CJ8:CJ316)</f>
        <v>8094521</v>
      </c>
      <c r="CK317" s="752">
        <f t="shared" ref="CK317" si="66">SUM(CK8:CK316)</f>
        <v>3905757</v>
      </c>
      <c r="CL317" s="752">
        <f t="shared" ref="CL317" si="67">SUM(CL8:CL316)</f>
        <v>0</v>
      </c>
      <c r="CM317" s="752">
        <f t="shared" ref="CM317" si="68">SUM(CM8:CM316)</f>
        <v>2029</v>
      </c>
      <c r="CN317" s="752">
        <f t="shared" ref="CN317" si="69">SUM(CN8:CN316)</f>
        <v>3907786</v>
      </c>
      <c r="CO317" s="752">
        <f t="shared" ref="CO317" si="70">SUM(CO8:CO316)</f>
        <v>37254</v>
      </c>
      <c r="CP317" s="752">
        <f t="shared" ref="CP317" si="71">SUM(CP8:CP316)</f>
        <v>1231</v>
      </c>
      <c r="CQ317" s="752">
        <f t="shared" ref="CQ317" si="72">SUM(CQ8:CQ316)</f>
        <v>785</v>
      </c>
      <c r="CR317" s="752">
        <f t="shared" ref="CR317" si="73">SUM(CR8:CR316)</f>
        <v>39270</v>
      </c>
      <c r="CS317" s="752">
        <f t="shared" ref="CS317" si="74">SUM(CS8:CS316)</f>
        <v>69556</v>
      </c>
      <c r="CT317" s="752">
        <f t="shared" ref="CT317" si="75">SUM(CT8:CT316)</f>
        <v>9375</v>
      </c>
      <c r="CU317" s="752">
        <f t="shared" ref="CU317" si="76">SUM(CU8:CU316)</f>
        <v>928</v>
      </c>
      <c r="CV317" s="752">
        <f t="shared" ref="CV317" si="77">SUM(CV8:CV316)</f>
        <v>79859</v>
      </c>
      <c r="CW317" s="752">
        <f t="shared" ref="CW317" si="78">SUM(CW8:CW316)</f>
        <v>1449631566</v>
      </c>
      <c r="CX317" s="752">
        <f t="shared" ref="CX317" si="79">SUM(CX8:CX316)</f>
        <v>340854054</v>
      </c>
      <c r="CY317" s="752">
        <f t="shared" ref="CY317" si="80">SUM(CY8:CY316)</f>
        <v>18187312</v>
      </c>
      <c r="CZ317" s="752">
        <f t="shared" ref="CZ317" si="81">SUM(CZ8:CZ316)</f>
        <v>1808672932</v>
      </c>
      <c r="DA317" s="681" t="s">
        <v>1522</v>
      </c>
      <c r="DB317" s="682" t="s">
        <v>1523</v>
      </c>
      <c r="DC317" s="683" t="s">
        <v>484</v>
      </c>
    </row>
    <row r="318" spans="1:108" x14ac:dyDescent="0.2">
      <c r="D318" s="684"/>
      <c r="E318" s="685"/>
    </row>
    <row r="319" spans="1:108" x14ac:dyDescent="0.2">
      <c r="A319" s="686"/>
      <c r="D319" s="685" t="s">
        <v>1870</v>
      </c>
    </row>
  </sheetData>
  <autoFilter ref="A7:DD317" xr:uid="{4F8F4315-BE35-4743-8280-D2334B1BA25E}"/>
  <mergeCells count="26">
    <mergeCell ref="AU2:AX2"/>
    <mergeCell ref="AY2:AZ2"/>
    <mergeCell ref="F1:R1"/>
    <mergeCell ref="S2:W2"/>
    <mergeCell ref="X2:AB2"/>
    <mergeCell ref="AC2:AD2"/>
    <mergeCell ref="AE2:AI2"/>
    <mergeCell ref="AJ2:AK2"/>
    <mergeCell ref="AL2:AM2"/>
    <mergeCell ref="AN2:AP2"/>
    <mergeCell ref="S1:BL1"/>
    <mergeCell ref="AQ2:AT2"/>
    <mergeCell ref="BM1:CZ1"/>
    <mergeCell ref="BA2:BB2"/>
    <mergeCell ref="BC2:BG2"/>
    <mergeCell ref="BH2:BL2"/>
    <mergeCell ref="BM2:BP2"/>
    <mergeCell ref="BQ2:BT2"/>
    <mergeCell ref="BU2:BX2"/>
    <mergeCell ref="CO2:CR2"/>
    <mergeCell ref="CS2:CV2"/>
    <mergeCell ref="CW2:CZ2"/>
    <mergeCell ref="CK2:CN2"/>
    <mergeCell ref="BY2:CB2"/>
    <mergeCell ref="CC2:CF2"/>
    <mergeCell ref="CG2:CJ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6128B-1292-485F-A704-BC1610F38BEF}">
  <sheetPr codeName="Sheet8"/>
  <dimension ref="A1:DW319"/>
  <sheetViews>
    <sheetView workbookViewId="0">
      <pane xSplit="5" ySplit="7" topLeftCell="F8" activePane="bottomRight" state="frozen"/>
      <selection pane="topRight" activeCell="F1" sqref="F1"/>
      <selection pane="bottomLeft" activeCell="A8" sqref="A8"/>
      <selection pane="bottomRight"/>
    </sheetView>
  </sheetViews>
  <sheetFormatPr defaultRowHeight="15" x14ac:dyDescent="0.2"/>
  <cols>
    <col min="1" max="1" width="7.85546875" style="647" customWidth="1"/>
    <col min="2" max="2" width="8.42578125" style="9" customWidth="1"/>
    <col min="3" max="3" width="6.7109375" style="9" customWidth="1"/>
    <col min="4" max="4" width="8.140625" style="9" customWidth="1"/>
    <col min="5" max="5" width="30.7109375" style="9" customWidth="1"/>
    <col min="6" max="6" width="9.28515625" bestFit="1" customWidth="1"/>
    <col min="7" max="7" width="13.85546875" bestFit="1" customWidth="1"/>
    <col min="8" max="8" width="11.140625" bestFit="1" customWidth="1"/>
    <col min="9" max="9" width="13.85546875" bestFit="1" customWidth="1"/>
    <col min="10" max="10" width="9.7109375" bestFit="1" customWidth="1"/>
    <col min="11" max="11" width="13.85546875" bestFit="1" customWidth="1"/>
    <col min="12" max="12" width="11.140625" bestFit="1" customWidth="1"/>
    <col min="13" max="13" width="10.85546875" bestFit="1" customWidth="1"/>
    <col min="14" max="14" width="9.7109375" bestFit="1" customWidth="1"/>
    <col min="15" max="15" width="13.85546875" bestFit="1" customWidth="1"/>
    <col min="16" max="16" width="11.140625" bestFit="1" customWidth="1"/>
    <col min="17" max="17" width="13.85546875" bestFit="1" customWidth="1"/>
    <col min="18" max="18" width="10.7109375" bestFit="1" customWidth="1"/>
    <col min="19" max="19" width="9.7109375" bestFit="1" customWidth="1"/>
    <col min="20" max="20" width="10.7109375" bestFit="1" customWidth="1"/>
    <col min="21" max="21" width="11.140625" bestFit="1" customWidth="1"/>
    <col min="22" max="22" width="9.7109375" bestFit="1" customWidth="1"/>
    <col min="23" max="23" width="11.140625" bestFit="1" customWidth="1"/>
    <col min="24" max="24" width="10.140625" bestFit="1" customWidth="1"/>
    <col min="25" max="27" width="9.7109375" bestFit="1" customWidth="1"/>
    <col min="28" max="28" width="10.140625" bestFit="1" customWidth="1"/>
    <col min="29" max="29" width="9.7109375" bestFit="1" customWidth="1"/>
    <col min="30" max="30" width="10.140625" bestFit="1" customWidth="1"/>
    <col min="31" max="31" width="10.7109375" bestFit="1" customWidth="1"/>
    <col min="32" max="32" width="9.7109375" bestFit="1" customWidth="1"/>
    <col min="33" max="33" width="10.7109375" bestFit="1" customWidth="1"/>
    <col min="34" max="34" width="13.42578125" bestFit="1" customWidth="1"/>
    <col min="35" max="35" width="9.85546875" bestFit="1" customWidth="1"/>
    <col min="36" max="36" width="13.42578125" bestFit="1" customWidth="1"/>
    <col min="37" max="39" width="9.7109375" bestFit="1" customWidth="1"/>
    <col min="40" max="40" width="11.140625" bestFit="1" customWidth="1"/>
    <col min="41" max="41" width="9.7109375" bestFit="1" customWidth="1"/>
    <col min="42" max="42" width="11.140625" bestFit="1" customWidth="1"/>
    <col min="43" max="43" width="13.42578125" bestFit="1" customWidth="1"/>
    <col min="44" max="44" width="9.7109375" bestFit="1" customWidth="1"/>
    <col min="45" max="46" width="13.42578125" bestFit="1" customWidth="1"/>
    <col min="47" max="47" width="10.7109375" bestFit="1" customWidth="1"/>
    <col min="48" max="48" width="13.42578125" bestFit="1" customWidth="1"/>
    <col min="49" max="49" width="10.7109375" bestFit="1" customWidth="1"/>
    <col min="50" max="50" width="9.7109375" bestFit="1" customWidth="1"/>
    <col min="51" max="51" width="10.7109375" bestFit="1" customWidth="1"/>
    <col min="52" max="57" width="9.7109375" bestFit="1" customWidth="1"/>
    <col min="58" max="58" width="13.42578125" bestFit="1" customWidth="1"/>
    <col min="59" max="60" width="10.7109375" bestFit="1" customWidth="1"/>
    <col min="61" max="61" width="9.7109375" bestFit="1" customWidth="1"/>
    <col min="62" max="62" width="13.42578125" bestFit="1" customWidth="1"/>
    <col min="63" max="63" width="10.7109375" bestFit="1" customWidth="1"/>
    <col min="64" max="64" width="13.42578125" bestFit="1" customWidth="1"/>
    <col min="65" max="65" width="10.7109375" bestFit="1" customWidth="1"/>
    <col min="66" max="66" width="9.7109375" bestFit="1" customWidth="1"/>
    <col min="67" max="67" width="10.7109375" bestFit="1" customWidth="1"/>
    <col min="68" max="68" width="11.85546875" bestFit="1" customWidth="1"/>
    <col min="69" max="69" width="10.7109375" bestFit="1" customWidth="1"/>
    <col min="70" max="71" width="11.85546875" bestFit="1" customWidth="1"/>
    <col min="72" max="73" width="10.7109375" bestFit="1" customWidth="1"/>
    <col min="74" max="74" width="9.7109375" bestFit="1" customWidth="1"/>
    <col min="75" max="75" width="13.42578125" bestFit="1" customWidth="1"/>
    <col min="76" max="76" width="10.7109375" bestFit="1" customWidth="1"/>
    <col min="77" max="77" width="13.42578125" bestFit="1" customWidth="1"/>
    <col min="78" max="78" width="10.7109375" bestFit="1" customWidth="1"/>
    <col min="79" max="79" width="9.7109375" bestFit="1" customWidth="1"/>
    <col min="80" max="81" width="10.7109375" bestFit="1" customWidth="1"/>
    <col min="82" max="82" width="9.7109375" bestFit="1" customWidth="1"/>
    <col min="83" max="83" width="10.7109375" bestFit="1" customWidth="1"/>
    <col min="84" max="92" width="9.7109375" bestFit="1" customWidth="1"/>
    <col min="93" max="93" width="9.85546875" bestFit="1" customWidth="1"/>
    <col min="94" max="96" width="10.7109375" bestFit="1" customWidth="1"/>
    <col min="97" max="97" width="9.85546875" bestFit="1" customWidth="1"/>
    <col min="98" max="99" width="10.7109375" bestFit="1" customWidth="1"/>
    <col min="100" max="101" width="9.7109375" bestFit="1" customWidth="1"/>
    <col min="102" max="103" width="10.7109375" bestFit="1" customWidth="1"/>
    <col min="104" max="104" width="11.7109375" bestFit="1" customWidth="1"/>
    <col min="105" max="107" width="9.7109375" bestFit="1" customWidth="1"/>
    <col min="108" max="108" width="10.7109375" bestFit="1" customWidth="1"/>
    <col min="109" max="109" width="9.7109375" bestFit="1" customWidth="1"/>
    <col min="110" max="110" width="10.7109375" bestFit="1" customWidth="1"/>
    <col min="111" max="113" width="9.7109375" bestFit="1" customWidth="1"/>
    <col min="114" max="114" width="10.7109375" bestFit="1" customWidth="1"/>
    <col min="115" max="115" width="9.7109375" bestFit="1" customWidth="1"/>
    <col min="116" max="116" width="9.85546875" bestFit="1" customWidth="1"/>
    <col min="117" max="117" width="9.7109375" bestFit="1" customWidth="1"/>
    <col min="118" max="118" width="10.7109375" bestFit="1" customWidth="1"/>
    <col min="119" max="119" width="9.7109375" bestFit="1" customWidth="1"/>
    <col min="120" max="120" width="10.7109375" bestFit="1" customWidth="1"/>
    <col min="121" max="121" width="13.85546875" bestFit="1" customWidth="1"/>
    <col min="122" max="122" width="11.140625" bestFit="1" customWidth="1"/>
    <col min="123" max="123" width="13.85546875" bestFit="1" customWidth="1"/>
    <col min="124" max="124" width="31.42578125" style="529" bestFit="1" customWidth="1"/>
    <col min="125" max="125" width="23.28515625" style="529" bestFit="1" customWidth="1"/>
    <col min="126" max="126" width="33" style="529" bestFit="1" customWidth="1"/>
    <col min="127" max="127" width="10.28515625" style="529" bestFit="1" customWidth="1"/>
  </cols>
  <sheetData>
    <row r="1" spans="1:127" s="688" customFormat="1" ht="13.5" thickBot="1" x14ac:dyDescent="0.25">
      <c r="A1" s="721"/>
      <c r="B1" s="722"/>
      <c r="C1" s="723"/>
      <c r="D1" s="724"/>
      <c r="E1" s="690"/>
      <c r="F1" s="725"/>
      <c r="G1" s="1035"/>
      <c r="H1" s="1035"/>
      <c r="I1" s="1035"/>
      <c r="J1" s="726"/>
      <c r="K1" s="1035"/>
      <c r="L1" s="1035"/>
      <c r="M1" s="1035"/>
      <c r="N1" s="1035"/>
      <c r="O1" s="1035"/>
      <c r="P1" s="1035"/>
      <c r="Q1" s="1035"/>
      <c r="R1" s="1035"/>
      <c r="S1" s="1035"/>
      <c r="T1" s="1035"/>
      <c r="U1" s="1035"/>
      <c r="V1" s="1035"/>
      <c r="W1" s="1035"/>
      <c r="X1" s="1035"/>
      <c r="Y1" s="1035"/>
      <c r="Z1" s="1035"/>
      <c r="AA1" s="1035"/>
      <c r="AB1" s="1035"/>
      <c r="AC1" s="1035"/>
      <c r="AD1" s="1035"/>
      <c r="AE1" s="1035"/>
      <c r="AF1" s="1035"/>
      <c r="AG1" s="1035"/>
      <c r="AH1" s="1035"/>
      <c r="AI1" s="1035"/>
      <c r="AJ1" s="1035"/>
      <c r="AK1" s="1035"/>
      <c r="AL1" s="1035"/>
      <c r="AM1" s="1035"/>
      <c r="AN1" s="1035"/>
      <c r="AO1" s="1035"/>
      <c r="AP1" s="1035"/>
      <c r="AQ1" s="1035"/>
      <c r="AR1" s="1035"/>
      <c r="AS1" s="1035"/>
      <c r="AT1" s="1035"/>
      <c r="AU1" s="1035"/>
      <c r="AV1" s="1035"/>
      <c r="AW1" s="1035"/>
      <c r="AX1" s="1035"/>
      <c r="AY1" s="1035"/>
      <c r="AZ1" s="1035"/>
      <c r="BA1" s="1035"/>
      <c r="BB1" s="1035"/>
      <c r="BC1" s="726"/>
      <c r="BD1" s="726"/>
      <c r="BE1" s="726"/>
      <c r="BF1" s="1035"/>
      <c r="BG1" s="1035"/>
      <c r="BH1" s="1035"/>
      <c r="BI1" s="1035"/>
      <c r="BJ1" s="1035"/>
      <c r="BK1" s="1035"/>
      <c r="BL1" s="1035"/>
      <c r="BM1" s="1035"/>
      <c r="BN1" s="1035"/>
      <c r="BO1" s="1035"/>
      <c r="BP1" s="1035"/>
      <c r="BQ1" s="1035"/>
      <c r="BR1" s="1035"/>
      <c r="BS1" s="1035"/>
      <c r="BT1" s="1035"/>
      <c r="BU1" s="1035"/>
      <c r="BV1" s="1035"/>
      <c r="BW1" s="1035"/>
      <c r="BX1" s="1035"/>
      <c r="BY1" s="1035"/>
      <c r="BZ1" s="1035"/>
      <c r="CA1" s="1035"/>
      <c r="CB1" s="1035"/>
      <c r="CC1" s="1035"/>
      <c r="CD1" s="1035"/>
      <c r="CE1" s="1035"/>
      <c r="CF1" s="1035"/>
      <c r="CG1" s="1035"/>
      <c r="CH1" s="1035"/>
      <c r="CI1" s="1035"/>
      <c r="CJ1" s="1035"/>
      <c r="CK1" s="1035"/>
      <c r="CL1" s="1035"/>
      <c r="CM1" s="1035"/>
      <c r="CN1" s="1035"/>
      <c r="CO1" s="1035"/>
      <c r="CP1" s="1035"/>
      <c r="CQ1" s="1035"/>
      <c r="CR1" s="726"/>
      <c r="CS1" s="726"/>
      <c r="CT1" s="1035"/>
      <c r="CU1" s="1035"/>
      <c r="CV1" s="1035"/>
      <c r="CW1" s="1035"/>
      <c r="CX1" s="1035"/>
      <c r="CY1" s="1035"/>
      <c r="CZ1" s="1035"/>
      <c r="DA1" s="1035"/>
      <c r="DB1" s="1035"/>
      <c r="DC1" s="1035"/>
      <c r="DD1" s="1035"/>
      <c r="DE1" s="1035"/>
      <c r="DF1" s="1035"/>
      <c r="DG1" s="726"/>
      <c r="DH1" s="726"/>
      <c r="DI1" s="726"/>
      <c r="DJ1" s="1035"/>
      <c r="DK1" s="1035"/>
      <c r="DL1" s="1035"/>
      <c r="DM1" s="1035"/>
      <c r="DN1" s="1035"/>
      <c r="DO1" s="1035"/>
      <c r="DP1" s="1035"/>
      <c r="DQ1" s="1035"/>
      <c r="DR1" s="1035"/>
      <c r="DS1" s="1035"/>
    </row>
    <row r="2" spans="1:127" s="688" customFormat="1" ht="51.75" thickBot="1" x14ac:dyDescent="0.25">
      <c r="A2" s="691"/>
      <c r="B2" s="692"/>
      <c r="C2" s="693"/>
      <c r="D2" s="694"/>
      <c r="E2" s="694"/>
      <c r="F2" s="727" t="s">
        <v>1124</v>
      </c>
      <c r="G2" s="1029" t="s">
        <v>1542</v>
      </c>
      <c r="H2" s="1029"/>
      <c r="I2" s="1029"/>
      <c r="J2" s="689" t="s">
        <v>1543</v>
      </c>
      <c r="K2" s="1029" t="s">
        <v>1544</v>
      </c>
      <c r="L2" s="1029"/>
      <c r="M2" s="1029" t="s">
        <v>1545</v>
      </c>
      <c r="N2" s="1029"/>
      <c r="O2" s="1029" t="s">
        <v>1038</v>
      </c>
      <c r="P2" s="1029"/>
      <c r="Q2" s="1029"/>
      <c r="R2" s="1029" t="s">
        <v>1546</v>
      </c>
      <c r="S2" s="1029"/>
      <c r="T2" s="1029"/>
      <c r="U2" s="1029" t="s">
        <v>1547</v>
      </c>
      <c r="V2" s="1029"/>
      <c r="W2" s="1034"/>
      <c r="X2" s="1033" t="s">
        <v>1548</v>
      </c>
      <c r="Y2" s="1029"/>
      <c r="Z2" s="1029" t="s">
        <v>1549</v>
      </c>
      <c r="AA2" s="1029"/>
      <c r="AB2" s="1029" t="s">
        <v>620</v>
      </c>
      <c r="AC2" s="1029"/>
      <c r="AD2" s="1029"/>
      <c r="AE2" s="1029" t="s">
        <v>1550</v>
      </c>
      <c r="AF2" s="1029"/>
      <c r="AG2" s="1034"/>
      <c r="AH2" s="1033" t="s">
        <v>1551</v>
      </c>
      <c r="AI2" s="1029"/>
      <c r="AJ2" s="1029"/>
      <c r="AK2" s="1029" t="s">
        <v>1552</v>
      </c>
      <c r="AL2" s="1029"/>
      <c r="AM2" s="1029"/>
      <c r="AN2" s="1029" t="s">
        <v>1553</v>
      </c>
      <c r="AO2" s="1029"/>
      <c r="AP2" s="1029"/>
      <c r="AQ2" s="1029" t="s">
        <v>1554</v>
      </c>
      <c r="AR2" s="1029"/>
      <c r="AS2" s="1029"/>
      <c r="AT2" s="1029" t="s">
        <v>1555</v>
      </c>
      <c r="AU2" s="1029"/>
      <c r="AV2" s="1029"/>
      <c r="AW2" s="1029" t="s">
        <v>1556</v>
      </c>
      <c r="AX2" s="1029"/>
      <c r="AY2" s="1029"/>
      <c r="AZ2" s="1029" t="s">
        <v>1557</v>
      </c>
      <c r="BA2" s="1029"/>
      <c r="BB2" s="1029"/>
      <c r="BC2" s="1029" t="s">
        <v>1558</v>
      </c>
      <c r="BD2" s="1029"/>
      <c r="BE2" s="1029"/>
      <c r="BF2" s="1029" t="s">
        <v>1559</v>
      </c>
      <c r="BG2" s="1029"/>
      <c r="BH2" s="1029" t="s">
        <v>1560</v>
      </c>
      <c r="BI2" s="1029"/>
      <c r="BJ2" s="1029" t="s">
        <v>1561</v>
      </c>
      <c r="BK2" s="1029"/>
      <c r="BL2" s="1029"/>
      <c r="BM2" s="1029" t="s">
        <v>1562</v>
      </c>
      <c r="BN2" s="1029"/>
      <c r="BO2" s="1029"/>
      <c r="BP2" s="1029" t="s">
        <v>1563</v>
      </c>
      <c r="BQ2" s="1029"/>
      <c r="BR2" s="1029"/>
      <c r="BS2" s="1029" t="s">
        <v>1564</v>
      </c>
      <c r="BT2" s="1029"/>
      <c r="BU2" s="1029" t="s">
        <v>1565</v>
      </c>
      <c r="BV2" s="1029"/>
      <c r="BW2" s="1029" t="s">
        <v>1566</v>
      </c>
      <c r="BX2" s="1029"/>
      <c r="BY2" s="1034"/>
      <c r="BZ2" s="1033" t="s">
        <v>1567</v>
      </c>
      <c r="CA2" s="1029"/>
      <c r="CB2" s="1029"/>
      <c r="CC2" s="1029" t="s">
        <v>1568</v>
      </c>
      <c r="CD2" s="1029"/>
      <c r="CE2" s="1029"/>
      <c r="CF2" s="1029" t="s">
        <v>1569</v>
      </c>
      <c r="CG2" s="1029"/>
      <c r="CH2" s="1029"/>
      <c r="CI2" s="1029" t="s">
        <v>1570</v>
      </c>
      <c r="CJ2" s="1029"/>
      <c r="CK2" s="1029"/>
      <c r="CL2" s="1029" t="s">
        <v>1571</v>
      </c>
      <c r="CM2" s="1029"/>
      <c r="CN2" s="1029"/>
      <c r="CO2" s="1029" t="s">
        <v>1572</v>
      </c>
      <c r="CP2" s="1029"/>
      <c r="CQ2" s="1029"/>
      <c r="CR2" s="689" t="s">
        <v>1573</v>
      </c>
      <c r="CS2" s="689" t="s">
        <v>1574</v>
      </c>
      <c r="CT2" s="1029" t="s">
        <v>1575</v>
      </c>
      <c r="CU2" s="1029"/>
      <c r="CV2" s="1029" t="s">
        <v>1576</v>
      </c>
      <c r="CW2" s="1029"/>
      <c r="CX2" s="1029" t="s">
        <v>1577</v>
      </c>
      <c r="CY2" s="1029"/>
      <c r="CZ2" s="1034"/>
      <c r="DA2" s="1033" t="s">
        <v>1578</v>
      </c>
      <c r="DB2" s="1029"/>
      <c r="DC2" s="1029"/>
      <c r="DD2" s="1029" t="s">
        <v>1579</v>
      </c>
      <c r="DE2" s="1029"/>
      <c r="DF2" s="1029"/>
      <c r="DG2" s="1029" t="s">
        <v>1580</v>
      </c>
      <c r="DH2" s="1029"/>
      <c r="DI2" s="1029"/>
      <c r="DJ2" s="1029" t="s">
        <v>1581</v>
      </c>
      <c r="DK2" s="1029"/>
      <c r="DL2" s="1029" t="s">
        <v>1582</v>
      </c>
      <c r="DM2" s="1029"/>
      <c r="DN2" s="1029" t="s">
        <v>1583</v>
      </c>
      <c r="DO2" s="1029"/>
      <c r="DP2" s="1034"/>
      <c r="DQ2" s="1033" t="s">
        <v>1584</v>
      </c>
      <c r="DR2" s="1029"/>
      <c r="DS2" s="1034"/>
      <c r="DT2" s="689"/>
      <c r="DU2" s="689"/>
      <c r="DV2" s="696" t="s">
        <v>1197</v>
      </c>
      <c r="DW2" s="697" t="s">
        <v>1198</v>
      </c>
    </row>
    <row r="3" spans="1:127" s="688" customFormat="1" ht="12.75" x14ac:dyDescent="0.2">
      <c r="A3" s="698">
        <v>1</v>
      </c>
      <c r="B3" s="699">
        <v>2</v>
      </c>
      <c r="C3" s="699">
        <v>3</v>
      </c>
      <c r="D3" s="700">
        <v>4</v>
      </c>
      <c r="E3" s="699">
        <v>5</v>
      </c>
      <c r="F3" s="729">
        <v>6</v>
      </c>
      <c r="G3" s="699">
        <v>7</v>
      </c>
      <c r="H3" s="699">
        <v>8</v>
      </c>
      <c r="I3" s="699">
        <v>9</v>
      </c>
      <c r="J3" s="699">
        <v>10</v>
      </c>
      <c r="K3" s="699">
        <v>11</v>
      </c>
      <c r="L3" s="699">
        <v>12</v>
      </c>
      <c r="M3" s="699">
        <v>13</v>
      </c>
      <c r="N3" s="699">
        <v>14</v>
      </c>
      <c r="O3" s="699">
        <v>15</v>
      </c>
      <c r="P3" s="699">
        <v>16</v>
      </c>
      <c r="Q3" s="699">
        <v>17</v>
      </c>
      <c r="R3" s="699">
        <v>18</v>
      </c>
      <c r="S3" s="699">
        <v>19</v>
      </c>
      <c r="T3" s="699">
        <v>20</v>
      </c>
      <c r="U3" s="699">
        <v>21</v>
      </c>
      <c r="V3" s="699">
        <v>22</v>
      </c>
      <c r="W3" s="699">
        <v>23</v>
      </c>
      <c r="X3" s="729">
        <v>24</v>
      </c>
      <c r="Y3" s="699">
        <v>25</v>
      </c>
      <c r="Z3" s="699">
        <v>26</v>
      </c>
      <c r="AA3" s="699">
        <v>27</v>
      </c>
      <c r="AB3" s="699">
        <v>28</v>
      </c>
      <c r="AC3" s="699">
        <v>29</v>
      </c>
      <c r="AD3" s="699">
        <v>30</v>
      </c>
      <c r="AE3" s="699">
        <v>31</v>
      </c>
      <c r="AF3" s="699">
        <v>32</v>
      </c>
      <c r="AG3" s="700">
        <v>33</v>
      </c>
      <c r="AH3" s="699">
        <v>34</v>
      </c>
      <c r="AI3" s="699">
        <v>35</v>
      </c>
      <c r="AJ3" s="699">
        <v>36</v>
      </c>
      <c r="AK3" s="699">
        <v>37</v>
      </c>
      <c r="AL3" s="699">
        <v>38</v>
      </c>
      <c r="AM3" s="699">
        <v>39</v>
      </c>
      <c r="AN3" s="699">
        <v>40</v>
      </c>
      <c r="AO3" s="699">
        <v>41</v>
      </c>
      <c r="AP3" s="699">
        <v>42</v>
      </c>
      <c r="AQ3" s="699">
        <v>43</v>
      </c>
      <c r="AR3" s="699">
        <v>44</v>
      </c>
      <c r="AS3" s="699">
        <v>45</v>
      </c>
      <c r="AT3" s="699">
        <v>46</v>
      </c>
      <c r="AU3" s="699">
        <v>47</v>
      </c>
      <c r="AV3" s="699">
        <v>48</v>
      </c>
      <c r="AW3" s="699">
        <v>49</v>
      </c>
      <c r="AX3" s="699">
        <v>50</v>
      </c>
      <c r="AY3" s="699">
        <v>51</v>
      </c>
      <c r="AZ3" s="699">
        <v>52</v>
      </c>
      <c r="BA3" s="699">
        <v>53</v>
      </c>
      <c r="BB3" s="699">
        <v>54</v>
      </c>
      <c r="BC3" s="699">
        <v>55</v>
      </c>
      <c r="BD3" s="699">
        <v>56</v>
      </c>
      <c r="BE3" s="699">
        <v>57</v>
      </c>
      <c r="BF3" s="699">
        <v>58</v>
      </c>
      <c r="BG3" s="699">
        <v>59</v>
      </c>
      <c r="BH3" s="699">
        <v>60</v>
      </c>
      <c r="BI3" s="699">
        <v>61</v>
      </c>
      <c r="BJ3" s="699">
        <v>62</v>
      </c>
      <c r="BK3" s="699">
        <v>63</v>
      </c>
      <c r="BL3" s="699">
        <v>64</v>
      </c>
      <c r="BM3" s="699">
        <v>65</v>
      </c>
      <c r="BN3" s="699">
        <v>66</v>
      </c>
      <c r="BO3" s="699">
        <v>67</v>
      </c>
      <c r="BP3" s="699">
        <v>68</v>
      </c>
      <c r="BQ3" s="699">
        <v>69</v>
      </c>
      <c r="BR3" s="699">
        <v>70</v>
      </c>
      <c r="BS3" s="699">
        <v>71</v>
      </c>
      <c r="BT3" s="699">
        <v>72</v>
      </c>
      <c r="BU3" s="699">
        <v>73</v>
      </c>
      <c r="BV3" s="699">
        <v>74</v>
      </c>
      <c r="BW3" s="699">
        <v>75</v>
      </c>
      <c r="BX3" s="699">
        <v>76</v>
      </c>
      <c r="BY3" s="699">
        <v>77</v>
      </c>
      <c r="BZ3" s="699">
        <v>78</v>
      </c>
      <c r="CA3" s="699">
        <v>79</v>
      </c>
      <c r="CB3" s="699">
        <v>80</v>
      </c>
      <c r="CC3" s="699">
        <v>81</v>
      </c>
      <c r="CD3" s="699">
        <v>82</v>
      </c>
      <c r="CE3" s="699">
        <v>83</v>
      </c>
      <c r="CF3" s="699">
        <v>84</v>
      </c>
      <c r="CG3" s="699">
        <v>85</v>
      </c>
      <c r="CH3" s="699">
        <v>86</v>
      </c>
      <c r="CI3" s="699">
        <v>87</v>
      </c>
      <c r="CJ3" s="699">
        <v>88</v>
      </c>
      <c r="CK3" s="699">
        <v>89</v>
      </c>
      <c r="CL3" s="699">
        <v>90</v>
      </c>
      <c r="CM3" s="699">
        <v>91</v>
      </c>
      <c r="CN3" s="699">
        <v>92</v>
      </c>
      <c r="CO3" s="699">
        <v>93</v>
      </c>
      <c r="CP3" s="699">
        <v>94</v>
      </c>
      <c r="CQ3" s="699">
        <v>95</v>
      </c>
      <c r="CR3" s="699">
        <v>96</v>
      </c>
      <c r="CS3" s="699">
        <v>97</v>
      </c>
      <c r="CT3" s="699">
        <v>98</v>
      </c>
      <c r="CU3" s="699">
        <v>99</v>
      </c>
      <c r="CV3" s="699">
        <v>100</v>
      </c>
      <c r="CW3" s="699">
        <v>101</v>
      </c>
      <c r="CX3" s="699">
        <v>102</v>
      </c>
      <c r="CY3" s="699">
        <v>103</v>
      </c>
      <c r="CZ3" s="699">
        <v>104</v>
      </c>
      <c r="DA3" s="699">
        <v>105</v>
      </c>
      <c r="DB3" s="699">
        <v>106</v>
      </c>
      <c r="DC3" s="699">
        <v>107</v>
      </c>
      <c r="DD3" s="699">
        <v>108</v>
      </c>
      <c r="DE3" s="699">
        <v>109</v>
      </c>
      <c r="DF3" s="699">
        <v>110</v>
      </c>
      <c r="DG3" s="699">
        <v>111</v>
      </c>
      <c r="DH3" s="699">
        <v>112</v>
      </c>
      <c r="DI3" s="699">
        <v>113</v>
      </c>
      <c r="DJ3" s="699">
        <v>114</v>
      </c>
      <c r="DK3" s="699">
        <v>115</v>
      </c>
      <c r="DL3" s="699">
        <v>116</v>
      </c>
      <c r="DM3" s="699">
        <v>117</v>
      </c>
      <c r="DN3" s="699">
        <v>118</v>
      </c>
      <c r="DO3" s="699">
        <v>119</v>
      </c>
      <c r="DP3" s="703">
        <v>120</v>
      </c>
      <c r="DQ3" s="699">
        <v>121</v>
      </c>
      <c r="DR3" s="699">
        <v>122</v>
      </c>
      <c r="DS3" s="699">
        <v>123</v>
      </c>
      <c r="DT3" s="701">
        <v>124</v>
      </c>
      <c r="DU3" s="702">
        <v>125</v>
      </c>
      <c r="DV3" s="702">
        <v>126</v>
      </c>
    </row>
    <row r="4" spans="1:127" s="688" customFormat="1" ht="12.75" x14ac:dyDescent="0.2">
      <c r="A4" s="698"/>
      <c r="B4" s="704"/>
      <c r="C4" s="705"/>
      <c r="D4" s="706"/>
      <c r="E4" s="707"/>
      <c r="F4" s="708"/>
      <c r="G4" s="705"/>
      <c r="H4" s="705"/>
      <c r="I4" s="705"/>
      <c r="J4" s="705"/>
      <c r="K4" s="705"/>
      <c r="L4" s="705"/>
      <c r="M4" s="705"/>
      <c r="N4" s="705"/>
      <c r="O4" s="705"/>
      <c r="P4" s="705"/>
      <c r="Q4" s="705"/>
      <c r="R4" s="705"/>
      <c r="S4" s="705"/>
      <c r="T4" s="705"/>
      <c r="U4" s="705"/>
      <c r="V4" s="705"/>
      <c r="W4" s="705"/>
      <c r="X4" s="708"/>
      <c r="Y4" s="705"/>
      <c r="Z4" s="705"/>
      <c r="AA4" s="705"/>
      <c r="AB4" s="705"/>
      <c r="AC4" s="705"/>
      <c r="AD4" s="705"/>
      <c r="AE4" s="705"/>
      <c r="AF4" s="705"/>
      <c r="AG4" s="709"/>
      <c r="AH4" s="705"/>
      <c r="AI4" s="705"/>
      <c r="AJ4" s="705"/>
      <c r="AK4" s="705"/>
      <c r="AL4" s="705"/>
      <c r="AM4" s="705"/>
      <c r="AN4" s="705"/>
      <c r="AO4" s="705"/>
      <c r="AP4" s="705"/>
      <c r="AQ4" s="705"/>
      <c r="AR4" s="705"/>
      <c r="AS4" s="705"/>
      <c r="AT4" s="705"/>
      <c r="AU4" s="705"/>
      <c r="AV4" s="705"/>
      <c r="AW4" s="705"/>
      <c r="AX4" s="705"/>
      <c r="AY4" s="705"/>
      <c r="AZ4" s="705"/>
      <c r="BA4" s="705"/>
      <c r="BB4" s="705"/>
      <c r="BC4" s="705"/>
      <c r="BD4" s="705"/>
      <c r="BE4" s="705"/>
      <c r="BF4" s="705"/>
      <c r="BG4" s="705"/>
      <c r="BH4" s="705"/>
      <c r="BI4" s="705"/>
      <c r="BJ4" s="705"/>
      <c r="BK4" s="705"/>
      <c r="BL4" s="705"/>
      <c r="BM4" s="705"/>
      <c r="BN4" s="705"/>
      <c r="BO4" s="705"/>
      <c r="BP4" s="705"/>
      <c r="BQ4" s="705"/>
      <c r="BR4" s="705"/>
      <c r="BS4" s="705"/>
      <c r="BT4" s="705"/>
      <c r="BU4" s="705"/>
      <c r="BV4" s="705"/>
      <c r="BW4" s="705"/>
      <c r="BX4" s="705"/>
      <c r="BY4" s="705"/>
      <c r="BZ4" s="708"/>
      <c r="CA4" s="705"/>
      <c r="CB4" s="705"/>
      <c r="CC4" s="705"/>
      <c r="CD4" s="705"/>
      <c r="CE4" s="705"/>
      <c r="CF4" s="705"/>
      <c r="CG4" s="705"/>
      <c r="CH4" s="705"/>
      <c r="CI4" s="705"/>
      <c r="CJ4" s="705"/>
      <c r="CK4" s="705"/>
      <c r="CL4" s="705"/>
      <c r="CM4" s="705"/>
      <c r="CN4" s="705"/>
      <c r="CO4" s="705"/>
      <c r="CP4" s="705"/>
      <c r="CQ4" s="705"/>
      <c r="CR4" s="705"/>
      <c r="CS4" s="705"/>
      <c r="CT4" s="705"/>
      <c r="CU4" s="705"/>
      <c r="CV4" s="705"/>
      <c r="CW4" s="705"/>
      <c r="CX4" s="705"/>
      <c r="CY4" s="705"/>
      <c r="CZ4" s="705"/>
      <c r="DA4" s="708"/>
      <c r="DB4" s="705"/>
      <c r="DC4" s="705"/>
      <c r="DD4" s="705"/>
      <c r="DE4" s="705"/>
      <c r="DF4" s="705"/>
      <c r="DG4" s="705"/>
      <c r="DH4" s="705"/>
      <c r="DI4" s="705"/>
      <c r="DJ4" s="705"/>
      <c r="DK4" s="705"/>
      <c r="DL4" s="705"/>
      <c r="DM4" s="705"/>
      <c r="DN4" s="705"/>
      <c r="DO4" s="705"/>
      <c r="DP4" s="705"/>
      <c r="DQ4" s="708"/>
      <c r="DR4" s="705"/>
      <c r="DS4" s="709"/>
      <c r="DV4" s="710"/>
    </row>
    <row r="5" spans="1:127" s="688" customFormat="1" ht="12.75" x14ac:dyDescent="0.2">
      <c r="A5" s="698"/>
      <c r="B5" s="711" t="s">
        <v>626</v>
      </c>
      <c r="C5" s="711" t="s">
        <v>1199</v>
      </c>
      <c r="D5" s="712" t="s">
        <v>1200</v>
      </c>
      <c r="E5" s="711" t="s">
        <v>625</v>
      </c>
      <c r="F5" s="708"/>
      <c r="G5" s="705"/>
      <c r="H5" s="705"/>
      <c r="I5" s="705"/>
      <c r="J5" s="705"/>
      <c r="K5" s="705"/>
      <c r="L5" s="705"/>
      <c r="M5" s="705"/>
      <c r="N5" s="705"/>
      <c r="O5" s="705"/>
      <c r="P5" s="705"/>
      <c r="Q5" s="705"/>
      <c r="R5" s="705"/>
      <c r="S5" s="705"/>
      <c r="T5" s="705"/>
      <c r="U5" s="705"/>
      <c r="V5" s="705"/>
      <c r="W5" s="705"/>
      <c r="X5" s="708"/>
      <c r="Y5" s="705"/>
      <c r="Z5" s="705"/>
      <c r="AA5" s="705"/>
      <c r="AB5" s="705"/>
      <c r="AC5" s="705"/>
      <c r="AD5" s="705"/>
      <c r="AE5" s="705"/>
      <c r="AF5" s="705"/>
      <c r="AG5" s="709"/>
      <c r="AH5" s="705"/>
      <c r="AI5" s="705"/>
      <c r="AJ5" s="705"/>
      <c r="AK5" s="705"/>
      <c r="AL5" s="705"/>
      <c r="AM5" s="705"/>
      <c r="AN5" s="705"/>
      <c r="AO5" s="705"/>
      <c r="AP5" s="705"/>
      <c r="AQ5" s="705"/>
      <c r="AR5" s="705"/>
      <c r="AS5" s="705"/>
      <c r="AT5" s="705"/>
      <c r="AU5" s="705"/>
      <c r="AV5" s="705"/>
      <c r="AW5" s="705"/>
      <c r="AX5" s="705"/>
      <c r="AY5" s="705"/>
      <c r="AZ5" s="705"/>
      <c r="BA5" s="705"/>
      <c r="BB5" s="705"/>
      <c r="BC5" s="705"/>
      <c r="BD5" s="705"/>
      <c r="BE5" s="705"/>
      <c r="BF5" s="705"/>
      <c r="BG5" s="705"/>
      <c r="BH5" s="705"/>
      <c r="BI5" s="705"/>
      <c r="BJ5" s="705"/>
      <c r="BK5" s="705"/>
      <c r="BL5" s="705"/>
      <c r="BM5" s="705"/>
      <c r="BN5" s="705"/>
      <c r="BO5" s="705"/>
      <c r="BP5" s="705"/>
      <c r="BQ5" s="705"/>
      <c r="BR5" s="705"/>
      <c r="BS5" s="705"/>
      <c r="BT5" s="705"/>
      <c r="BU5" s="705"/>
      <c r="BV5" s="705"/>
      <c r="BW5" s="705"/>
      <c r="BX5" s="705"/>
      <c r="BY5" s="705"/>
      <c r="BZ5" s="708"/>
      <c r="CA5" s="705"/>
      <c r="CB5" s="705"/>
      <c r="CC5" s="705"/>
      <c r="CD5" s="705"/>
      <c r="CE5" s="705"/>
      <c r="CF5" s="705"/>
      <c r="CG5" s="705"/>
      <c r="CH5" s="705"/>
      <c r="CI5" s="705"/>
      <c r="CJ5" s="705"/>
      <c r="CK5" s="705"/>
      <c r="CL5" s="705"/>
      <c r="CM5" s="705"/>
      <c r="CN5" s="705"/>
      <c r="CO5" s="705"/>
      <c r="CP5" s="705"/>
      <c r="CQ5" s="705"/>
      <c r="CR5" s="705"/>
      <c r="CS5" s="705"/>
      <c r="CT5" s="705"/>
      <c r="CU5" s="705"/>
      <c r="CV5" s="705"/>
      <c r="CW5" s="705"/>
      <c r="CX5" s="705"/>
      <c r="CY5" s="705"/>
      <c r="CZ5" s="705"/>
      <c r="DA5" s="708"/>
      <c r="DB5" s="705"/>
      <c r="DC5" s="705"/>
      <c r="DD5" s="705"/>
      <c r="DE5" s="705"/>
      <c r="DF5" s="705"/>
      <c r="DG5" s="705"/>
      <c r="DH5" s="705"/>
      <c r="DI5" s="705"/>
      <c r="DJ5" s="705"/>
      <c r="DK5" s="705"/>
      <c r="DL5" s="705"/>
      <c r="DM5" s="705"/>
      <c r="DN5" s="705"/>
      <c r="DO5" s="705"/>
      <c r="DP5" s="705"/>
      <c r="DQ5" s="708"/>
      <c r="DR5" s="705"/>
      <c r="DS5" s="709"/>
      <c r="DT5" s="713"/>
      <c r="DU5" s="713"/>
      <c r="DV5" s="714"/>
    </row>
    <row r="6" spans="1:127" s="688" customFormat="1" ht="13.5" thickBot="1" x14ac:dyDescent="0.25">
      <c r="A6" s="715"/>
      <c r="B6" s="716"/>
      <c r="C6" s="717"/>
      <c r="D6" s="718"/>
      <c r="E6" s="717"/>
      <c r="F6" s="708"/>
      <c r="G6" s="705"/>
      <c r="H6" s="705"/>
      <c r="I6" s="705"/>
      <c r="J6" s="705"/>
      <c r="K6" s="705"/>
      <c r="L6" s="705"/>
      <c r="M6" s="705"/>
      <c r="N6" s="705"/>
      <c r="O6" s="705"/>
      <c r="P6" s="705"/>
      <c r="Q6" s="705"/>
      <c r="R6" s="705"/>
      <c r="S6" s="705"/>
      <c r="T6" s="705"/>
      <c r="U6" s="705"/>
      <c r="V6" s="705"/>
      <c r="W6" s="705"/>
      <c r="X6" s="708"/>
      <c r="Y6" s="705"/>
      <c r="Z6" s="705"/>
      <c r="AA6" s="705"/>
      <c r="AB6" s="705"/>
      <c r="AC6" s="705"/>
      <c r="AD6" s="705"/>
      <c r="AE6" s="705"/>
      <c r="AF6" s="705"/>
      <c r="AG6" s="709"/>
      <c r="AH6" s="705"/>
      <c r="AI6" s="705"/>
      <c r="AJ6" s="705"/>
      <c r="AK6" s="705"/>
      <c r="AL6" s="705"/>
      <c r="AM6" s="705"/>
      <c r="AN6" s="705"/>
      <c r="AO6" s="705"/>
      <c r="AP6" s="705"/>
      <c r="AQ6" s="705"/>
      <c r="AR6" s="705"/>
      <c r="AS6" s="705"/>
      <c r="AT6" s="705"/>
      <c r="AU6" s="705"/>
      <c r="AV6" s="705"/>
      <c r="AW6" s="705"/>
      <c r="AX6" s="705"/>
      <c r="AY6" s="705"/>
      <c r="AZ6" s="705"/>
      <c r="BA6" s="705"/>
      <c r="BB6" s="705"/>
      <c r="BC6" s="705"/>
      <c r="BD6" s="705"/>
      <c r="BE6" s="705"/>
      <c r="BF6" s="705"/>
      <c r="BG6" s="705"/>
      <c r="BH6" s="705"/>
      <c r="BI6" s="705"/>
      <c r="BJ6" s="705"/>
      <c r="BK6" s="705"/>
      <c r="BL6" s="705"/>
      <c r="BM6" s="705"/>
      <c r="BN6" s="705"/>
      <c r="BO6" s="705"/>
      <c r="BP6" s="705"/>
      <c r="BQ6" s="705"/>
      <c r="BR6" s="705"/>
      <c r="BS6" s="705"/>
      <c r="BT6" s="705"/>
      <c r="BU6" s="705"/>
      <c r="BV6" s="705"/>
      <c r="BW6" s="705"/>
      <c r="BX6" s="705"/>
      <c r="BY6" s="705"/>
      <c r="BZ6" s="708"/>
      <c r="CA6" s="705"/>
      <c r="CB6" s="705"/>
      <c r="CC6" s="705"/>
      <c r="CD6" s="705"/>
      <c r="CE6" s="705"/>
      <c r="CF6" s="705"/>
      <c r="CG6" s="705"/>
      <c r="CH6" s="705"/>
      <c r="CI6" s="705"/>
      <c r="CJ6" s="705"/>
      <c r="CK6" s="705"/>
      <c r="CL6" s="705"/>
      <c r="CM6" s="705"/>
      <c r="CN6" s="705"/>
      <c r="CO6" s="705"/>
      <c r="CP6" s="705"/>
      <c r="CQ6" s="705"/>
      <c r="CR6" s="705"/>
      <c r="CS6" s="705"/>
      <c r="CT6" s="705"/>
      <c r="CU6" s="705"/>
      <c r="CV6" s="705"/>
      <c r="CW6" s="705"/>
      <c r="CX6" s="705"/>
      <c r="CY6" s="705"/>
      <c r="CZ6" s="705"/>
      <c r="DA6" s="708"/>
      <c r="DB6" s="705"/>
      <c r="DC6" s="705"/>
      <c r="DD6" s="705"/>
      <c r="DE6" s="705"/>
      <c r="DF6" s="705"/>
      <c r="DG6" s="705"/>
      <c r="DH6" s="705"/>
      <c r="DI6" s="705"/>
      <c r="DJ6" s="705"/>
      <c r="DK6" s="705"/>
      <c r="DL6" s="705"/>
      <c r="DM6" s="705"/>
      <c r="DN6" s="705"/>
      <c r="DO6" s="705"/>
      <c r="DP6" s="705"/>
      <c r="DQ6" s="708"/>
      <c r="DR6" s="705"/>
      <c r="DS6" s="709"/>
      <c r="DT6" s="713"/>
      <c r="DU6" s="713"/>
      <c r="DV6" s="714"/>
    </row>
    <row r="7" spans="1:127" s="688" customFormat="1" ht="13.5" thickBot="1" x14ac:dyDescent="0.25">
      <c r="A7" s="730"/>
      <c r="B7" s="731"/>
      <c r="C7" s="732"/>
      <c r="D7" s="733"/>
      <c r="E7" s="734"/>
      <c r="F7" s="735"/>
      <c r="G7" s="732"/>
      <c r="H7" s="732"/>
      <c r="I7" s="732"/>
      <c r="J7" s="732"/>
      <c r="K7" s="732"/>
      <c r="L7" s="732"/>
      <c r="M7" s="732"/>
      <c r="N7" s="732"/>
      <c r="O7" s="732"/>
      <c r="P7" s="732"/>
      <c r="Q7" s="732"/>
      <c r="R7" s="732"/>
      <c r="S7" s="732"/>
      <c r="T7" s="732"/>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c r="AT7" s="732"/>
      <c r="AU7" s="732"/>
      <c r="AV7" s="732"/>
      <c r="AW7" s="732"/>
      <c r="AX7" s="732"/>
      <c r="AY7" s="732"/>
      <c r="AZ7" s="732"/>
      <c r="BA7" s="732"/>
      <c r="BB7" s="732"/>
      <c r="BC7" s="732"/>
      <c r="BD7" s="732"/>
      <c r="BE7" s="732"/>
      <c r="BF7" s="732"/>
      <c r="BG7" s="732"/>
      <c r="BH7" s="732"/>
      <c r="BI7" s="732"/>
      <c r="BJ7" s="732"/>
      <c r="BK7" s="732"/>
      <c r="BL7" s="732"/>
      <c r="BM7" s="732"/>
      <c r="BN7" s="732"/>
      <c r="BO7" s="732"/>
      <c r="BP7" s="732"/>
      <c r="BQ7" s="732"/>
      <c r="BR7" s="732"/>
      <c r="BS7" s="732"/>
      <c r="BT7" s="732"/>
      <c r="BU7" s="732"/>
      <c r="BV7" s="732"/>
      <c r="BW7" s="732"/>
      <c r="BX7" s="732"/>
      <c r="BY7" s="732"/>
      <c r="BZ7" s="732"/>
      <c r="CA7" s="732"/>
      <c r="CB7" s="732"/>
      <c r="CC7" s="732"/>
      <c r="CD7" s="732"/>
      <c r="CE7" s="732"/>
      <c r="CF7" s="732"/>
      <c r="CG7" s="732"/>
      <c r="CH7" s="732"/>
      <c r="CI7" s="732"/>
      <c r="CJ7" s="732"/>
      <c r="CK7" s="732"/>
      <c r="CL7" s="732"/>
      <c r="CM7" s="732"/>
      <c r="CN7" s="732"/>
      <c r="CO7" s="732"/>
      <c r="CP7" s="732"/>
      <c r="CQ7" s="732"/>
      <c r="CR7" s="732"/>
      <c r="CS7" s="732"/>
      <c r="CT7" s="732"/>
      <c r="CU7" s="732"/>
      <c r="CV7" s="732"/>
      <c r="CW7" s="732"/>
      <c r="CX7" s="732"/>
      <c r="CY7" s="732"/>
      <c r="CZ7" s="732"/>
      <c r="DA7" s="732"/>
      <c r="DB7" s="732"/>
      <c r="DC7" s="732"/>
      <c r="DD7" s="732"/>
      <c r="DE7" s="732"/>
      <c r="DF7" s="732"/>
      <c r="DG7" s="732"/>
      <c r="DH7" s="732"/>
      <c r="DI7" s="732"/>
      <c r="DJ7" s="732"/>
      <c r="DK7" s="732"/>
      <c r="DL7" s="732"/>
      <c r="DM7" s="732"/>
      <c r="DN7" s="732"/>
      <c r="DO7" s="732"/>
      <c r="DP7" s="732"/>
      <c r="DQ7" s="732"/>
      <c r="DR7" s="732"/>
      <c r="DS7" s="736"/>
      <c r="DT7" s="654"/>
      <c r="DU7" s="654"/>
      <c r="DV7" s="654"/>
      <c r="DW7" s="654"/>
    </row>
    <row r="8" spans="1:127" ht="12.75" x14ac:dyDescent="0.2">
      <c r="A8" s="657">
        <v>1</v>
      </c>
      <c r="B8" s="658" t="s">
        <v>628</v>
      </c>
      <c r="C8" s="659" t="s">
        <v>1201</v>
      </c>
      <c r="D8" s="660" t="s">
        <v>1202</v>
      </c>
      <c r="E8" s="661" t="s">
        <v>627</v>
      </c>
      <c r="F8" s="753" t="s">
        <v>1873</v>
      </c>
      <c r="G8" s="129">
        <v>46204913</v>
      </c>
      <c r="H8" s="129">
        <v>0</v>
      </c>
      <c r="I8" s="129">
        <v>46204913</v>
      </c>
      <c r="J8" s="793">
        <v>49.9</v>
      </c>
      <c r="K8" s="129">
        <v>23056252</v>
      </c>
      <c r="L8" s="129">
        <v>0</v>
      </c>
      <c r="M8" s="129">
        <v>0</v>
      </c>
      <c r="N8" s="129">
        <v>0</v>
      </c>
      <c r="O8" s="129">
        <v>23056252</v>
      </c>
      <c r="P8" s="129">
        <v>0</v>
      </c>
      <c r="Q8" s="129">
        <v>23056252</v>
      </c>
      <c r="R8" s="129">
        <v>-17857</v>
      </c>
      <c r="S8" s="129">
        <v>0</v>
      </c>
      <c r="T8" s="129">
        <v>-17857</v>
      </c>
      <c r="U8" s="129">
        <v>752077</v>
      </c>
      <c r="V8" s="129">
        <v>0</v>
      </c>
      <c r="W8" s="129">
        <v>752077</v>
      </c>
      <c r="X8" s="129">
        <v>734220</v>
      </c>
      <c r="Y8" s="129">
        <v>0</v>
      </c>
      <c r="Z8" s="129">
        <v>0</v>
      </c>
      <c r="AA8" s="129">
        <v>0</v>
      </c>
      <c r="AB8" s="129">
        <v>734220</v>
      </c>
      <c r="AC8" s="129">
        <v>0</v>
      </c>
      <c r="AD8" s="129">
        <v>734220</v>
      </c>
      <c r="AE8" s="129">
        <v>-734220</v>
      </c>
      <c r="AF8" s="129">
        <v>0</v>
      </c>
      <c r="AG8" s="129">
        <v>-734220</v>
      </c>
      <c r="AH8" s="129">
        <v>-2436845</v>
      </c>
      <c r="AI8" s="129">
        <v>0</v>
      </c>
      <c r="AJ8" s="129">
        <v>-2436845</v>
      </c>
      <c r="AK8" s="129">
        <v>0</v>
      </c>
      <c r="AL8" s="129">
        <v>0</v>
      </c>
      <c r="AM8" s="129">
        <v>0</v>
      </c>
      <c r="AN8" s="129">
        <v>395085</v>
      </c>
      <c r="AO8" s="129">
        <v>0</v>
      </c>
      <c r="AP8" s="129">
        <v>395085</v>
      </c>
      <c r="AQ8" s="129">
        <v>-2041760</v>
      </c>
      <c r="AR8" s="129">
        <v>0</v>
      </c>
      <c r="AS8" s="129">
        <v>-2041760</v>
      </c>
      <c r="AT8" s="129">
        <v>-1531833</v>
      </c>
      <c r="AU8" s="129">
        <v>0</v>
      </c>
      <c r="AV8" s="129">
        <v>-1531833</v>
      </c>
      <c r="AW8" s="129">
        <v>-34071</v>
      </c>
      <c r="AX8" s="129">
        <v>0</v>
      </c>
      <c r="AY8" s="129">
        <v>-34071</v>
      </c>
      <c r="AZ8" s="129">
        <v>0</v>
      </c>
      <c r="BA8" s="129">
        <v>0</v>
      </c>
      <c r="BB8" s="129">
        <v>0</v>
      </c>
      <c r="BC8" s="129">
        <v>0</v>
      </c>
      <c r="BD8" s="129">
        <v>0</v>
      </c>
      <c r="BE8" s="129">
        <v>0</v>
      </c>
      <c r="BF8" s="129">
        <v>-3607664</v>
      </c>
      <c r="BG8" s="129">
        <v>0</v>
      </c>
      <c r="BH8" s="129">
        <v>0</v>
      </c>
      <c r="BI8" s="129">
        <v>0</v>
      </c>
      <c r="BJ8" s="129">
        <v>-3607664</v>
      </c>
      <c r="BK8" s="129">
        <v>0</v>
      </c>
      <c r="BL8" s="129">
        <v>-3607664</v>
      </c>
      <c r="BM8" s="129">
        <v>0</v>
      </c>
      <c r="BN8" s="129">
        <v>0</v>
      </c>
      <c r="BO8" s="129">
        <v>0</v>
      </c>
      <c r="BP8" s="129">
        <v>-105304</v>
      </c>
      <c r="BQ8" s="129">
        <v>0</v>
      </c>
      <c r="BR8" s="129">
        <v>-105304</v>
      </c>
      <c r="BS8" s="129">
        <v>-105304</v>
      </c>
      <c r="BT8" s="129">
        <v>0</v>
      </c>
      <c r="BU8" s="129">
        <v>0</v>
      </c>
      <c r="BV8" s="129">
        <v>0</v>
      </c>
      <c r="BW8" s="129">
        <v>-105304</v>
      </c>
      <c r="BX8" s="129">
        <v>0</v>
      </c>
      <c r="BY8" s="129">
        <v>-105304</v>
      </c>
      <c r="BZ8" s="129">
        <v>-37753</v>
      </c>
      <c r="CA8" s="129">
        <v>0</v>
      </c>
      <c r="CB8" s="129">
        <v>-37753</v>
      </c>
      <c r="CC8" s="129">
        <v>-20584</v>
      </c>
      <c r="CD8" s="129">
        <v>0</v>
      </c>
      <c r="CE8" s="129">
        <v>-20584</v>
      </c>
      <c r="CF8" s="129">
        <v>0</v>
      </c>
      <c r="CG8" s="129">
        <v>0</v>
      </c>
      <c r="CH8" s="129">
        <v>0</v>
      </c>
      <c r="CI8" s="129">
        <v>0</v>
      </c>
      <c r="CJ8" s="129">
        <v>0</v>
      </c>
      <c r="CK8" s="129">
        <v>0</v>
      </c>
      <c r="CL8" s="129">
        <v>0</v>
      </c>
      <c r="CM8" s="129">
        <v>0</v>
      </c>
      <c r="CN8" s="129">
        <v>0</v>
      </c>
      <c r="CO8" s="129">
        <v>0</v>
      </c>
      <c r="CP8" s="129">
        <v>0</v>
      </c>
      <c r="CQ8" s="129">
        <v>0</v>
      </c>
      <c r="CR8" s="129">
        <v>0</v>
      </c>
      <c r="CS8" s="129">
        <v>0</v>
      </c>
      <c r="CT8" s="129">
        <v>-58337</v>
      </c>
      <c r="CU8" s="129">
        <v>0</v>
      </c>
      <c r="CV8" s="129">
        <v>0</v>
      </c>
      <c r="CW8" s="129">
        <v>0</v>
      </c>
      <c r="CX8" s="129">
        <v>-58337</v>
      </c>
      <c r="CY8" s="129">
        <v>0</v>
      </c>
      <c r="CZ8" s="129">
        <v>-58337</v>
      </c>
      <c r="DA8" s="129">
        <v>-16000</v>
      </c>
      <c r="DB8" s="129">
        <v>0</v>
      </c>
      <c r="DC8" s="129">
        <v>-16000</v>
      </c>
      <c r="DD8" s="129">
        <v>0</v>
      </c>
      <c r="DE8" s="129">
        <v>0</v>
      </c>
      <c r="DF8" s="129">
        <v>0</v>
      </c>
      <c r="DG8" s="129">
        <v>0</v>
      </c>
      <c r="DH8" s="129">
        <v>0</v>
      </c>
      <c r="DI8" s="129">
        <v>0</v>
      </c>
      <c r="DJ8" s="129">
        <v>-16000</v>
      </c>
      <c r="DK8" s="129">
        <v>0</v>
      </c>
      <c r="DL8" s="129">
        <v>0</v>
      </c>
      <c r="DM8" s="129">
        <v>0</v>
      </c>
      <c r="DN8" s="129">
        <v>-16000</v>
      </c>
      <c r="DO8" s="129">
        <v>0</v>
      </c>
      <c r="DP8" s="129">
        <v>-16000</v>
      </c>
      <c r="DQ8" s="129">
        <v>20003167</v>
      </c>
      <c r="DR8" s="129">
        <v>0</v>
      </c>
      <c r="DS8" s="129">
        <v>20003167</v>
      </c>
      <c r="DT8" s="662" t="s">
        <v>627</v>
      </c>
      <c r="DU8" s="324" t="s">
        <v>568</v>
      </c>
      <c r="DV8" s="663" t="s">
        <v>512</v>
      </c>
      <c r="DW8" s="529" t="s">
        <v>1203</v>
      </c>
    </row>
    <row r="9" spans="1:127" ht="12.75" x14ac:dyDescent="0.2">
      <c r="A9" s="664">
        <v>2</v>
      </c>
      <c r="B9" s="665" t="s">
        <v>630</v>
      </c>
      <c r="C9" s="666" t="s">
        <v>1201</v>
      </c>
      <c r="D9" s="667" t="s">
        <v>1204</v>
      </c>
      <c r="E9" s="668" t="s">
        <v>629</v>
      </c>
      <c r="F9" s="753" t="s">
        <v>1874</v>
      </c>
      <c r="G9" s="129">
        <v>79966869</v>
      </c>
      <c r="H9" s="129">
        <v>0</v>
      </c>
      <c r="I9" s="129">
        <v>79966869</v>
      </c>
      <c r="J9" s="793">
        <v>49.9</v>
      </c>
      <c r="K9" s="129">
        <v>39903468</v>
      </c>
      <c r="L9" s="129">
        <v>0</v>
      </c>
      <c r="M9" s="129">
        <v>10560</v>
      </c>
      <c r="N9" s="129">
        <v>0</v>
      </c>
      <c r="O9" s="129">
        <v>39914028</v>
      </c>
      <c r="P9" s="129">
        <v>0</v>
      </c>
      <c r="Q9" s="129">
        <v>39914028</v>
      </c>
      <c r="R9" s="129">
        <v>-116321</v>
      </c>
      <c r="S9" s="129">
        <v>0</v>
      </c>
      <c r="T9" s="129">
        <v>-116321</v>
      </c>
      <c r="U9" s="129">
        <v>60173</v>
      </c>
      <c r="V9" s="129">
        <v>0</v>
      </c>
      <c r="W9" s="129">
        <v>60173</v>
      </c>
      <c r="X9" s="129">
        <v>-56148</v>
      </c>
      <c r="Y9" s="129">
        <v>0</v>
      </c>
      <c r="Z9" s="129">
        <v>0</v>
      </c>
      <c r="AA9" s="129">
        <v>0</v>
      </c>
      <c r="AB9" s="129">
        <v>-56148</v>
      </c>
      <c r="AC9" s="129">
        <v>0</v>
      </c>
      <c r="AD9" s="129">
        <v>-56148</v>
      </c>
      <c r="AE9" s="129">
        <v>56148</v>
      </c>
      <c r="AF9" s="129">
        <v>0</v>
      </c>
      <c r="AG9" s="129">
        <v>56148</v>
      </c>
      <c r="AH9" s="129">
        <v>-6145291</v>
      </c>
      <c r="AI9" s="129">
        <v>0</v>
      </c>
      <c r="AJ9" s="129">
        <v>-6145291</v>
      </c>
      <c r="AK9" s="129">
        <v>-23043</v>
      </c>
      <c r="AL9" s="129">
        <v>0</v>
      </c>
      <c r="AM9" s="129">
        <v>-23043</v>
      </c>
      <c r="AN9" s="129">
        <v>595644</v>
      </c>
      <c r="AO9" s="129">
        <v>0</v>
      </c>
      <c r="AP9" s="129">
        <v>595644</v>
      </c>
      <c r="AQ9" s="129">
        <v>-5549647</v>
      </c>
      <c r="AR9" s="129">
        <v>0</v>
      </c>
      <c r="AS9" s="129">
        <v>-5549647</v>
      </c>
      <c r="AT9" s="129">
        <v>-2404903</v>
      </c>
      <c r="AU9" s="129">
        <v>0</v>
      </c>
      <c r="AV9" s="129">
        <v>-2404903</v>
      </c>
      <c r="AW9" s="129">
        <v>-65679</v>
      </c>
      <c r="AX9" s="129">
        <v>0</v>
      </c>
      <c r="AY9" s="129">
        <v>-65679</v>
      </c>
      <c r="AZ9" s="129">
        <v>-38842</v>
      </c>
      <c r="BA9" s="129">
        <v>0</v>
      </c>
      <c r="BB9" s="129">
        <v>-38842</v>
      </c>
      <c r="BC9" s="129">
        <v>0</v>
      </c>
      <c r="BD9" s="129">
        <v>0</v>
      </c>
      <c r="BE9" s="129">
        <v>0</v>
      </c>
      <c r="BF9" s="129">
        <v>-8059071</v>
      </c>
      <c r="BG9" s="129">
        <v>0</v>
      </c>
      <c r="BH9" s="129">
        <v>0</v>
      </c>
      <c r="BI9" s="129">
        <v>0</v>
      </c>
      <c r="BJ9" s="129">
        <v>-8059071</v>
      </c>
      <c r="BK9" s="129">
        <v>0</v>
      </c>
      <c r="BL9" s="129">
        <v>-8059071</v>
      </c>
      <c r="BM9" s="129">
        <v>0</v>
      </c>
      <c r="BN9" s="129">
        <v>0</v>
      </c>
      <c r="BO9" s="129">
        <v>0</v>
      </c>
      <c r="BP9" s="129">
        <v>-769712</v>
      </c>
      <c r="BQ9" s="129">
        <v>0</v>
      </c>
      <c r="BR9" s="129">
        <v>-769712</v>
      </c>
      <c r="BS9" s="129">
        <v>-769712</v>
      </c>
      <c r="BT9" s="129">
        <v>0</v>
      </c>
      <c r="BU9" s="129">
        <v>-199159</v>
      </c>
      <c r="BV9" s="129">
        <v>0</v>
      </c>
      <c r="BW9" s="129">
        <v>-968871</v>
      </c>
      <c r="BX9" s="129">
        <v>0</v>
      </c>
      <c r="BY9" s="129">
        <v>-968871</v>
      </c>
      <c r="BZ9" s="129">
        <v>-177831</v>
      </c>
      <c r="CA9" s="129">
        <v>0</v>
      </c>
      <c r="CB9" s="129">
        <v>-177831</v>
      </c>
      <c r="CC9" s="129">
        <v>-60657</v>
      </c>
      <c r="CD9" s="129">
        <v>0</v>
      </c>
      <c r="CE9" s="129">
        <v>-60657</v>
      </c>
      <c r="CF9" s="129">
        <v>-1280</v>
      </c>
      <c r="CG9" s="129">
        <v>0</v>
      </c>
      <c r="CH9" s="129">
        <v>-1280</v>
      </c>
      <c r="CI9" s="129">
        <v>0</v>
      </c>
      <c r="CJ9" s="129">
        <v>0</v>
      </c>
      <c r="CK9" s="129">
        <v>0</v>
      </c>
      <c r="CL9" s="129">
        <v>0</v>
      </c>
      <c r="CM9" s="129">
        <v>0</v>
      </c>
      <c r="CN9" s="129">
        <v>0</v>
      </c>
      <c r="CO9" s="129">
        <v>0</v>
      </c>
      <c r="CP9" s="129">
        <v>0</v>
      </c>
      <c r="CQ9" s="129">
        <v>0</v>
      </c>
      <c r="CR9" s="129">
        <v>0</v>
      </c>
      <c r="CS9" s="129">
        <v>0</v>
      </c>
      <c r="CT9" s="129">
        <v>-239768</v>
      </c>
      <c r="CU9" s="129">
        <v>0</v>
      </c>
      <c r="CV9" s="129">
        <v>0</v>
      </c>
      <c r="CW9" s="129">
        <v>0</v>
      </c>
      <c r="CX9" s="129">
        <v>-239768</v>
      </c>
      <c r="CY9" s="129">
        <v>0</v>
      </c>
      <c r="CZ9" s="129">
        <v>-239768</v>
      </c>
      <c r="DA9" s="129">
        <v>-38842</v>
      </c>
      <c r="DB9" s="129">
        <v>0</v>
      </c>
      <c r="DC9" s="129">
        <v>-38842</v>
      </c>
      <c r="DD9" s="129">
        <v>-18000</v>
      </c>
      <c r="DE9" s="129">
        <v>0</v>
      </c>
      <c r="DF9" s="129">
        <v>-18000</v>
      </c>
      <c r="DG9" s="129">
        <v>0</v>
      </c>
      <c r="DH9" s="129">
        <v>0</v>
      </c>
      <c r="DI9" s="129">
        <v>0</v>
      </c>
      <c r="DJ9" s="129">
        <v>-56842</v>
      </c>
      <c r="DK9" s="129">
        <v>0</v>
      </c>
      <c r="DL9" s="129">
        <v>0</v>
      </c>
      <c r="DM9" s="129">
        <v>0</v>
      </c>
      <c r="DN9" s="129">
        <v>-56842</v>
      </c>
      <c r="DO9" s="129">
        <v>0</v>
      </c>
      <c r="DP9" s="129">
        <v>-56842</v>
      </c>
      <c r="DQ9" s="129">
        <v>30533328</v>
      </c>
      <c r="DR9" s="129">
        <v>0</v>
      </c>
      <c r="DS9" s="129">
        <v>30533328</v>
      </c>
      <c r="DT9" s="662" t="s">
        <v>629</v>
      </c>
      <c r="DU9" s="324" t="s">
        <v>513</v>
      </c>
      <c r="DV9" s="663" t="s">
        <v>512</v>
      </c>
      <c r="DW9" s="529" t="s">
        <v>1205</v>
      </c>
    </row>
    <row r="10" spans="1:127" ht="12.75" x14ac:dyDescent="0.2">
      <c r="A10" s="664">
        <v>3</v>
      </c>
      <c r="B10" s="665" t="s">
        <v>632</v>
      </c>
      <c r="C10" s="666" t="s">
        <v>1201</v>
      </c>
      <c r="D10" s="667" t="s">
        <v>1206</v>
      </c>
      <c r="E10" s="668" t="s">
        <v>631</v>
      </c>
      <c r="F10" s="753" t="s">
        <v>1875</v>
      </c>
      <c r="G10" s="129">
        <v>84451642</v>
      </c>
      <c r="H10" s="129">
        <v>0</v>
      </c>
      <c r="I10" s="129">
        <v>84451642</v>
      </c>
      <c r="J10" s="793">
        <v>49.9</v>
      </c>
      <c r="K10" s="129">
        <v>42141369</v>
      </c>
      <c r="L10" s="129">
        <v>0</v>
      </c>
      <c r="M10" s="129">
        <v>0</v>
      </c>
      <c r="N10" s="129">
        <v>0</v>
      </c>
      <c r="O10" s="129">
        <v>42141369</v>
      </c>
      <c r="P10" s="129">
        <v>0</v>
      </c>
      <c r="Q10" s="129">
        <v>42141369</v>
      </c>
      <c r="R10" s="129">
        <v>-138196</v>
      </c>
      <c r="S10" s="129">
        <v>0</v>
      </c>
      <c r="T10" s="129">
        <v>-138196</v>
      </c>
      <c r="U10" s="129">
        <v>51401</v>
      </c>
      <c r="V10" s="129">
        <v>0</v>
      </c>
      <c r="W10" s="129">
        <v>51401</v>
      </c>
      <c r="X10" s="129">
        <v>-86795</v>
      </c>
      <c r="Y10" s="129">
        <v>0</v>
      </c>
      <c r="Z10" s="129">
        <v>0</v>
      </c>
      <c r="AA10" s="129">
        <v>0</v>
      </c>
      <c r="AB10" s="129">
        <v>-86795</v>
      </c>
      <c r="AC10" s="129">
        <v>0</v>
      </c>
      <c r="AD10" s="129">
        <v>-86795</v>
      </c>
      <c r="AE10" s="129">
        <v>86795</v>
      </c>
      <c r="AF10" s="129">
        <v>0</v>
      </c>
      <c r="AG10" s="129">
        <v>86795</v>
      </c>
      <c r="AH10" s="129">
        <v>-5109622</v>
      </c>
      <c r="AI10" s="129">
        <v>0</v>
      </c>
      <c r="AJ10" s="129">
        <v>-5109622</v>
      </c>
      <c r="AK10" s="129">
        <v>0</v>
      </c>
      <c r="AL10" s="129">
        <v>0</v>
      </c>
      <c r="AM10" s="129">
        <v>0</v>
      </c>
      <c r="AN10" s="129">
        <v>705800</v>
      </c>
      <c r="AO10" s="129">
        <v>0</v>
      </c>
      <c r="AP10" s="129">
        <v>705800</v>
      </c>
      <c r="AQ10" s="129">
        <v>-4403822</v>
      </c>
      <c r="AR10" s="129">
        <v>0</v>
      </c>
      <c r="AS10" s="129">
        <v>-4403822</v>
      </c>
      <c r="AT10" s="129">
        <v>-2052680</v>
      </c>
      <c r="AU10" s="129">
        <v>0</v>
      </c>
      <c r="AV10" s="129">
        <v>-2052680</v>
      </c>
      <c r="AW10" s="129">
        <v>-23347</v>
      </c>
      <c r="AX10" s="129">
        <v>0</v>
      </c>
      <c r="AY10" s="129">
        <v>-23347</v>
      </c>
      <c r="AZ10" s="129">
        <v>-15936</v>
      </c>
      <c r="BA10" s="129">
        <v>0</v>
      </c>
      <c r="BB10" s="129">
        <v>-15936</v>
      </c>
      <c r="BC10" s="129">
        <v>0</v>
      </c>
      <c r="BD10" s="129">
        <v>0</v>
      </c>
      <c r="BE10" s="129">
        <v>0</v>
      </c>
      <c r="BF10" s="129">
        <v>-6495785</v>
      </c>
      <c r="BG10" s="129">
        <v>0</v>
      </c>
      <c r="BH10" s="129">
        <v>0</v>
      </c>
      <c r="BI10" s="129">
        <v>0</v>
      </c>
      <c r="BJ10" s="129">
        <v>-6495785</v>
      </c>
      <c r="BK10" s="129">
        <v>0</v>
      </c>
      <c r="BL10" s="129">
        <v>-6495785</v>
      </c>
      <c r="BM10" s="129">
        <v>-76638</v>
      </c>
      <c r="BN10" s="129">
        <v>0</v>
      </c>
      <c r="BO10" s="129">
        <v>-76638</v>
      </c>
      <c r="BP10" s="129">
        <v>-909700</v>
      </c>
      <c r="BQ10" s="129">
        <v>0</v>
      </c>
      <c r="BR10" s="129">
        <v>-909700</v>
      </c>
      <c r="BS10" s="129">
        <v>-986338</v>
      </c>
      <c r="BT10" s="129">
        <v>0</v>
      </c>
      <c r="BU10" s="129">
        <v>0</v>
      </c>
      <c r="BV10" s="129">
        <v>0</v>
      </c>
      <c r="BW10" s="129">
        <v>-986338</v>
      </c>
      <c r="BX10" s="129">
        <v>0</v>
      </c>
      <c r="BY10" s="129">
        <v>-986338</v>
      </c>
      <c r="BZ10" s="129">
        <v>-47175</v>
      </c>
      <c r="CA10" s="129">
        <v>0</v>
      </c>
      <c r="CB10" s="129">
        <v>-47175</v>
      </c>
      <c r="CC10" s="129">
        <v>-402796</v>
      </c>
      <c r="CD10" s="129">
        <v>0</v>
      </c>
      <c r="CE10" s="129">
        <v>-402796</v>
      </c>
      <c r="CF10" s="129">
        <v>0</v>
      </c>
      <c r="CG10" s="129">
        <v>0</v>
      </c>
      <c r="CH10" s="129">
        <v>0</v>
      </c>
      <c r="CI10" s="129">
        <v>-2381</v>
      </c>
      <c r="CJ10" s="129">
        <v>0</v>
      </c>
      <c r="CK10" s="129">
        <v>-2381</v>
      </c>
      <c r="CL10" s="129">
        <v>-1081</v>
      </c>
      <c r="CM10" s="129">
        <v>0</v>
      </c>
      <c r="CN10" s="129">
        <v>-1081</v>
      </c>
      <c r="CO10" s="129">
        <v>0</v>
      </c>
      <c r="CP10" s="129">
        <v>0</v>
      </c>
      <c r="CQ10" s="129">
        <v>0</v>
      </c>
      <c r="CR10" s="129">
        <v>0</v>
      </c>
      <c r="CS10" s="129">
        <v>0</v>
      </c>
      <c r="CT10" s="129">
        <v>-453433</v>
      </c>
      <c r="CU10" s="129">
        <v>0</v>
      </c>
      <c r="CV10" s="129">
        <v>0</v>
      </c>
      <c r="CW10" s="129">
        <v>0</v>
      </c>
      <c r="CX10" s="129">
        <v>-453433</v>
      </c>
      <c r="CY10" s="129">
        <v>0</v>
      </c>
      <c r="CZ10" s="129">
        <v>-453433</v>
      </c>
      <c r="DA10" s="129">
        <v>-13555</v>
      </c>
      <c r="DB10" s="129">
        <v>0</v>
      </c>
      <c r="DC10" s="129">
        <v>-13555</v>
      </c>
      <c r="DD10" s="129">
        <v>-34488</v>
      </c>
      <c r="DE10" s="129">
        <v>0</v>
      </c>
      <c r="DF10" s="129">
        <v>-34488</v>
      </c>
      <c r="DG10" s="129">
        <v>0</v>
      </c>
      <c r="DH10" s="129">
        <v>0</v>
      </c>
      <c r="DI10" s="129">
        <v>0</v>
      </c>
      <c r="DJ10" s="129">
        <v>-48043</v>
      </c>
      <c r="DK10" s="129">
        <v>0</v>
      </c>
      <c r="DL10" s="129">
        <v>0</v>
      </c>
      <c r="DM10" s="129">
        <v>0</v>
      </c>
      <c r="DN10" s="129">
        <v>-48043</v>
      </c>
      <c r="DO10" s="129">
        <v>0</v>
      </c>
      <c r="DP10" s="129">
        <v>-48043</v>
      </c>
      <c r="DQ10" s="129">
        <v>34070975</v>
      </c>
      <c r="DR10" s="129">
        <v>0</v>
      </c>
      <c r="DS10" s="129">
        <v>34070975</v>
      </c>
      <c r="DT10" s="662" t="s">
        <v>631</v>
      </c>
      <c r="DU10" s="324" t="s">
        <v>516</v>
      </c>
      <c r="DV10" s="663" t="s">
        <v>515</v>
      </c>
      <c r="DW10" s="529" t="s">
        <v>1207</v>
      </c>
    </row>
    <row r="11" spans="1:127" ht="12.75" x14ac:dyDescent="0.2">
      <c r="A11" s="664">
        <v>4</v>
      </c>
      <c r="B11" s="665" t="s">
        <v>634</v>
      </c>
      <c r="C11" s="666" t="s">
        <v>1201</v>
      </c>
      <c r="D11" s="667" t="s">
        <v>1202</v>
      </c>
      <c r="E11" s="668" t="s">
        <v>633</v>
      </c>
      <c r="F11" s="753" t="s">
        <v>1876</v>
      </c>
      <c r="G11" s="129">
        <v>97647623</v>
      </c>
      <c r="H11" s="129">
        <v>0</v>
      </c>
      <c r="I11" s="129">
        <v>97647623</v>
      </c>
      <c r="J11" s="793">
        <v>49.9</v>
      </c>
      <c r="K11" s="129">
        <v>48726164</v>
      </c>
      <c r="L11" s="129">
        <v>0</v>
      </c>
      <c r="M11" s="129">
        <v>0</v>
      </c>
      <c r="N11" s="129">
        <v>0</v>
      </c>
      <c r="O11" s="129">
        <v>48726164</v>
      </c>
      <c r="P11" s="129">
        <v>0</v>
      </c>
      <c r="Q11" s="129">
        <v>48726164</v>
      </c>
      <c r="R11" s="129">
        <v>-252837</v>
      </c>
      <c r="S11" s="129">
        <v>0</v>
      </c>
      <c r="T11" s="129">
        <v>-252837</v>
      </c>
      <c r="U11" s="129">
        <v>36894</v>
      </c>
      <c r="V11" s="129">
        <v>0</v>
      </c>
      <c r="W11" s="129">
        <v>36894</v>
      </c>
      <c r="X11" s="129">
        <v>-215943</v>
      </c>
      <c r="Y11" s="129">
        <v>0</v>
      </c>
      <c r="Z11" s="129">
        <v>0</v>
      </c>
      <c r="AA11" s="129">
        <v>0</v>
      </c>
      <c r="AB11" s="129">
        <v>-215943</v>
      </c>
      <c r="AC11" s="129">
        <v>0</v>
      </c>
      <c r="AD11" s="129">
        <v>-215943</v>
      </c>
      <c r="AE11" s="129">
        <v>215943</v>
      </c>
      <c r="AF11" s="129">
        <v>0</v>
      </c>
      <c r="AG11" s="129">
        <v>215943</v>
      </c>
      <c r="AH11" s="129">
        <v>-5964034</v>
      </c>
      <c r="AI11" s="129">
        <v>0</v>
      </c>
      <c r="AJ11" s="129">
        <v>-5964034</v>
      </c>
      <c r="AK11" s="129">
        <v>-11652</v>
      </c>
      <c r="AL11" s="129">
        <v>0</v>
      </c>
      <c r="AM11" s="129">
        <v>-11652</v>
      </c>
      <c r="AN11" s="129">
        <v>790587</v>
      </c>
      <c r="AO11" s="129">
        <v>0</v>
      </c>
      <c r="AP11" s="129">
        <v>790587</v>
      </c>
      <c r="AQ11" s="129">
        <v>-5173447</v>
      </c>
      <c r="AR11" s="129">
        <v>0</v>
      </c>
      <c r="AS11" s="129">
        <v>-5173447</v>
      </c>
      <c r="AT11" s="129">
        <v>-3327994</v>
      </c>
      <c r="AU11" s="129">
        <v>0</v>
      </c>
      <c r="AV11" s="129">
        <v>-3327994</v>
      </c>
      <c r="AW11" s="129">
        <v>-123258</v>
      </c>
      <c r="AX11" s="129">
        <v>0</v>
      </c>
      <c r="AY11" s="129">
        <v>-123258</v>
      </c>
      <c r="AZ11" s="129">
        <v>0</v>
      </c>
      <c r="BA11" s="129">
        <v>0</v>
      </c>
      <c r="BB11" s="129">
        <v>0</v>
      </c>
      <c r="BC11" s="129">
        <v>0</v>
      </c>
      <c r="BD11" s="129">
        <v>0</v>
      </c>
      <c r="BE11" s="129">
        <v>0</v>
      </c>
      <c r="BF11" s="129">
        <v>-8624699</v>
      </c>
      <c r="BG11" s="129">
        <v>0</v>
      </c>
      <c r="BH11" s="129">
        <v>0</v>
      </c>
      <c r="BI11" s="129">
        <v>0</v>
      </c>
      <c r="BJ11" s="129">
        <v>-8624699</v>
      </c>
      <c r="BK11" s="129">
        <v>0</v>
      </c>
      <c r="BL11" s="129">
        <v>-8624699</v>
      </c>
      <c r="BM11" s="129">
        <v>0</v>
      </c>
      <c r="BN11" s="129">
        <v>0</v>
      </c>
      <c r="BO11" s="129">
        <v>0</v>
      </c>
      <c r="BP11" s="129">
        <v>-390757</v>
      </c>
      <c r="BQ11" s="129">
        <v>0</v>
      </c>
      <c r="BR11" s="129">
        <v>-390757</v>
      </c>
      <c r="BS11" s="129">
        <v>-390757</v>
      </c>
      <c r="BT11" s="129">
        <v>0</v>
      </c>
      <c r="BU11" s="129">
        <v>0</v>
      </c>
      <c r="BV11" s="129">
        <v>0</v>
      </c>
      <c r="BW11" s="129">
        <v>-390757</v>
      </c>
      <c r="BX11" s="129">
        <v>0</v>
      </c>
      <c r="BY11" s="129">
        <v>-390757</v>
      </c>
      <c r="BZ11" s="129">
        <v>-127590</v>
      </c>
      <c r="CA11" s="129">
        <v>0</v>
      </c>
      <c r="CB11" s="129">
        <v>-127590</v>
      </c>
      <c r="CC11" s="129">
        <v>-57578</v>
      </c>
      <c r="CD11" s="129">
        <v>0</v>
      </c>
      <c r="CE11" s="129">
        <v>-57578</v>
      </c>
      <c r="CF11" s="129">
        <v>-496</v>
      </c>
      <c r="CG11" s="129">
        <v>0</v>
      </c>
      <c r="CH11" s="129">
        <v>-496</v>
      </c>
      <c r="CI11" s="129">
        <v>0</v>
      </c>
      <c r="CJ11" s="129">
        <v>0</v>
      </c>
      <c r="CK11" s="129">
        <v>0</v>
      </c>
      <c r="CL11" s="129">
        <v>0</v>
      </c>
      <c r="CM11" s="129">
        <v>0</v>
      </c>
      <c r="CN11" s="129">
        <v>0</v>
      </c>
      <c r="CO11" s="129">
        <v>0</v>
      </c>
      <c r="CP11" s="129">
        <v>0</v>
      </c>
      <c r="CQ11" s="129">
        <v>0</v>
      </c>
      <c r="CR11" s="129">
        <v>0</v>
      </c>
      <c r="CS11" s="129">
        <v>0</v>
      </c>
      <c r="CT11" s="129">
        <v>-185664</v>
      </c>
      <c r="CU11" s="129">
        <v>0</v>
      </c>
      <c r="CV11" s="129">
        <v>0</v>
      </c>
      <c r="CW11" s="129">
        <v>0</v>
      </c>
      <c r="CX11" s="129">
        <v>-185664</v>
      </c>
      <c r="CY11" s="129">
        <v>0</v>
      </c>
      <c r="CZ11" s="129">
        <v>-185664</v>
      </c>
      <c r="DA11" s="129">
        <v>0</v>
      </c>
      <c r="DB11" s="129">
        <v>0</v>
      </c>
      <c r="DC11" s="129">
        <v>0</v>
      </c>
      <c r="DD11" s="129">
        <v>-31854</v>
      </c>
      <c r="DE11" s="129">
        <v>0</v>
      </c>
      <c r="DF11" s="129">
        <v>-31854</v>
      </c>
      <c r="DG11" s="129">
        <v>0</v>
      </c>
      <c r="DH11" s="129">
        <v>0</v>
      </c>
      <c r="DI11" s="129">
        <v>0</v>
      </c>
      <c r="DJ11" s="129">
        <v>-31854</v>
      </c>
      <c r="DK11" s="129">
        <v>0</v>
      </c>
      <c r="DL11" s="129">
        <v>0</v>
      </c>
      <c r="DM11" s="129">
        <v>0</v>
      </c>
      <c r="DN11" s="129">
        <v>-31854</v>
      </c>
      <c r="DO11" s="129">
        <v>0</v>
      </c>
      <c r="DP11" s="129">
        <v>-31854</v>
      </c>
      <c r="DQ11" s="129">
        <v>39277247</v>
      </c>
      <c r="DR11" s="129">
        <v>0</v>
      </c>
      <c r="DS11" s="129">
        <v>39277247</v>
      </c>
      <c r="DT11" s="662" t="s">
        <v>633</v>
      </c>
      <c r="DU11" s="324" t="s">
        <v>568</v>
      </c>
      <c r="DV11" s="663" t="s">
        <v>512</v>
      </c>
      <c r="DW11" s="529" t="s">
        <v>1208</v>
      </c>
    </row>
    <row r="12" spans="1:127" ht="14.25" x14ac:dyDescent="0.2">
      <c r="A12" s="664">
        <v>5</v>
      </c>
      <c r="B12" s="665" t="s">
        <v>636</v>
      </c>
      <c r="C12" s="666" t="s">
        <v>1201</v>
      </c>
      <c r="D12" s="667" t="s">
        <v>1206</v>
      </c>
      <c r="E12" s="668" t="s">
        <v>1871</v>
      </c>
      <c r="F12" s="753" t="s">
        <v>1877</v>
      </c>
      <c r="G12" s="129">
        <v>92305374</v>
      </c>
      <c r="H12" s="129">
        <v>0</v>
      </c>
      <c r="I12" s="129">
        <v>92305374</v>
      </c>
      <c r="J12" s="793">
        <v>49.9</v>
      </c>
      <c r="K12" s="129">
        <v>46060382</v>
      </c>
      <c r="L12" s="129">
        <v>0</v>
      </c>
      <c r="M12" s="129">
        <v>0</v>
      </c>
      <c r="N12" s="129">
        <v>0</v>
      </c>
      <c r="O12" s="129">
        <v>46060382</v>
      </c>
      <c r="P12" s="129">
        <v>0</v>
      </c>
      <c r="Q12" s="129">
        <v>46060382</v>
      </c>
      <c r="R12" s="129">
        <v>-44656</v>
      </c>
      <c r="S12" s="129">
        <v>0</v>
      </c>
      <c r="T12" s="129">
        <v>-44656</v>
      </c>
      <c r="U12" s="129">
        <v>1372</v>
      </c>
      <c r="V12" s="129">
        <v>0</v>
      </c>
      <c r="W12" s="129">
        <v>1372</v>
      </c>
      <c r="X12" s="129">
        <v>-43284</v>
      </c>
      <c r="Y12" s="129">
        <v>0</v>
      </c>
      <c r="Z12" s="129">
        <v>0</v>
      </c>
      <c r="AA12" s="129">
        <v>0</v>
      </c>
      <c r="AB12" s="129">
        <v>-43284</v>
      </c>
      <c r="AC12" s="129">
        <v>0</v>
      </c>
      <c r="AD12" s="129">
        <v>-43284</v>
      </c>
      <c r="AE12" s="129">
        <v>43284</v>
      </c>
      <c r="AF12" s="129">
        <v>0</v>
      </c>
      <c r="AG12" s="129">
        <v>43284</v>
      </c>
      <c r="AH12" s="129">
        <v>-3638318</v>
      </c>
      <c r="AI12" s="129">
        <v>0</v>
      </c>
      <c r="AJ12" s="129">
        <v>-3638318</v>
      </c>
      <c r="AK12" s="129">
        <v>0</v>
      </c>
      <c r="AL12" s="129">
        <v>0</v>
      </c>
      <c r="AM12" s="129">
        <v>0</v>
      </c>
      <c r="AN12" s="129">
        <v>900723</v>
      </c>
      <c r="AO12" s="129">
        <v>0</v>
      </c>
      <c r="AP12" s="129">
        <v>900723</v>
      </c>
      <c r="AQ12" s="129">
        <v>-2737595</v>
      </c>
      <c r="AR12" s="129">
        <v>0</v>
      </c>
      <c r="AS12" s="129">
        <v>-2737595</v>
      </c>
      <c r="AT12" s="129">
        <v>-2243512</v>
      </c>
      <c r="AU12" s="129">
        <v>0</v>
      </c>
      <c r="AV12" s="129">
        <v>-2243512</v>
      </c>
      <c r="AW12" s="129">
        <v>-21647</v>
      </c>
      <c r="AX12" s="129">
        <v>0</v>
      </c>
      <c r="AY12" s="129">
        <v>-21647</v>
      </c>
      <c r="AZ12" s="129">
        <v>-13158</v>
      </c>
      <c r="BA12" s="129">
        <v>0</v>
      </c>
      <c r="BB12" s="129">
        <v>-13158</v>
      </c>
      <c r="BC12" s="129">
        <v>0</v>
      </c>
      <c r="BD12" s="129">
        <v>0</v>
      </c>
      <c r="BE12" s="129">
        <v>0</v>
      </c>
      <c r="BF12" s="129">
        <v>-5015912</v>
      </c>
      <c r="BG12" s="129">
        <v>0</v>
      </c>
      <c r="BH12" s="129">
        <v>0</v>
      </c>
      <c r="BI12" s="129">
        <v>0</v>
      </c>
      <c r="BJ12" s="129">
        <v>-5015912</v>
      </c>
      <c r="BK12" s="129">
        <v>0</v>
      </c>
      <c r="BL12" s="129">
        <v>-5015912</v>
      </c>
      <c r="BM12" s="129">
        <v>0</v>
      </c>
      <c r="BN12" s="129">
        <v>0</v>
      </c>
      <c r="BO12" s="129">
        <v>0</v>
      </c>
      <c r="BP12" s="129">
        <v>-976921</v>
      </c>
      <c r="BQ12" s="129">
        <v>0</v>
      </c>
      <c r="BR12" s="129">
        <v>-976921</v>
      </c>
      <c r="BS12" s="129">
        <v>-976921</v>
      </c>
      <c r="BT12" s="129">
        <v>0</v>
      </c>
      <c r="BU12" s="129">
        <v>0</v>
      </c>
      <c r="BV12" s="129">
        <v>0</v>
      </c>
      <c r="BW12" s="129">
        <v>-976921</v>
      </c>
      <c r="BX12" s="129">
        <v>0</v>
      </c>
      <c r="BY12" s="129">
        <v>-976921</v>
      </c>
      <c r="BZ12" s="129">
        <v>-153468</v>
      </c>
      <c r="CA12" s="129">
        <v>0</v>
      </c>
      <c r="CB12" s="129">
        <v>-153468</v>
      </c>
      <c r="CC12" s="129">
        <v>-44251</v>
      </c>
      <c r="CD12" s="129">
        <v>0</v>
      </c>
      <c r="CE12" s="129">
        <v>-44251</v>
      </c>
      <c r="CF12" s="129">
        <v>0</v>
      </c>
      <c r="CG12" s="129">
        <v>0</v>
      </c>
      <c r="CH12" s="129">
        <v>0</v>
      </c>
      <c r="CI12" s="129">
        <v>0</v>
      </c>
      <c r="CJ12" s="129">
        <v>0</v>
      </c>
      <c r="CK12" s="129">
        <v>0</v>
      </c>
      <c r="CL12" s="129">
        <v>-4421</v>
      </c>
      <c r="CM12" s="129">
        <v>0</v>
      </c>
      <c r="CN12" s="129">
        <v>-4421</v>
      </c>
      <c r="CO12" s="129">
        <v>0</v>
      </c>
      <c r="CP12" s="129">
        <v>0</v>
      </c>
      <c r="CQ12" s="129">
        <v>0</v>
      </c>
      <c r="CR12" s="129">
        <v>0</v>
      </c>
      <c r="CS12" s="129">
        <v>0</v>
      </c>
      <c r="CT12" s="129">
        <v>-202140</v>
      </c>
      <c r="CU12" s="129">
        <v>0</v>
      </c>
      <c r="CV12" s="129">
        <v>0</v>
      </c>
      <c r="CW12" s="129">
        <v>0</v>
      </c>
      <c r="CX12" s="129">
        <v>-202140</v>
      </c>
      <c r="CY12" s="129">
        <v>0</v>
      </c>
      <c r="CZ12" s="129">
        <v>-202140</v>
      </c>
      <c r="DA12" s="129">
        <v>-11098</v>
      </c>
      <c r="DB12" s="129">
        <v>0</v>
      </c>
      <c r="DC12" s="129">
        <v>-11098</v>
      </c>
      <c r="DD12" s="129">
        <v>-12640</v>
      </c>
      <c r="DE12" s="129">
        <v>0</v>
      </c>
      <c r="DF12" s="129">
        <v>-12640</v>
      </c>
      <c r="DG12" s="129">
        <v>0</v>
      </c>
      <c r="DH12" s="129">
        <v>0</v>
      </c>
      <c r="DI12" s="129">
        <v>0</v>
      </c>
      <c r="DJ12" s="129">
        <v>-23738</v>
      </c>
      <c r="DK12" s="129">
        <v>0</v>
      </c>
      <c r="DL12" s="129">
        <v>0</v>
      </c>
      <c r="DM12" s="129">
        <v>0</v>
      </c>
      <c r="DN12" s="129">
        <v>-23738</v>
      </c>
      <c r="DO12" s="129">
        <v>0</v>
      </c>
      <c r="DP12" s="129">
        <v>-23738</v>
      </c>
      <c r="DQ12" s="129">
        <v>39798387</v>
      </c>
      <c r="DR12" s="129">
        <v>0</v>
      </c>
      <c r="DS12" s="129">
        <v>39798387</v>
      </c>
      <c r="DT12" s="662" t="s">
        <v>635</v>
      </c>
      <c r="DU12" s="324" t="s">
        <v>559</v>
      </c>
      <c r="DV12" s="663" t="s">
        <v>558</v>
      </c>
      <c r="DW12" s="529" t="s">
        <v>1209</v>
      </c>
    </row>
    <row r="13" spans="1:127" ht="12.75" x14ac:dyDescent="0.2">
      <c r="A13" s="664">
        <v>6</v>
      </c>
      <c r="B13" s="665" t="s">
        <v>638</v>
      </c>
      <c r="C13" s="666" t="s">
        <v>1201</v>
      </c>
      <c r="D13" s="667" t="s">
        <v>1202</v>
      </c>
      <c r="E13" s="668" t="s">
        <v>637</v>
      </c>
      <c r="F13" s="753" t="s">
        <v>1878</v>
      </c>
      <c r="G13" s="129">
        <v>133444567</v>
      </c>
      <c r="H13" s="129">
        <v>0</v>
      </c>
      <c r="I13" s="129">
        <v>133444567</v>
      </c>
      <c r="J13" s="793">
        <v>49.9</v>
      </c>
      <c r="K13" s="129">
        <v>66588839</v>
      </c>
      <c r="L13" s="129">
        <v>0</v>
      </c>
      <c r="M13" s="129">
        <v>0</v>
      </c>
      <c r="N13" s="129">
        <v>0</v>
      </c>
      <c r="O13" s="129">
        <v>66588839</v>
      </c>
      <c r="P13" s="129">
        <v>0</v>
      </c>
      <c r="Q13" s="129">
        <v>66588839</v>
      </c>
      <c r="R13" s="129">
        <v>-132728</v>
      </c>
      <c r="S13" s="129">
        <v>0</v>
      </c>
      <c r="T13" s="129">
        <v>-132728</v>
      </c>
      <c r="U13" s="129">
        <v>74255</v>
      </c>
      <c r="V13" s="129">
        <v>0</v>
      </c>
      <c r="W13" s="129">
        <v>74255</v>
      </c>
      <c r="X13" s="129">
        <v>-58473</v>
      </c>
      <c r="Y13" s="129">
        <v>0</v>
      </c>
      <c r="Z13" s="129">
        <v>-4000</v>
      </c>
      <c r="AA13" s="129">
        <v>0</v>
      </c>
      <c r="AB13" s="129">
        <v>-62473</v>
      </c>
      <c r="AC13" s="129">
        <v>0</v>
      </c>
      <c r="AD13" s="129">
        <v>-62473</v>
      </c>
      <c r="AE13" s="129">
        <v>62473</v>
      </c>
      <c r="AF13" s="129">
        <v>0</v>
      </c>
      <c r="AG13" s="129">
        <v>62473</v>
      </c>
      <c r="AH13" s="129">
        <v>-5389184</v>
      </c>
      <c r="AI13" s="129">
        <v>0</v>
      </c>
      <c r="AJ13" s="129">
        <v>-5389184</v>
      </c>
      <c r="AK13" s="129">
        <v>-25000</v>
      </c>
      <c r="AL13" s="129">
        <v>0</v>
      </c>
      <c r="AM13" s="129">
        <v>-25000</v>
      </c>
      <c r="AN13" s="129">
        <v>1239967</v>
      </c>
      <c r="AO13" s="129">
        <v>0</v>
      </c>
      <c r="AP13" s="129">
        <v>1239967</v>
      </c>
      <c r="AQ13" s="129">
        <v>-4149217</v>
      </c>
      <c r="AR13" s="129">
        <v>0</v>
      </c>
      <c r="AS13" s="129">
        <v>-4149217</v>
      </c>
      <c r="AT13" s="129">
        <v>-3936859</v>
      </c>
      <c r="AU13" s="129">
        <v>0</v>
      </c>
      <c r="AV13" s="129">
        <v>-3936859</v>
      </c>
      <c r="AW13" s="129">
        <v>-100663</v>
      </c>
      <c r="AX13" s="129">
        <v>0</v>
      </c>
      <c r="AY13" s="129">
        <v>-100663</v>
      </c>
      <c r="AZ13" s="129">
        <v>-25091</v>
      </c>
      <c r="BA13" s="129">
        <v>0</v>
      </c>
      <c r="BB13" s="129">
        <v>-25091</v>
      </c>
      <c r="BC13" s="129">
        <v>0</v>
      </c>
      <c r="BD13" s="129">
        <v>0</v>
      </c>
      <c r="BE13" s="129">
        <v>0</v>
      </c>
      <c r="BF13" s="129">
        <v>-8211830</v>
      </c>
      <c r="BG13" s="129">
        <v>0</v>
      </c>
      <c r="BH13" s="129">
        <v>-300000</v>
      </c>
      <c r="BI13" s="129">
        <v>0</v>
      </c>
      <c r="BJ13" s="129">
        <v>-8511830</v>
      </c>
      <c r="BK13" s="129">
        <v>0</v>
      </c>
      <c r="BL13" s="129">
        <v>-8511830</v>
      </c>
      <c r="BM13" s="129">
        <v>0</v>
      </c>
      <c r="BN13" s="129">
        <v>0</v>
      </c>
      <c r="BO13" s="129">
        <v>0</v>
      </c>
      <c r="BP13" s="129">
        <v>-1579704</v>
      </c>
      <c r="BQ13" s="129">
        <v>0</v>
      </c>
      <c r="BR13" s="129">
        <v>-1579704</v>
      </c>
      <c r="BS13" s="129">
        <v>-1579704</v>
      </c>
      <c r="BT13" s="129">
        <v>0</v>
      </c>
      <c r="BU13" s="129">
        <v>-1100000</v>
      </c>
      <c r="BV13" s="129">
        <v>0</v>
      </c>
      <c r="BW13" s="129">
        <v>-2679704</v>
      </c>
      <c r="BX13" s="129">
        <v>0</v>
      </c>
      <c r="BY13" s="129">
        <v>-2679704</v>
      </c>
      <c r="BZ13" s="129">
        <v>-111010</v>
      </c>
      <c r="CA13" s="129">
        <v>0</v>
      </c>
      <c r="CB13" s="129">
        <v>-111010</v>
      </c>
      <c r="CC13" s="129">
        <v>-55032</v>
      </c>
      <c r="CD13" s="129">
        <v>0</v>
      </c>
      <c r="CE13" s="129">
        <v>-55032</v>
      </c>
      <c r="CF13" s="129">
        <v>-13876</v>
      </c>
      <c r="CG13" s="129">
        <v>0</v>
      </c>
      <c r="CH13" s="129">
        <v>-13876</v>
      </c>
      <c r="CI13" s="129">
        <v>0</v>
      </c>
      <c r="CJ13" s="129">
        <v>0</v>
      </c>
      <c r="CK13" s="129">
        <v>0</v>
      </c>
      <c r="CL13" s="129">
        <v>-48091</v>
      </c>
      <c r="CM13" s="129">
        <v>0</v>
      </c>
      <c r="CN13" s="129">
        <v>-48091</v>
      </c>
      <c r="CO13" s="129">
        <v>0</v>
      </c>
      <c r="CP13" s="129">
        <v>0</v>
      </c>
      <c r="CQ13" s="129">
        <v>0</v>
      </c>
      <c r="CR13" s="129">
        <v>0</v>
      </c>
      <c r="CS13" s="129">
        <v>0</v>
      </c>
      <c r="CT13" s="129">
        <v>-228009</v>
      </c>
      <c r="CU13" s="129">
        <v>0</v>
      </c>
      <c r="CV13" s="129">
        <v>-94737</v>
      </c>
      <c r="CW13" s="129">
        <v>0</v>
      </c>
      <c r="CX13" s="129">
        <v>-322746</v>
      </c>
      <c r="CY13" s="129">
        <v>0</v>
      </c>
      <c r="CZ13" s="129">
        <v>-322746</v>
      </c>
      <c r="DA13" s="129">
        <v>-15824</v>
      </c>
      <c r="DB13" s="129">
        <v>0</v>
      </c>
      <c r="DC13" s="129">
        <v>-15824</v>
      </c>
      <c r="DD13" s="129">
        <v>-20948</v>
      </c>
      <c r="DE13" s="129">
        <v>0</v>
      </c>
      <c r="DF13" s="129">
        <v>-20948</v>
      </c>
      <c r="DG13" s="129">
        <v>0</v>
      </c>
      <c r="DH13" s="129">
        <v>0</v>
      </c>
      <c r="DI13" s="129">
        <v>0</v>
      </c>
      <c r="DJ13" s="129">
        <v>-36772</v>
      </c>
      <c r="DK13" s="129">
        <v>0</v>
      </c>
      <c r="DL13" s="129">
        <v>-1000</v>
      </c>
      <c r="DM13" s="129">
        <v>0</v>
      </c>
      <c r="DN13" s="129">
        <v>-37772</v>
      </c>
      <c r="DO13" s="129">
        <v>0</v>
      </c>
      <c r="DP13" s="129">
        <v>-37772</v>
      </c>
      <c r="DQ13" s="129">
        <v>54974314</v>
      </c>
      <c r="DR13" s="129">
        <v>0</v>
      </c>
      <c r="DS13" s="129">
        <v>54974314</v>
      </c>
      <c r="DT13" s="662" t="s">
        <v>637</v>
      </c>
      <c r="DU13" s="324" t="s">
        <v>543</v>
      </c>
      <c r="DV13" s="663" t="s">
        <v>542</v>
      </c>
      <c r="DW13" s="529" t="s">
        <v>1210</v>
      </c>
    </row>
    <row r="14" spans="1:127" ht="12.75" x14ac:dyDescent="0.2">
      <c r="A14" s="664">
        <v>7</v>
      </c>
      <c r="B14" s="665" t="s">
        <v>640</v>
      </c>
      <c r="C14" s="666" t="s">
        <v>1201</v>
      </c>
      <c r="D14" s="667" t="s">
        <v>1211</v>
      </c>
      <c r="E14" s="668" t="s">
        <v>639</v>
      </c>
      <c r="F14" s="753" t="s">
        <v>1879</v>
      </c>
      <c r="G14" s="129">
        <v>64305853</v>
      </c>
      <c r="H14" s="129">
        <v>1697750</v>
      </c>
      <c r="I14" s="129">
        <v>66003603</v>
      </c>
      <c r="J14" s="793">
        <v>49.9</v>
      </c>
      <c r="K14" s="129">
        <v>32088621</v>
      </c>
      <c r="L14" s="129">
        <v>847177</v>
      </c>
      <c r="M14" s="129">
        <v>89600</v>
      </c>
      <c r="N14" s="129">
        <v>384000</v>
      </c>
      <c r="O14" s="129">
        <v>32178221</v>
      </c>
      <c r="P14" s="129">
        <v>1231177</v>
      </c>
      <c r="Q14" s="129">
        <v>33409398</v>
      </c>
      <c r="R14" s="129">
        <v>-66173</v>
      </c>
      <c r="S14" s="129">
        <v>0</v>
      </c>
      <c r="T14" s="129">
        <v>-66173</v>
      </c>
      <c r="U14" s="129">
        <v>122921</v>
      </c>
      <c r="V14" s="129">
        <v>0</v>
      </c>
      <c r="W14" s="129">
        <v>122921</v>
      </c>
      <c r="X14" s="129">
        <v>56748</v>
      </c>
      <c r="Y14" s="129">
        <v>0</v>
      </c>
      <c r="Z14" s="129">
        <v>0</v>
      </c>
      <c r="AA14" s="129">
        <v>0</v>
      </c>
      <c r="AB14" s="129">
        <v>56748</v>
      </c>
      <c r="AC14" s="129">
        <v>0</v>
      </c>
      <c r="AD14" s="129">
        <v>56748</v>
      </c>
      <c r="AE14" s="129">
        <v>-56748</v>
      </c>
      <c r="AF14" s="129">
        <v>0</v>
      </c>
      <c r="AG14" s="129">
        <v>-56748</v>
      </c>
      <c r="AH14" s="129">
        <v>-4278289</v>
      </c>
      <c r="AI14" s="129">
        <v>0</v>
      </c>
      <c r="AJ14" s="129">
        <v>-4278289</v>
      </c>
      <c r="AK14" s="129">
        <v>-5240</v>
      </c>
      <c r="AL14" s="129">
        <v>0</v>
      </c>
      <c r="AM14" s="129">
        <v>-5240</v>
      </c>
      <c r="AN14" s="129">
        <v>489689</v>
      </c>
      <c r="AO14" s="129">
        <v>22071</v>
      </c>
      <c r="AP14" s="129">
        <v>511760</v>
      </c>
      <c r="AQ14" s="129">
        <v>-3788600</v>
      </c>
      <c r="AR14" s="129">
        <v>22071</v>
      </c>
      <c r="AS14" s="129">
        <v>-3766529</v>
      </c>
      <c r="AT14" s="129">
        <v>-2381745</v>
      </c>
      <c r="AU14" s="129">
        <v>0</v>
      </c>
      <c r="AV14" s="129">
        <v>-2381745</v>
      </c>
      <c r="AW14" s="129">
        <v>-53563</v>
      </c>
      <c r="AX14" s="129">
        <v>0</v>
      </c>
      <c r="AY14" s="129">
        <v>-53563</v>
      </c>
      <c r="AZ14" s="129">
        <v>-73509</v>
      </c>
      <c r="BA14" s="129">
        <v>0</v>
      </c>
      <c r="BB14" s="129">
        <v>-73509</v>
      </c>
      <c r="BC14" s="129">
        <v>0</v>
      </c>
      <c r="BD14" s="129">
        <v>0</v>
      </c>
      <c r="BE14" s="129">
        <v>0</v>
      </c>
      <c r="BF14" s="129">
        <v>-6297417</v>
      </c>
      <c r="BG14" s="129">
        <v>22071</v>
      </c>
      <c r="BH14" s="129">
        <v>0</v>
      </c>
      <c r="BI14" s="129">
        <v>0</v>
      </c>
      <c r="BJ14" s="129">
        <v>-6297417</v>
      </c>
      <c r="BK14" s="129">
        <v>22071</v>
      </c>
      <c r="BL14" s="129">
        <v>-6275346</v>
      </c>
      <c r="BM14" s="129">
        <v>-329530</v>
      </c>
      <c r="BN14" s="129">
        <v>0</v>
      </c>
      <c r="BO14" s="129">
        <v>-329530</v>
      </c>
      <c r="BP14" s="129">
        <v>-1087805</v>
      </c>
      <c r="BQ14" s="129">
        <v>-19328</v>
      </c>
      <c r="BR14" s="129">
        <v>-1107133</v>
      </c>
      <c r="BS14" s="129">
        <v>-1417335</v>
      </c>
      <c r="BT14" s="129">
        <v>-19328</v>
      </c>
      <c r="BU14" s="129">
        <v>0</v>
      </c>
      <c r="BV14" s="129">
        <v>0</v>
      </c>
      <c r="BW14" s="129">
        <v>-1417335</v>
      </c>
      <c r="BX14" s="129">
        <v>-19328</v>
      </c>
      <c r="BY14" s="129">
        <v>-1436663</v>
      </c>
      <c r="BZ14" s="129">
        <v>-51694</v>
      </c>
      <c r="CA14" s="129">
        <v>0</v>
      </c>
      <c r="CB14" s="129">
        <v>-51694</v>
      </c>
      <c r="CC14" s="129">
        <v>-34244</v>
      </c>
      <c r="CD14" s="129">
        <v>0</v>
      </c>
      <c r="CE14" s="129">
        <v>-34244</v>
      </c>
      <c r="CF14" s="129">
        <v>-5953</v>
      </c>
      <c r="CG14" s="129">
        <v>0</v>
      </c>
      <c r="CH14" s="129">
        <v>-5953</v>
      </c>
      <c r="CI14" s="129">
        <v>0</v>
      </c>
      <c r="CJ14" s="129">
        <v>0</v>
      </c>
      <c r="CK14" s="129">
        <v>0</v>
      </c>
      <c r="CL14" s="129">
        <v>-16367</v>
      </c>
      <c r="CM14" s="129">
        <v>0</v>
      </c>
      <c r="CN14" s="129">
        <v>-16367</v>
      </c>
      <c r="CO14" s="129">
        <v>0</v>
      </c>
      <c r="CP14" s="129">
        <v>0</v>
      </c>
      <c r="CQ14" s="129">
        <v>0</v>
      </c>
      <c r="CR14" s="129">
        <v>0</v>
      </c>
      <c r="CS14" s="129">
        <v>0</v>
      </c>
      <c r="CT14" s="129">
        <v>-108258</v>
      </c>
      <c r="CU14" s="129">
        <v>0</v>
      </c>
      <c r="CV14" s="129">
        <v>0</v>
      </c>
      <c r="CW14" s="129">
        <v>0</v>
      </c>
      <c r="CX14" s="129">
        <v>-108258</v>
      </c>
      <c r="CY14" s="129">
        <v>0</v>
      </c>
      <c r="CZ14" s="129">
        <v>-108258</v>
      </c>
      <c r="DA14" s="129">
        <v>-73509</v>
      </c>
      <c r="DB14" s="129">
        <v>0</v>
      </c>
      <c r="DC14" s="129">
        <v>-73509</v>
      </c>
      <c r="DD14" s="129">
        <v>-19015</v>
      </c>
      <c r="DE14" s="129">
        <v>0</v>
      </c>
      <c r="DF14" s="129">
        <v>-19015</v>
      </c>
      <c r="DG14" s="129">
        <v>-1500</v>
      </c>
      <c r="DH14" s="129">
        <v>0</v>
      </c>
      <c r="DI14" s="129">
        <v>-1500</v>
      </c>
      <c r="DJ14" s="129">
        <v>-94024</v>
      </c>
      <c r="DK14" s="129">
        <v>0</v>
      </c>
      <c r="DL14" s="129">
        <v>0</v>
      </c>
      <c r="DM14" s="129">
        <v>0</v>
      </c>
      <c r="DN14" s="129">
        <v>-94024</v>
      </c>
      <c r="DO14" s="129">
        <v>0</v>
      </c>
      <c r="DP14" s="129">
        <v>-94024</v>
      </c>
      <c r="DQ14" s="129">
        <v>24317935</v>
      </c>
      <c r="DR14" s="129">
        <v>1233920</v>
      </c>
      <c r="DS14" s="129">
        <v>25551855</v>
      </c>
      <c r="DT14" s="662" t="s">
        <v>639</v>
      </c>
      <c r="DU14" s="324" t="s">
        <v>565</v>
      </c>
      <c r="DV14" s="663" t="s">
        <v>512</v>
      </c>
      <c r="DW14" s="529" t="s">
        <v>1212</v>
      </c>
    </row>
    <row r="15" spans="1:127" ht="12.75" x14ac:dyDescent="0.2">
      <c r="A15" s="664">
        <v>8</v>
      </c>
      <c r="B15" s="665" t="s">
        <v>642</v>
      </c>
      <c r="C15" s="666" t="s">
        <v>1213</v>
      </c>
      <c r="D15" s="667" t="s">
        <v>1214</v>
      </c>
      <c r="E15" s="668" t="s">
        <v>641</v>
      </c>
      <c r="F15" s="753" t="s">
        <v>1880</v>
      </c>
      <c r="G15" s="129">
        <v>154366976</v>
      </c>
      <c r="H15" s="129">
        <v>0</v>
      </c>
      <c r="I15" s="129">
        <v>154366976</v>
      </c>
      <c r="J15" s="793">
        <v>49.9</v>
      </c>
      <c r="K15" s="129">
        <v>77029121</v>
      </c>
      <c r="L15" s="129">
        <v>0</v>
      </c>
      <c r="M15" s="129">
        <v>0</v>
      </c>
      <c r="N15" s="129">
        <v>0</v>
      </c>
      <c r="O15" s="129">
        <v>77029121</v>
      </c>
      <c r="P15" s="129">
        <v>0</v>
      </c>
      <c r="Q15" s="129">
        <v>77029121</v>
      </c>
      <c r="R15" s="129">
        <v>-142252</v>
      </c>
      <c r="S15" s="129">
        <v>0</v>
      </c>
      <c r="T15" s="129">
        <v>-142252</v>
      </c>
      <c r="U15" s="129">
        <v>103067</v>
      </c>
      <c r="V15" s="129">
        <v>0</v>
      </c>
      <c r="W15" s="129">
        <v>103067</v>
      </c>
      <c r="X15" s="129">
        <v>-39185</v>
      </c>
      <c r="Y15" s="129">
        <v>0</v>
      </c>
      <c r="Z15" s="129">
        <v>0</v>
      </c>
      <c r="AA15" s="129">
        <v>0</v>
      </c>
      <c r="AB15" s="129">
        <v>-39185</v>
      </c>
      <c r="AC15" s="129">
        <v>0</v>
      </c>
      <c r="AD15" s="129">
        <v>-39185</v>
      </c>
      <c r="AE15" s="129">
        <v>39185</v>
      </c>
      <c r="AF15" s="129">
        <v>0</v>
      </c>
      <c r="AG15" s="129">
        <v>39185</v>
      </c>
      <c r="AH15" s="129">
        <v>-5589775</v>
      </c>
      <c r="AI15" s="129">
        <v>0</v>
      </c>
      <c r="AJ15" s="129">
        <v>-5589775</v>
      </c>
      <c r="AK15" s="129">
        <v>-14072</v>
      </c>
      <c r="AL15" s="129">
        <v>0</v>
      </c>
      <c r="AM15" s="129">
        <v>-14072</v>
      </c>
      <c r="AN15" s="129">
        <v>1478343</v>
      </c>
      <c r="AO15" s="129">
        <v>0</v>
      </c>
      <c r="AP15" s="129">
        <v>1478343</v>
      </c>
      <c r="AQ15" s="129">
        <v>-4111432</v>
      </c>
      <c r="AR15" s="129">
        <v>0</v>
      </c>
      <c r="AS15" s="129">
        <v>-4111432</v>
      </c>
      <c r="AT15" s="129">
        <v>-5388882</v>
      </c>
      <c r="AU15" s="129">
        <v>0</v>
      </c>
      <c r="AV15" s="129">
        <v>-5388882</v>
      </c>
      <c r="AW15" s="129">
        <v>-2610</v>
      </c>
      <c r="AX15" s="129">
        <v>0</v>
      </c>
      <c r="AY15" s="129">
        <v>-2610</v>
      </c>
      <c r="AZ15" s="129">
        <v>0</v>
      </c>
      <c r="BA15" s="129">
        <v>0</v>
      </c>
      <c r="BB15" s="129">
        <v>0</v>
      </c>
      <c r="BC15" s="129">
        <v>0</v>
      </c>
      <c r="BD15" s="129">
        <v>0</v>
      </c>
      <c r="BE15" s="129">
        <v>0</v>
      </c>
      <c r="BF15" s="129">
        <v>-9502924</v>
      </c>
      <c r="BG15" s="129">
        <v>0</v>
      </c>
      <c r="BH15" s="129">
        <v>0</v>
      </c>
      <c r="BI15" s="129">
        <v>0</v>
      </c>
      <c r="BJ15" s="129">
        <v>-9502924</v>
      </c>
      <c r="BK15" s="129">
        <v>0</v>
      </c>
      <c r="BL15" s="129">
        <v>-9502924</v>
      </c>
      <c r="BM15" s="129">
        <v>0</v>
      </c>
      <c r="BN15" s="129">
        <v>0</v>
      </c>
      <c r="BO15" s="129">
        <v>0</v>
      </c>
      <c r="BP15" s="129">
        <v>-1960860</v>
      </c>
      <c r="BQ15" s="129">
        <v>0</v>
      </c>
      <c r="BR15" s="129">
        <v>-1960860</v>
      </c>
      <c r="BS15" s="129">
        <v>-1960860</v>
      </c>
      <c r="BT15" s="129">
        <v>0</v>
      </c>
      <c r="BU15" s="129">
        <v>0</v>
      </c>
      <c r="BV15" s="129">
        <v>0</v>
      </c>
      <c r="BW15" s="129">
        <v>-1960860</v>
      </c>
      <c r="BX15" s="129">
        <v>0</v>
      </c>
      <c r="BY15" s="129">
        <v>-1960860</v>
      </c>
      <c r="BZ15" s="129">
        <v>-215685</v>
      </c>
      <c r="CA15" s="129">
        <v>0</v>
      </c>
      <c r="CB15" s="129">
        <v>-215685</v>
      </c>
      <c r="CC15" s="129">
        <v>0</v>
      </c>
      <c r="CD15" s="129">
        <v>0</v>
      </c>
      <c r="CE15" s="129">
        <v>0</v>
      </c>
      <c r="CF15" s="129">
        <v>-6703</v>
      </c>
      <c r="CG15" s="129">
        <v>0</v>
      </c>
      <c r="CH15" s="129">
        <v>-6703</v>
      </c>
      <c r="CI15" s="129">
        <v>0</v>
      </c>
      <c r="CJ15" s="129">
        <v>0</v>
      </c>
      <c r="CK15" s="129">
        <v>0</v>
      </c>
      <c r="CL15" s="129">
        <v>0</v>
      </c>
      <c r="CM15" s="129">
        <v>0</v>
      </c>
      <c r="CN15" s="129">
        <v>0</v>
      </c>
      <c r="CO15" s="129">
        <v>0</v>
      </c>
      <c r="CP15" s="129">
        <v>0</v>
      </c>
      <c r="CQ15" s="129">
        <v>0</v>
      </c>
      <c r="CR15" s="129">
        <v>0</v>
      </c>
      <c r="CS15" s="129">
        <v>0</v>
      </c>
      <c r="CT15" s="129">
        <v>-222388</v>
      </c>
      <c r="CU15" s="129">
        <v>0</v>
      </c>
      <c r="CV15" s="129">
        <v>0</v>
      </c>
      <c r="CW15" s="129">
        <v>0</v>
      </c>
      <c r="CX15" s="129">
        <v>-222388</v>
      </c>
      <c r="CY15" s="129">
        <v>0</v>
      </c>
      <c r="CZ15" s="129">
        <v>-222388</v>
      </c>
      <c r="DA15" s="129">
        <v>0</v>
      </c>
      <c r="DB15" s="129">
        <v>0</v>
      </c>
      <c r="DC15" s="129">
        <v>0</v>
      </c>
      <c r="DD15" s="129">
        <v>-7841</v>
      </c>
      <c r="DE15" s="129">
        <v>0</v>
      </c>
      <c r="DF15" s="129">
        <v>-7841</v>
      </c>
      <c r="DG15" s="129">
        <v>0</v>
      </c>
      <c r="DH15" s="129">
        <v>0</v>
      </c>
      <c r="DI15" s="129">
        <v>0</v>
      </c>
      <c r="DJ15" s="129">
        <v>-7841</v>
      </c>
      <c r="DK15" s="129">
        <v>0</v>
      </c>
      <c r="DL15" s="129">
        <v>0</v>
      </c>
      <c r="DM15" s="129">
        <v>0</v>
      </c>
      <c r="DN15" s="129">
        <v>-7841</v>
      </c>
      <c r="DO15" s="129">
        <v>0</v>
      </c>
      <c r="DP15" s="129">
        <v>-7841</v>
      </c>
      <c r="DQ15" s="129">
        <v>65295923</v>
      </c>
      <c r="DR15" s="129">
        <v>0</v>
      </c>
      <c r="DS15" s="129">
        <v>65295923</v>
      </c>
      <c r="DT15" s="662" t="s">
        <v>641</v>
      </c>
      <c r="DU15" s="324" t="s">
        <v>576</v>
      </c>
      <c r="DV15" s="669" t="s">
        <v>485</v>
      </c>
      <c r="DW15" s="529" t="s">
        <v>1215</v>
      </c>
    </row>
    <row r="16" spans="1:127" ht="12.75" x14ac:dyDescent="0.2">
      <c r="A16" s="664">
        <v>9</v>
      </c>
      <c r="B16" s="665" t="s">
        <v>644</v>
      </c>
      <c r="C16" s="666" t="s">
        <v>1213</v>
      </c>
      <c r="D16" s="667" t="s">
        <v>1214</v>
      </c>
      <c r="E16" s="668" t="s">
        <v>643</v>
      </c>
      <c r="F16" s="753" t="s">
        <v>1881</v>
      </c>
      <c r="G16" s="129">
        <v>257207714</v>
      </c>
      <c r="H16" s="129">
        <v>39811601</v>
      </c>
      <c r="I16" s="129">
        <v>297019315</v>
      </c>
      <c r="J16" s="793">
        <v>49.9</v>
      </c>
      <c r="K16" s="129">
        <v>128346649</v>
      </c>
      <c r="L16" s="129">
        <v>19865989</v>
      </c>
      <c r="M16" s="129">
        <v>-441768</v>
      </c>
      <c r="N16" s="129">
        <v>-378317</v>
      </c>
      <c r="O16" s="129">
        <v>127904881</v>
      </c>
      <c r="P16" s="129">
        <v>19487672</v>
      </c>
      <c r="Q16" s="129">
        <v>147392553</v>
      </c>
      <c r="R16" s="129">
        <v>-347615</v>
      </c>
      <c r="S16" s="129">
        <v>-3735</v>
      </c>
      <c r="T16" s="129">
        <v>-351350</v>
      </c>
      <c r="U16" s="129">
        <v>112071</v>
      </c>
      <c r="V16" s="129">
        <v>865874</v>
      </c>
      <c r="W16" s="129">
        <v>977945</v>
      </c>
      <c r="X16" s="129">
        <v>-235544</v>
      </c>
      <c r="Y16" s="129">
        <v>862139</v>
      </c>
      <c r="Z16" s="129">
        <v>78368</v>
      </c>
      <c r="AA16" s="129">
        <v>94377</v>
      </c>
      <c r="AB16" s="129">
        <v>-157176</v>
      </c>
      <c r="AC16" s="129">
        <v>956516</v>
      </c>
      <c r="AD16" s="129">
        <v>799340</v>
      </c>
      <c r="AE16" s="129">
        <v>157176</v>
      </c>
      <c r="AF16" s="129">
        <v>-956516</v>
      </c>
      <c r="AG16" s="129">
        <v>-799340</v>
      </c>
      <c r="AH16" s="129">
        <v>-8658002</v>
      </c>
      <c r="AI16" s="129">
        <v>-9938</v>
      </c>
      <c r="AJ16" s="129">
        <v>-8667940</v>
      </c>
      <c r="AK16" s="129">
        <v>0</v>
      </c>
      <c r="AL16" s="129">
        <v>0</v>
      </c>
      <c r="AM16" s="129">
        <v>0</v>
      </c>
      <c r="AN16" s="129">
        <v>2135430</v>
      </c>
      <c r="AO16" s="129">
        <v>508428</v>
      </c>
      <c r="AP16" s="129">
        <v>2643858</v>
      </c>
      <c r="AQ16" s="129">
        <v>-6522572</v>
      </c>
      <c r="AR16" s="129">
        <v>498490</v>
      </c>
      <c r="AS16" s="129">
        <v>-6024082</v>
      </c>
      <c r="AT16" s="129">
        <v>-14187098</v>
      </c>
      <c r="AU16" s="129">
        <v>0</v>
      </c>
      <c r="AV16" s="129">
        <v>-14187098</v>
      </c>
      <c r="AW16" s="129">
        <v>-199086</v>
      </c>
      <c r="AX16" s="129">
        <v>0</v>
      </c>
      <c r="AY16" s="129">
        <v>-199086</v>
      </c>
      <c r="AZ16" s="129">
        <v>0</v>
      </c>
      <c r="BA16" s="129">
        <v>0</v>
      </c>
      <c r="BB16" s="129">
        <v>0</v>
      </c>
      <c r="BC16" s="129">
        <v>0</v>
      </c>
      <c r="BD16" s="129">
        <v>0</v>
      </c>
      <c r="BE16" s="129">
        <v>0</v>
      </c>
      <c r="BF16" s="129">
        <v>-20908756</v>
      </c>
      <c r="BG16" s="129">
        <v>498490</v>
      </c>
      <c r="BH16" s="129">
        <v>-867564</v>
      </c>
      <c r="BI16" s="129">
        <v>-13022</v>
      </c>
      <c r="BJ16" s="129">
        <v>-21776320</v>
      </c>
      <c r="BK16" s="129">
        <v>485468</v>
      </c>
      <c r="BL16" s="129">
        <v>-21290852</v>
      </c>
      <c r="BM16" s="129">
        <v>0</v>
      </c>
      <c r="BN16" s="129">
        <v>0</v>
      </c>
      <c r="BO16" s="129">
        <v>0</v>
      </c>
      <c r="BP16" s="129">
        <v>-2065309</v>
      </c>
      <c r="BQ16" s="129">
        <v>-1593400</v>
      </c>
      <c r="BR16" s="129">
        <v>-3658709</v>
      </c>
      <c r="BS16" s="129">
        <v>-2065309</v>
      </c>
      <c r="BT16" s="129">
        <v>-1593400</v>
      </c>
      <c r="BU16" s="129">
        <v>0</v>
      </c>
      <c r="BV16" s="129">
        <v>0</v>
      </c>
      <c r="BW16" s="129">
        <v>-2065309</v>
      </c>
      <c r="BX16" s="129">
        <v>-1593400</v>
      </c>
      <c r="BY16" s="129">
        <v>-3658709</v>
      </c>
      <c r="BZ16" s="129">
        <v>-247740</v>
      </c>
      <c r="CA16" s="129">
        <v>0</v>
      </c>
      <c r="CB16" s="129">
        <v>-247740</v>
      </c>
      <c r="CC16" s="129">
        <v>-21562</v>
      </c>
      <c r="CD16" s="129">
        <v>0</v>
      </c>
      <c r="CE16" s="129">
        <v>-21562</v>
      </c>
      <c r="CF16" s="129">
        <v>-3792</v>
      </c>
      <c r="CG16" s="129">
        <v>0</v>
      </c>
      <c r="CH16" s="129">
        <v>-3792</v>
      </c>
      <c r="CI16" s="129">
        <v>0</v>
      </c>
      <c r="CJ16" s="129">
        <v>0</v>
      </c>
      <c r="CK16" s="129">
        <v>0</v>
      </c>
      <c r="CL16" s="129">
        <v>0</v>
      </c>
      <c r="CM16" s="129">
        <v>0</v>
      </c>
      <c r="CN16" s="129">
        <v>0</v>
      </c>
      <c r="CO16" s="129">
        <v>0</v>
      </c>
      <c r="CP16" s="129">
        <v>0</v>
      </c>
      <c r="CQ16" s="129">
        <v>0</v>
      </c>
      <c r="CR16" s="129">
        <v>0</v>
      </c>
      <c r="CS16" s="129">
        <v>0</v>
      </c>
      <c r="CT16" s="129">
        <v>-273094</v>
      </c>
      <c r="CU16" s="129">
        <v>0</v>
      </c>
      <c r="CV16" s="129">
        <v>0</v>
      </c>
      <c r="CW16" s="129">
        <v>0</v>
      </c>
      <c r="CX16" s="129">
        <v>-273094</v>
      </c>
      <c r="CY16" s="129">
        <v>0</v>
      </c>
      <c r="CZ16" s="129">
        <v>-273094</v>
      </c>
      <c r="DA16" s="129">
        <v>0</v>
      </c>
      <c r="DB16" s="129">
        <v>0</v>
      </c>
      <c r="DC16" s="129">
        <v>0</v>
      </c>
      <c r="DD16" s="129">
        <v>-110543</v>
      </c>
      <c r="DE16" s="129">
        <v>0</v>
      </c>
      <c r="DF16" s="129">
        <v>-110543</v>
      </c>
      <c r="DG16" s="129">
        <v>0</v>
      </c>
      <c r="DH16" s="129">
        <v>0</v>
      </c>
      <c r="DI16" s="129">
        <v>0</v>
      </c>
      <c r="DJ16" s="129">
        <v>-110543</v>
      </c>
      <c r="DK16" s="129">
        <v>0</v>
      </c>
      <c r="DL16" s="129">
        <v>0</v>
      </c>
      <c r="DM16" s="129">
        <v>0</v>
      </c>
      <c r="DN16" s="129">
        <v>-110543</v>
      </c>
      <c r="DO16" s="129">
        <v>0</v>
      </c>
      <c r="DP16" s="129">
        <v>-110543</v>
      </c>
      <c r="DQ16" s="129">
        <v>103522439</v>
      </c>
      <c r="DR16" s="129">
        <v>19336256</v>
      </c>
      <c r="DS16" s="129">
        <v>122858695</v>
      </c>
      <c r="DT16" s="662" t="s">
        <v>643</v>
      </c>
      <c r="DU16" s="324" t="s">
        <v>576</v>
      </c>
      <c r="DV16" s="669" t="s">
        <v>485</v>
      </c>
      <c r="DW16" s="529" t="s">
        <v>1216</v>
      </c>
    </row>
    <row r="17" spans="1:127" ht="12.75" x14ac:dyDescent="0.2">
      <c r="A17" s="664">
        <v>10</v>
      </c>
      <c r="B17" s="665" t="s">
        <v>646</v>
      </c>
      <c r="C17" s="666" t="s">
        <v>1217</v>
      </c>
      <c r="D17" s="667" t="s">
        <v>1218</v>
      </c>
      <c r="E17" s="668" t="s">
        <v>645</v>
      </c>
      <c r="F17" s="753" t="s">
        <v>1882</v>
      </c>
      <c r="G17" s="129">
        <v>139412576</v>
      </c>
      <c r="H17" s="129">
        <v>1754750</v>
      </c>
      <c r="I17" s="129">
        <v>141167326</v>
      </c>
      <c r="J17" s="793">
        <v>49.9</v>
      </c>
      <c r="K17" s="129">
        <v>69566875</v>
      </c>
      <c r="L17" s="129">
        <v>875620</v>
      </c>
      <c r="M17" s="129">
        <v>0</v>
      </c>
      <c r="N17" s="129">
        <v>0</v>
      </c>
      <c r="O17" s="129">
        <v>69566875</v>
      </c>
      <c r="P17" s="129">
        <v>875620</v>
      </c>
      <c r="Q17" s="129">
        <v>70442495</v>
      </c>
      <c r="R17" s="129">
        <v>-152870</v>
      </c>
      <c r="S17" s="129">
        <v>0</v>
      </c>
      <c r="T17" s="129">
        <v>-152870</v>
      </c>
      <c r="U17" s="129">
        <v>951930</v>
      </c>
      <c r="V17" s="129">
        <v>0</v>
      </c>
      <c r="W17" s="129">
        <v>951930</v>
      </c>
      <c r="X17" s="129">
        <v>799060</v>
      </c>
      <c r="Y17" s="129">
        <v>0</v>
      </c>
      <c r="Z17" s="129">
        <v>0</v>
      </c>
      <c r="AA17" s="129">
        <v>0</v>
      </c>
      <c r="AB17" s="129">
        <v>799060</v>
      </c>
      <c r="AC17" s="129">
        <v>0</v>
      </c>
      <c r="AD17" s="129">
        <v>799060</v>
      </c>
      <c r="AE17" s="129">
        <v>-799060</v>
      </c>
      <c r="AF17" s="129">
        <v>0</v>
      </c>
      <c r="AG17" s="129">
        <v>-799060</v>
      </c>
      <c r="AH17" s="129">
        <v>-8685525</v>
      </c>
      <c r="AI17" s="129">
        <v>0</v>
      </c>
      <c r="AJ17" s="129">
        <v>-8685525</v>
      </c>
      <c r="AK17" s="129">
        <v>0</v>
      </c>
      <c r="AL17" s="129">
        <v>0</v>
      </c>
      <c r="AM17" s="129">
        <v>0</v>
      </c>
      <c r="AN17" s="129">
        <v>1197948</v>
      </c>
      <c r="AO17" s="129">
        <v>19312</v>
      </c>
      <c r="AP17" s="129">
        <v>1217260</v>
      </c>
      <c r="AQ17" s="129">
        <v>-7487577</v>
      </c>
      <c r="AR17" s="129">
        <v>19312</v>
      </c>
      <c r="AS17" s="129">
        <v>-7468265</v>
      </c>
      <c r="AT17" s="129">
        <v>-5460875</v>
      </c>
      <c r="AU17" s="129">
        <v>0</v>
      </c>
      <c r="AV17" s="129">
        <v>-5460875</v>
      </c>
      <c r="AW17" s="129">
        <v>-72612</v>
      </c>
      <c r="AX17" s="129">
        <v>0</v>
      </c>
      <c r="AY17" s="129">
        <v>-72612</v>
      </c>
      <c r="AZ17" s="129">
        <v>-2285</v>
      </c>
      <c r="BA17" s="129">
        <v>0</v>
      </c>
      <c r="BB17" s="129">
        <v>-2285</v>
      </c>
      <c r="BC17" s="129">
        <v>0</v>
      </c>
      <c r="BD17" s="129">
        <v>0</v>
      </c>
      <c r="BE17" s="129">
        <v>0</v>
      </c>
      <c r="BF17" s="129">
        <v>-13023349</v>
      </c>
      <c r="BG17" s="129">
        <v>19312</v>
      </c>
      <c r="BH17" s="129">
        <v>-1417000</v>
      </c>
      <c r="BI17" s="129">
        <v>0</v>
      </c>
      <c r="BJ17" s="129">
        <v>-14440349</v>
      </c>
      <c r="BK17" s="129">
        <v>19312</v>
      </c>
      <c r="BL17" s="129">
        <v>-14421037</v>
      </c>
      <c r="BM17" s="129">
        <v>-50000</v>
      </c>
      <c r="BN17" s="129">
        <v>0</v>
      </c>
      <c r="BO17" s="129">
        <v>-50000</v>
      </c>
      <c r="BP17" s="129">
        <v>-1907252</v>
      </c>
      <c r="BQ17" s="129">
        <v>0</v>
      </c>
      <c r="BR17" s="129">
        <v>-1907252</v>
      </c>
      <c r="BS17" s="129">
        <v>-1957252</v>
      </c>
      <c r="BT17" s="129">
        <v>0</v>
      </c>
      <c r="BU17" s="129">
        <v>-1572000</v>
      </c>
      <c r="BV17" s="129">
        <v>0</v>
      </c>
      <c r="BW17" s="129">
        <v>-3529252</v>
      </c>
      <c r="BX17" s="129">
        <v>0</v>
      </c>
      <c r="BY17" s="129">
        <v>-3529252</v>
      </c>
      <c r="BZ17" s="129">
        <v>-84490</v>
      </c>
      <c r="CA17" s="129">
        <v>0</v>
      </c>
      <c r="CB17" s="129">
        <v>-84490</v>
      </c>
      <c r="CC17" s="129">
        <v>0</v>
      </c>
      <c r="CD17" s="129">
        <v>0</v>
      </c>
      <c r="CE17" s="129">
        <v>0</v>
      </c>
      <c r="CF17" s="129">
        <v>-620</v>
      </c>
      <c r="CG17" s="129">
        <v>0</v>
      </c>
      <c r="CH17" s="129">
        <v>-620</v>
      </c>
      <c r="CI17" s="129">
        <v>-423</v>
      </c>
      <c r="CJ17" s="129">
        <v>0</v>
      </c>
      <c r="CK17" s="129">
        <v>-423</v>
      </c>
      <c r="CL17" s="129">
        <v>0</v>
      </c>
      <c r="CM17" s="129">
        <v>0</v>
      </c>
      <c r="CN17" s="129">
        <v>0</v>
      </c>
      <c r="CO17" s="129">
        <v>0</v>
      </c>
      <c r="CP17" s="129">
        <v>-129306</v>
      </c>
      <c r="CQ17" s="129">
        <v>-129306</v>
      </c>
      <c r="CR17" s="129">
        <v>-129306</v>
      </c>
      <c r="CS17" s="129">
        <v>0</v>
      </c>
      <c r="CT17" s="129">
        <v>-85533</v>
      </c>
      <c r="CU17" s="129">
        <v>-129306</v>
      </c>
      <c r="CV17" s="129">
        <v>0</v>
      </c>
      <c r="CW17" s="129">
        <v>0</v>
      </c>
      <c r="CX17" s="129">
        <v>-85533</v>
      </c>
      <c r="CY17" s="129">
        <v>-129306</v>
      </c>
      <c r="CZ17" s="129">
        <v>-214839</v>
      </c>
      <c r="DA17" s="129">
        <v>-1862</v>
      </c>
      <c r="DB17" s="129">
        <v>0</v>
      </c>
      <c r="DC17" s="129">
        <v>-1862</v>
      </c>
      <c r="DD17" s="129">
        <v>-25600</v>
      </c>
      <c r="DE17" s="129">
        <v>0</v>
      </c>
      <c r="DF17" s="129">
        <v>-25600</v>
      </c>
      <c r="DG17" s="129">
        <v>-1500</v>
      </c>
      <c r="DH17" s="129">
        <v>0</v>
      </c>
      <c r="DI17" s="129">
        <v>-1500</v>
      </c>
      <c r="DJ17" s="129">
        <v>-28962</v>
      </c>
      <c r="DK17" s="129">
        <v>0</v>
      </c>
      <c r="DL17" s="129">
        <v>0</v>
      </c>
      <c r="DM17" s="129">
        <v>0</v>
      </c>
      <c r="DN17" s="129">
        <v>-28962</v>
      </c>
      <c r="DO17" s="129">
        <v>0</v>
      </c>
      <c r="DP17" s="129">
        <v>-28962</v>
      </c>
      <c r="DQ17" s="129">
        <v>52281839</v>
      </c>
      <c r="DR17" s="129">
        <v>765626</v>
      </c>
      <c r="DS17" s="129">
        <v>53047465</v>
      </c>
      <c r="DT17" s="662" t="s">
        <v>645</v>
      </c>
      <c r="DU17" s="324" t="s">
        <v>570</v>
      </c>
      <c r="DV17" s="663" t="s">
        <v>572</v>
      </c>
      <c r="DW17" s="529" t="s">
        <v>1219</v>
      </c>
    </row>
    <row r="18" spans="1:127" ht="12.75" x14ac:dyDescent="0.2">
      <c r="A18" s="664">
        <v>11</v>
      </c>
      <c r="B18" s="665" t="s">
        <v>648</v>
      </c>
      <c r="C18" s="666" t="s">
        <v>1201</v>
      </c>
      <c r="D18" s="667" t="s">
        <v>1204</v>
      </c>
      <c r="E18" s="668" t="s">
        <v>647</v>
      </c>
      <c r="F18" s="753" t="s">
        <v>1875</v>
      </c>
      <c r="G18" s="129">
        <v>54266849</v>
      </c>
      <c r="H18" s="129">
        <v>0</v>
      </c>
      <c r="I18" s="129">
        <v>54266849</v>
      </c>
      <c r="J18" s="793">
        <v>49.9</v>
      </c>
      <c r="K18" s="129">
        <v>27079158</v>
      </c>
      <c r="L18" s="129">
        <v>0</v>
      </c>
      <c r="M18" s="129">
        <v>0</v>
      </c>
      <c r="N18" s="129">
        <v>0</v>
      </c>
      <c r="O18" s="129">
        <v>27079158</v>
      </c>
      <c r="P18" s="129">
        <v>0</v>
      </c>
      <c r="Q18" s="129">
        <v>27079158</v>
      </c>
      <c r="R18" s="129">
        <v>-49909</v>
      </c>
      <c r="S18" s="129">
        <v>0</v>
      </c>
      <c r="T18" s="129">
        <v>-49909</v>
      </c>
      <c r="U18" s="129">
        <v>494312</v>
      </c>
      <c r="V18" s="129">
        <v>0</v>
      </c>
      <c r="W18" s="129">
        <v>494312</v>
      </c>
      <c r="X18" s="129">
        <v>444403</v>
      </c>
      <c r="Y18" s="129">
        <v>0</v>
      </c>
      <c r="Z18" s="129">
        <v>0</v>
      </c>
      <c r="AA18" s="129">
        <v>0</v>
      </c>
      <c r="AB18" s="129">
        <v>444403</v>
      </c>
      <c r="AC18" s="129">
        <v>0</v>
      </c>
      <c r="AD18" s="129">
        <v>444403</v>
      </c>
      <c r="AE18" s="129">
        <v>-444403</v>
      </c>
      <c r="AF18" s="129">
        <v>0</v>
      </c>
      <c r="AG18" s="129">
        <v>-444403</v>
      </c>
      <c r="AH18" s="129">
        <v>-2402181</v>
      </c>
      <c r="AI18" s="129">
        <v>0</v>
      </c>
      <c r="AJ18" s="129">
        <v>-2402181</v>
      </c>
      <c r="AK18" s="129">
        <v>-2844</v>
      </c>
      <c r="AL18" s="129">
        <v>0</v>
      </c>
      <c r="AM18" s="129">
        <v>-2844</v>
      </c>
      <c r="AN18" s="129">
        <v>505520</v>
      </c>
      <c r="AO18" s="129">
        <v>0</v>
      </c>
      <c r="AP18" s="129">
        <v>505520</v>
      </c>
      <c r="AQ18" s="129">
        <v>-1896661</v>
      </c>
      <c r="AR18" s="129">
        <v>0</v>
      </c>
      <c r="AS18" s="129">
        <v>-1896661</v>
      </c>
      <c r="AT18" s="129">
        <v>-1844413</v>
      </c>
      <c r="AU18" s="129">
        <v>0</v>
      </c>
      <c r="AV18" s="129">
        <v>-1844413</v>
      </c>
      <c r="AW18" s="129">
        <v>-100262</v>
      </c>
      <c r="AX18" s="129">
        <v>0</v>
      </c>
      <c r="AY18" s="129">
        <v>-100262</v>
      </c>
      <c r="AZ18" s="129">
        <v>0</v>
      </c>
      <c r="BA18" s="129">
        <v>0</v>
      </c>
      <c r="BB18" s="129">
        <v>0</v>
      </c>
      <c r="BC18" s="129">
        <v>0</v>
      </c>
      <c r="BD18" s="129">
        <v>0</v>
      </c>
      <c r="BE18" s="129">
        <v>0</v>
      </c>
      <c r="BF18" s="129">
        <v>-3841336</v>
      </c>
      <c r="BG18" s="129">
        <v>0</v>
      </c>
      <c r="BH18" s="129">
        <v>0</v>
      </c>
      <c r="BI18" s="129">
        <v>0</v>
      </c>
      <c r="BJ18" s="129">
        <v>-3841336</v>
      </c>
      <c r="BK18" s="129">
        <v>0</v>
      </c>
      <c r="BL18" s="129">
        <v>-3841336</v>
      </c>
      <c r="BM18" s="129">
        <v>-282971</v>
      </c>
      <c r="BN18" s="129">
        <v>0</v>
      </c>
      <c r="BO18" s="129">
        <v>-282971</v>
      </c>
      <c r="BP18" s="129">
        <v>-407886</v>
      </c>
      <c r="BQ18" s="129">
        <v>0</v>
      </c>
      <c r="BR18" s="129">
        <v>-407886</v>
      </c>
      <c r="BS18" s="129">
        <v>-690857</v>
      </c>
      <c r="BT18" s="129">
        <v>0</v>
      </c>
      <c r="BU18" s="129">
        <v>0</v>
      </c>
      <c r="BV18" s="129">
        <v>0</v>
      </c>
      <c r="BW18" s="129">
        <v>-690857</v>
      </c>
      <c r="BX18" s="129">
        <v>0</v>
      </c>
      <c r="BY18" s="129">
        <v>-690857</v>
      </c>
      <c r="BZ18" s="129">
        <v>0</v>
      </c>
      <c r="CA18" s="129">
        <v>0</v>
      </c>
      <c r="CB18" s="129">
        <v>0</v>
      </c>
      <c r="CC18" s="129">
        <v>0</v>
      </c>
      <c r="CD18" s="129">
        <v>0</v>
      </c>
      <c r="CE18" s="129">
        <v>0</v>
      </c>
      <c r="CF18" s="129">
        <v>0</v>
      </c>
      <c r="CG18" s="129">
        <v>0</v>
      </c>
      <c r="CH18" s="129">
        <v>0</v>
      </c>
      <c r="CI18" s="129">
        <v>0</v>
      </c>
      <c r="CJ18" s="129">
        <v>0</v>
      </c>
      <c r="CK18" s="129">
        <v>0</v>
      </c>
      <c r="CL18" s="129">
        <v>0</v>
      </c>
      <c r="CM18" s="129">
        <v>0</v>
      </c>
      <c r="CN18" s="129">
        <v>0</v>
      </c>
      <c r="CO18" s="129">
        <v>0</v>
      </c>
      <c r="CP18" s="129">
        <v>0</v>
      </c>
      <c r="CQ18" s="129">
        <v>0</v>
      </c>
      <c r="CR18" s="129">
        <v>0</v>
      </c>
      <c r="CS18" s="129">
        <v>0</v>
      </c>
      <c r="CT18" s="129">
        <v>0</v>
      </c>
      <c r="CU18" s="129">
        <v>0</v>
      </c>
      <c r="CV18" s="129">
        <v>0</v>
      </c>
      <c r="CW18" s="129">
        <v>0</v>
      </c>
      <c r="CX18" s="129">
        <v>0</v>
      </c>
      <c r="CY18" s="129">
        <v>0</v>
      </c>
      <c r="CZ18" s="129">
        <v>0</v>
      </c>
      <c r="DA18" s="129">
        <v>0</v>
      </c>
      <c r="DB18" s="129">
        <v>0</v>
      </c>
      <c r="DC18" s="129">
        <v>0</v>
      </c>
      <c r="DD18" s="129">
        <v>-3399</v>
      </c>
      <c r="DE18" s="129">
        <v>0</v>
      </c>
      <c r="DF18" s="129">
        <v>-3399</v>
      </c>
      <c r="DG18" s="129">
        <v>0</v>
      </c>
      <c r="DH18" s="129">
        <v>0</v>
      </c>
      <c r="DI18" s="129">
        <v>0</v>
      </c>
      <c r="DJ18" s="129">
        <v>-3399</v>
      </c>
      <c r="DK18" s="129">
        <v>0</v>
      </c>
      <c r="DL18" s="129">
        <v>0</v>
      </c>
      <c r="DM18" s="129">
        <v>0</v>
      </c>
      <c r="DN18" s="129">
        <v>-3399</v>
      </c>
      <c r="DO18" s="129">
        <v>0</v>
      </c>
      <c r="DP18" s="129">
        <v>-3399</v>
      </c>
      <c r="DQ18" s="129">
        <v>22987969</v>
      </c>
      <c r="DR18" s="129">
        <v>0</v>
      </c>
      <c r="DS18" s="129">
        <v>22987969</v>
      </c>
      <c r="DT18" s="662" t="s">
        <v>647</v>
      </c>
      <c r="DU18" s="324" t="s">
        <v>513</v>
      </c>
      <c r="DV18" s="663" t="s">
        <v>512</v>
      </c>
      <c r="DW18" s="529" t="s">
        <v>1220</v>
      </c>
    </row>
    <row r="19" spans="1:127" ht="12.75" x14ac:dyDescent="0.2">
      <c r="A19" s="664">
        <v>12</v>
      </c>
      <c r="B19" s="665" t="s">
        <v>650</v>
      </c>
      <c r="C19" s="666" t="s">
        <v>1201</v>
      </c>
      <c r="D19" s="667" t="s">
        <v>1211</v>
      </c>
      <c r="E19" s="668" t="s">
        <v>649</v>
      </c>
      <c r="F19" s="753" t="s">
        <v>1877</v>
      </c>
      <c r="G19" s="129">
        <v>189961035</v>
      </c>
      <c r="H19" s="129">
        <v>0</v>
      </c>
      <c r="I19" s="129">
        <v>189961035</v>
      </c>
      <c r="J19" s="793">
        <v>49.9</v>
      </c>
      <c r="K19" s="129">
        <v>94790556</v>
      </c>
      <c r="L19" s="129">
        <v>0</v>
      </c>
      <c r="M19" s="129">
        <v>1102981</v>
      </c>
      <c r="N19" s="129">
        <v>0</v>
      </c>
      <c r="O19" s="129">
        <v>95893537</v>
      </c>
      <c r="P19" s="129">
        <v>0</v>
      </c>
      <c r="Q19" s="129">
        <v>95893537</v>
      </c>
      <c r="R19" s="129">
        <v>-92419</v>
      </c>
      <c r="S19" s="129">
        <v>0</v>
      </c>
      <c r="T19" s="129">
        <v>-92419</v>
      </c>
      <c r="U19" s="129">
        <v>471849</v>
      </c>
      <c r="V19" s="129">
        <v>0</v>
      </c>
      <c r="W19" s="129">
        <v>471849</v>
      </c>
      <c r="X19" s="129">
        <v>379430</v>
      </c>
      <c r="Y19" s="129">
        <v>0</v>
      </c>
      <c r="Z19" s="129">
        <v>0</v>
      </c>
      <c r="AA19" s="129">
        <v>0</v>
      </c>
      <c r="AB19" s="129">
        <v>379430</v>
      </c>
      <c r="AC19" s="129">
        <v>0</v>
      </c>
      <c r="AD19" s="129">
        <v>379430</v>
      </c>
      <c r="AE19" s="129">
        <v>-379430</v>
      </c>
      <c r="AF19" s="129">
        <v>0</v>
      </c>
      <c r="AG19" s="129">
        <v>-379430</v>
      </c>
      <c r="AH19" s="129">
        <v>-5607350</v>
      </c>
      <c r="AI19" s="129">
        <v>0</v>
      </c>
      <c r="AJ19" s="129">
        <v>-5607350</v>
      </c>
      <c r="AK19" s="129">
        <v>0</v>
      </c>
      <c r="AL19" s="129">
        <v>0</v>
      </c>
      <c r="AM19" s="129">
        <v>0</v>
      </c>
      <c r="AN19" s="129">
        <v>1817072</v>
      </c>
      <c r="AO19" s="129">
        <v>0</v>
      </c>
      <c r="AP19" s="129">
        <v>1817072</v>
      </c>
      <c r="AQ19" s="129">
        <v>-3790278</v>
      </c>
      <c r="AR19" s="129">
        <v>0</v>
      </c>
      <c r="AS19" s="129">
        <v>-3790278</v>
      </c>
      <c r="AT19" s="129">
        <v>-4339638</v>
      </c>
      <c r="AU19" s="129">
        <v>0</v>
      </c>
      <c r="AV19" s="129">
        <v>-4339638</v>
      </c>
      <c r="AW19" s="129">
        <v>-62423</v>
      </c>
      <c r="AX19" s="129">
        <v>0</v>
      </c>
      <c r="AY19" s="129">
        <v>-62423</v>
      </c>
      <c r="AZ19" s="129">
        <v>-1715</v>
      </c>
      <c r="BA19" s="129">
        <v>0</v>
      </c>
      <c r="BB19" s="129">
        <v>-1715</v>
      </c>
      <c r="BC19" s="129">
        <v>0</v>
      </c>
      <c r="BD19" s="129">
        <v>0</v>
      </c>
      <c r="BE19" s="129">
        <v>0</v>
      </c>
      <c r="BF19" s="129">
        <v>-8194054</v>
      </c>
      <c r="BG19" s="129">
        <v>0</v>
      </c>
      <c r="BH19" s="129">
        <v>-201245</v>
      </c>
      <c r="BI19" s="129">
        <v>0</v>
      </c>
      <c r="BJ19" s="129">
        <v>-8395299</v>
      </c>
      <c r="BK19" s="129">
        <v>0</v>
      </c>
      <c r="BL19" s="129">
        <v>-8395299</v>
      </c>
      <c r="BM19" s="129">
        <v>-34945</v>
      </c>
      <c r="BN19" s="129">
        <v>0</v>
      </c>
      <c r="BO19" s="129">
        <v>-34945</v>
      </c>
      <c r="BP19" s="129">
        <v>-1189569</v>
      </c>
      <c r="BQ19" s="129">
        <v>0</v>
      </c>
      <c r="BR19" s="129">
        <v>-1189569</v>
      </c>
      <c r="BS19" s="129">
        <v>-1224514</v>
      </c>
      <c r="BT19" s="129">
        <v>0</v>
      </c>
      <c r="BU19" s="129">
        <v>-2079392</v>
      </c>
      <c r="BV19" s="129">
        <v>0</v>
      </c>
      <c r="BW19" s="129">
        <v>-3303906</v>
      </c>
      <c r="BX19" s="129">
        <v>0</v>
      </c>
      <c r="BY19" s="129">
        <v>-3303906</v>
      </c>
      <c r="BZ19" s="129">
        <v>-1027</v>
      </c>
      <c r="CA19" s="129">
        <v>0</v>
      </c>
      <c r="CB19" s="129">
        <v>-1027</v>
      </c>
      <c r="CC19" s="129">
        <v>-14118</v>
      </c>
      <c r="CD19" s="129">
        <v>0</v>
      </c>
      <c r="CE19" s="129">
        <v>-14118</v>
      </c>
      <c r="CF19" s="129">
        <v>0</v>
      </c>
      <c r="CG19" s="129">
        <v>0</v>
      </c>
      <c r="CH19" s="129">
        <v>0</v>
      </c>
      <c r="CI19" s="129">
        <v>0</v>
      </c>
      <c r="CJ19" s="129">
        <v>0</v>
      </c>
      <c r="CK19" s="129">
        <v>0</v>
      </c>
      <c r="CL19" s="129">
        <v>0</v>
      </c>
      <c r="CM19" s="129">
        <v>0</v>
      </c>
      <c r="CN19" s="129">
        <v>0</v>
      </c>
      <c r="CO19" s="129">
        <v>0</v>
      </c>
      <c r="CP19" s="129">
        <v>0</v>
      </c>
      <c r="CQ19" s="129">
        <v>0</v>
      </c>
      <c r="CR19" s="129">
        <v>0</v>
      </c>
      <c r="CS19" s="129">
        <v>0</v>
      </c>
      <c r="CT19" s="129">
        <v>-15145</v>
      </c>
      <c r="CU19" s="129">
        <v>0</v>
      </c>
      <c r="CV19" s="129">
        <v>-50000</v>
      </c>
      <c r="CW19" s="129">
        <v>0</v>
      </c>
      <c r="CX19" s="129">
        <v>-65145</v>
      </c>
      <c r="CY19" s="129">
        <v>0</v>
      </c>
      <c r="CZ19" s="129">
        <v>-65145</v>
      </c>
      <c r="DA19" s="129">
        <v>-1715</v>
      </c>
      <c r="DB19" s="129">
        <v>0</v>
      </c>
      <c r="DC19" s="129">
        <v>-1715</v>
      </c>
      <c r="DD19" s="129">
        <v>-12133</v>
      </c>
      <c r="DE19" s="129">
        <v>0</v>
      </c>
      <c r="DF19" s="129">
        <v>-12133</v>
      </c>
      <c r="DG19" s="129">
        <v>0</v>
      </c>
      <c r="DH19" s="129">
        <v>0</v>
      </c>
      <c r="DI19" s="129">
        <v>0</v>
      </c>
      <c r="DJ19" s="129">
        <v>-13848</v>
      </c>
      <c r="DK19" s="129">
        <v>0</v>
      </c>
      <c r="DL19" s="129">
        <v>0</v>
      </c>
      <c r="DM19" s="129">
        <v>0</v>
      </c>
      <c r="DN19" s="129">
        <v>-13848</v>
      </c>
      <c r="DO19" s="129">
        <v>0</v>
      </c>
      <c r="DP19" s="129">
        <v>-13848</v>
      </c>
      <c r="DQ19" s="129">
        <v>84494769</v>
      </c>
      <c r="DR19" s="129">
        <v>0</v>
      </c>
      <c r="DS19" s="129">
        <v>84494769</v>
      </c>
      <c r="DT19" s="662" t="s">
        <v>649</v>
      </c>
      <c r="DU19" s="324" t="s">
        <v>528</v>
      </c>
      <c r="DV19" s="663" t="s">
        <v>1913</v>
      </c>
      <c r="DW19" s="529" t="s">
        <v>1221</v>
      </c>
    </row>
    <row r="20" spans="1:127" ht="12.75" x14ac:dyDescent="0.2">
      <c r="A20" s="664">
        <v>13</v>
      </c>
      <c r="B20" s="665" t="s">
        <v>652</v>
      </c>
      <c r="C20" s="666" t="s">
        <v>1201</v>
      </c>
      <c r="D20" s="667" t="s">
        <v>1202</v>
      </c>
      <c r="E20" s="668" t="s">
        <v>825</v>
      </c>
      <c r="F20" s="753" t="s">
        <v>1879</v>
      </c>
      <c r="G20" s="129">
        <v>175429155</v>
      </c>
      <c r="H20" s="129">
        <v>4992565</v>
      </c>
      <c r="I20" s="129">
        <v>180421720</v>
      </c>
      <c r="J20" s="793">
        <v>49.9</v>
      </c>
      <c r="K20" s="129">
        <v>87539148</v>
      </c>
      <c r="L20" s="129">
        <v>2491290</v>
      </c>
      <c r="M20" s="129">
        <v>325000</v>
      </c>
      <c r="N20" s="129">
        <v>-75000</v>
      </c>
      <c r="O20" s="129">
        <v>87864148</v>
      </c>
      <c r="P20" s="129">
        <v>2416290</v>
      </c>
      <c r="Q20" s="129">
        <v>90280438</v>
      </c>
      <c r="R20" s="129">
        <v>-114488</v>
      </c>
      <c r="S20" s="129">
        <v>-1096</v>
      </c>
      <c r="T20" s="129">
        <v>-115584</v>
      </c>
      <c r="U20" s="129">
        <v>1738943</v>
      </c>
      <c r="V20" s="129">
        <v>0</v>
      </c>
      <c r="W20" s="129">
        <v>1738943</v>
      </c>
      <c r="X20" s="129">
        <v>1624455</v>
      </c>
      <c r="Y20" s="129">
        <v>-1096</v>
      </c>
      <c r="Z20" s="129">
        <v>376641</v>
      </c>
      <c r="AA20" s="129">
        <v>0</v>
      </c>
      <c r="AB20" s="129">
        <v>2001096</v>
      </c>
      <c r="AC20" s="129">
        <v>-1096</v>
      </c>
      <c r="AD20" s="129">
        <v>2000000</v>
      </c>
      <c r="AE20" s="129">
        <v>-2001096</v>
      </c>
      <c r="AF20" s="129">
        <v>1096</v>
      </c>
      <c r="AG20" s="129">
        <v>-2000000</v>
      </c>
      <c r="AH20" s="129">
        <v>-3362127</v>
      </c>
      <c r="AI20" s="129">
        <v>-14320</v>
      </c>
      <c r="AJ20" s="129">
        <v>-3376447</v>
      </c>
      <c r="AK20" s="129">
        <v>-80586</v>
      </c>
      <c r="AL20" s="129">
        <v>0</v>
      </c>
      <c r="AM20" s="129">
        <v>-80586</v>
      </c>
      <c r="AN20" s="129">
        <v>1780422</v>
      </c>
      <c r="AO20" s="129">
        <v>49773</v>
      </c>
      <c r="AP20" s="129">
        <v>1830195</v>
      </c>
      <c r="AQ20" s="129">
        <v>-1581705</v>
      </c>
      <c r="AR20" s="129">
        <v>35453</v>
      </c>
      <c r="AS20" s="129">
        <v>-1546252</v>
      </c>
      <c r="AT20" s="129">
        <v>-4109795</v>
      </c>
      <c r="AU20" s="129">
        <v>-25600</v>
      </c>
      <c r="AV20" s="129">
        <v>-4135395</v>
      </c>
      <c r="AW20" s="129">
        <v>-11653</v>
      </c>
      <c r="AX20" s="129">
        <v>0</v>
      </c>
      <c r="AY20" s="129">
        <v>-11653</v>
      </c>
      <c r="AZ20" s="129">
        <v>-23437</v>
      </c>
      <c r="BA20" s="129">
        <v>0</v>
      </c>
      <c r="BB20" s="129">
        <v>-23437</v>
      </c>
      <c r="BC20" s="129">
        <v>0</v>
      </c>
      <c r="BD20" s="129">
        <v>0</v>
      </c>
      <c r="BE20" s="129">
        <v>0</v>
      </c>
      <c r="BF20" s="129">
        <v>-5726590</v>
      </c>
      <c r="BG20" s="129">
        <v>9853</v>
      </c>
      <c r="BH20" s="129">
        <v>-250000</v>
      </c>
      <c r="BI20" s="129">
        <v>-25000</v>
      </c>
      <c r="BJ20" s="129">
        <v>-5976590</v>
      </c>
      <c r="BK20" s="129">
        <v>-15147</v>
      </c>
      <c r="BL20" s="129">
        <v>-5991737</v>
      </c>
      <c r="BM20" s="129">
        <v>-53148</v>
      </c>
      <c r="BN20" s="129">
        <v>0</v>
      </c>
      <c r="BO20" s="129">
        <v>-53148</v>
      </c>
      <c r="BP20" s="129">
        <v>-2451095</v>
      </c>
      <c r="BQ20" s="129">
        <v>-426048</v>
      </c>
      <c r="BR20" s="129">
        <v>-2877143</v>
      </c>
      <c r="BS20" s="129">
        <v>-2504243</v>
      </c>
      <c r="BT20" s="129">
        <v>-426048</v>
      </c>
      <c r="BU20" s="129">
        <v>-1600000</v>
      </c>
      <c r="BV20" s="129">
        <v>-100000</v>
      </c>
      <c r="BW20" s="129">
        <v>-4104243</v>
      </c>
      <c r="BX20" s="129">
        <v>-526048</v>
      </c>
      <c r="BY20" s="129">
        <v>-4630291</v>
      </c>
      <c r="BZ20" s="129">
        <v>-598063</v>
      </c>
      <c r="CA20" s="129">
        <v>-6400</v>
      </c>
      <c r="CB20" s="129">
        <v>-604463</v>
      </c>
      <c r="CC20" s="129">
        <v>-160067</v>
      </c>
      <c r="CD20" s="129">
        <v>0</v>
      </c>
      <c r="CE20" s="129">
        <v>-160067</v>
      </c>
      <c r="CF20" s="129">
        <v>-2913</v>
      </c>
      <c r="CG20" s="129">
        <v>0</v>
      </c>
      <c r="CH20" s="129">
        <v>-2913</v>
      </c>
      <c r="CI20" s="129">
        <v>-55156</v>
      </c>
      <c r="CJ20" s="129">
        <v>0</v>
      </c>
      <c r="CK20" s="129">
        <v>-55156</v>
      </c>
      <c r="CL20" s="129">
        <v>0</v>
      </c>
      <c r="CM20" s="129">
        <v>0</v>
      </c>
      <c r="CN20" s="129">
        <v>0</v>
      </c>
      <c r="CO20" s="129">
        <v>0</v>
      </c>
      <c r="CP20" s="129">
        <v>-436769</v>
      </c>
      <c r="CQ20" s="129">
        <v>-436769</v>
      </c>
      <c r="CR20" s="129">
        <v>-436769</v>
      </c>
      <c r="CS20" s="129">
        <v>0</v>
      </c>
      <c r="CT20" s="129">
        <v>-816199</v>
      </c>
      <c r="CU20" s="129">
        <v>-443169</v>
      </c>
      <c r="CV20" s="129">
        <v>-50000</v>
      </c>
      <c r="CW20" s="129">
        <v>-100000</v>
      </c>
      <c r="CX20" s="129">
        <v>-866199</v>
      </c>
      <c r="CY20" s="129">
        <v>-543169</v>
      </c>
      <c r="CZ20" s="129">
        <v>-1409368</v>
      </c>
      <c r="DA20" s="129">
        <v>-23437</v>
      </c>
      <c r="DB20" s="129">
        <v>0</v>
      </c>
      <c r="DC20" s="129">
        <v>-23437</v>
      </c>
      <c r="DD20" s="129">
        <v>-20745</v>
      </c>
      <c r="DE20" s="129">
        <v>0</v>
      </c>
      <c r="DF20" s="129">
        <v>-20745</v>
      </c>
      <c r="DG20" s="129">
        <v>-1500</v>
      </c>
      <c r="DH20" s="129">
        <v>0</v>
      </c>
      <c r="DI20" s="129">
        <v>-1500</v>
      </c>
      <c r="DJ20" s="129">
        <v>-45682</v>
      </c>
      <c r="DK20" s="129">
        <v>0</v>
      </c>
      <c r="DL20" s="129">
        <v>0</v>
      </c>
      <c r="DM20" s="129">
        <v>0</v>
      </c>
      <c r="DN20" s="129">
        <v>-45682</v>
      </c>
      <c r="DO20" s="129">
        <v>0</v>
      </c>
      <c r="DP20" s="129">
        <v>-45682</v>
      </c>
      <c r="DQ20" s="129">
        <v>78872530</v>
      </c>
      <c r="DR20" s="129">
        <v>1330830</v>
      </c>
      <c r="DS20" s="129">
        <v>80203360</v>
      </c>
      <c r="DT20" s="662" t="s">
        <v>825</v>
      </c>
      <c r="DU20" s="324" t="s">
        <v>532</v>
      </c>
      <c r="DV20" s="663" t="s">
        <v>1914</v>
      </c>
      <c r="DW20" s="529" t="s">
        <v>1222</v>
      </c>
    </row>
    <row r="21" spans="1:127" ht="12.75" x14ac:dyDescent="0.2">
      <c r="A21" s="664">
        <v>14</v>
      </c>
      <c r="B21" s="665" t="s">
        <v>654</v>
      </c>
      <c r="C21" s="666" t="s">
        <v>1201</v>
      </c>
      <c r="D21" s="667" t="s">
        <v>1206</v>
      </c>
      <c r="E21" s="668" t="s">
        <v>653</v>
      </c>
      <c r="F21" s="753" t="s">
        <v>1875</v>
      </c>
      <c r="G21" s="129">
        <v>109068135</v>
      </c>
      <c r="H21" s="129">
        <v>0</v>
      </c>
      <c r="I21" s="129">
        <v>109068135</v>
      </c>
      <c r="J21" s="793">
        <v>49.9</v>
      </c>
      <c r="K21" s="129">
        <v>54424999</v>
      </c>
      <c r="L21" s="129">
        <v>0</v>
      </c>
      <c r="M21" s="129">
        <v>-37000</v>
      </c>
      <c r="N21" s="129">
        <v>0</v>
      </c>
      <c r="O21" s="129">
        <v>54387999</v>
      </c>
      <c r="P21" s="129">
        <v>0</v>
      </c>
      <c r="Q21" s="129">
        <v>54387999</v>
      </c>
      <c r="R21" s="129">
        <v>-138684</v>
      </c>
      <c r="S21" s="129">
        <v>0</v>
      </c>
      <c r="T21" s="129">
        <v>-138684</v>
      </c>
      <c r="U21" s="129">
        <v>3890880</v>
      </c>
      <c r="V21" s="129">
        <v>0</v>
      </c>
      <c r="W21" s="129">
        <v>3890880</v>
      </c>
      <c r="X21" s="129">
        <v>3752196</v>
      </c>
      <c r="Y21" s="129">
        <v>0</v>
      </c>
      <c r="Z21" s="129">
        <v>-700000</v>
      </c>
      <c r="AA21" s="129">
        <v>0</v>
      </c>
      <c r="AB21" s="129">
        <v>3052196</v>
      </c>
      <c r="AC21" s="129">
        <v>0</v>
      </c>
      <c r="AD21" s="129">
        <v>3052196</v>
      </c>
      <c r="AE21" s="129">
        <v>-3052196</v>
      </c>
      <c r="AF21" s="129">
        <v>0</v>
      </c>
      <c r="AG21" s="129">
        <v>-3052196</v>
      </c>
      <c r="AH21" s="129">
        <v>-4876576</v>
      </c>
      <c r="AI21" s="129">
        <v>0</v>
      </c>
      <c r="AJ21" s="129">
        <v>-4876576</v>
      </c>
      <c r="AK21" s="129">
        <v>-6936</v>
      </c>
      <c r="AL21" s="129">
        <v>0</v>
      </c>
      <c r="AM21" s="129">
        <v>-6936</v>
      </c>
      <c r="AN21" s="129">
        <v>1007709</v>
      </c>
      <c r="AO21" s="129">
        <v>0</v>
      </c>
      <c r="AP21" s="129">
        <v>1007709</v>
      </c>
      <c r="AQ21" s="129">
        <v>-3868867</v>
      </c>
      <c r="AR21" s="129">
        <v>0</v>
      </c>
      <c r="AS21" s="129">
        <v>-3868867</v>
      </c>
      <c r="AT21" s="129">
        <v>-3184130</v>
      </c>
      <c r="AU21" s="129">
        <v>0</v>
      </c>
      <c r="AV21" s="129">
        <v>-3184130</v>
      </c>
      <c r="AW21" s="129">
        <v>-45385</v>
      </c>
      <c r="AX21" s="129">
        <v>0</v>
      </c>
      <c r="AY21" s="129">
        <v>-45385</v>
      </c>
      <c r="AZ21" s="129">
        <v>-32198</v>
      </c>
      <c r="BA21" s="129">
        <v>0</v>
      </c>
      <c r="BB21" s="129">
        <v>-32198</v>
      </c>
      <c r="BC21" s="129">
        <v>0</v>
      </c>
      <c r="BD21" s="129">
        <v>0</v>
      </c>
      <c r="BE21" s="129">
        <v>0</v>
      </c>
      <c r="BF21" s="129">
        <v>-7130580</v>
      </c>
      <c r="BG21" s="129">
        <v>0</v>
      </c>
      <c r="BH21" s="129">
        <v>0</v>
      </c>
      <c r="BI21" s="129">
        <v>0</v>
      </c>
      <c r="BJ21" s="129">
        <v>-7130580</v>
      </c>
      <c r="BK21" s="129">
        <v>0</v>
      </c>
      <c r="BL21" s="129">
        <v>-7130580</v>
      </c>
      <c r="BM21" s="129">
        <v>-180000</v>
      </c>
      <c r="BN21" s="129">
        <v>0</v>
      </c>
      <c r="BO21" s="129">
        <v>-180000</v>
      </c>
      <c r="BP21" s="129">
        <v>-1077958</v>
      </c>
      <c r="BQ21" s="129">
        <v>0</v>
      </c>
      <c r="BR21" s="129">
        <v>-1077958</v>
      </c>
      <c r="BS21" s="129">
        <v>-1257958</v>
      </c>
      <c r="BT21" s="129">
        <v>0</v>
      </c>
      <c r="BU21" s="129">
        <v>0</v>
      </c>
      <c r="BV21" s="129">
        <v>0</v>
      </c>
      <c r="BW21" s="129">
        <v>-1257958</v>
      </c>
      <c r="BX21" s="129">
        <v>0</v>
      </c>
      <c r="BY21" s="129">
        <v>-1257958</v>
      </c>
      <c r="BZ21" s="129">
        <v>-95000</v>
      </c>
      <c r="CA21" s="129">
        <v>0</v>
      </c>
      <c r="CB21" s="129">
        <v>-95000</v>
      </c>
      <c r="CC21" s="129">
        <v>-22000</v>
      </c>
      <c r="CD21" s="129">
        <v>0</v>
      </c>
      <c r="CE21" s="129">
        <v>-22000</v>
      </c>
      <c r="CF21" s="129">
        <v>0</v>
      </c>
      <c r="CG21" s="129">
        <v>0</v>
      </c>
      <c r="CH21" s="129">
        <v>0</v>
      </c>
      <c r="CI21" s="129">
        <v>0</v>
      </c>
      <c r="CJ21" s="129">
        <v>0</v>
      </c>
      <c r="CK21" s="129">
        <v>0</v>
      </c>
      <c r="CL21" s="129">
        <v>0</v>
      </c>
      <c r="CM21" s="129">
        <v>0</v>
      </c>
      <c r="CN21" s="129">
        <v>0</v>
      </c>
      <c r="CO21" s="129">
        <v>0</v>
      </c>
      <c r="CP21" s="129">
        <v>0</v>
      </c>
      <c r="CQ21" s="129">
        <v>0</v>
      </c>
      <c r="CR21" s="129">
        <v>0</v>
      </c>
      <c r="CS21" s="129">
        <v>0</v>
      </c>
      <c r="CT21" s="129">
        <v>-117000</v>
      </c>
      <c r="CU21" s="129">
        <v>0</v>
      </c>
      <c r="CV21" s="129">
        <v>0</v>
      </c>
      <c r="CW21" s="129">
        <v>0</v>
      </c>
      <c r="CX21" s="129">
        <v>-117000</v>
      </c>
      <c r="CY21" s="129">
        <v>0</v>
      </c>
      <c r="CZ21" s="129">
        <v>-117000</v>
      </c>
      <c r="DA21" s="129">
        <v>-32198</v>
      </c>
      <c r="DB21" s="129">
        <v>0</v>
      </c>
      <c r="DC21" s="129">
        <v>-32198</v>
      </c>
      <c r="DD21" s="129">
        <v>-28512</v>
      </c>
      <c r="DE21" s="129">
        <v>0</v>
      </c>
      <c r="DF21" s="129">
        <v>-28512</v>
      </c>
      <c r="DG21" s="129">
        <v>0</v>
      </c>
      <c r="DH21" s="129">
        <v>0</v>
      </c>
      <c r="DI21" s="129">
        <v>0</v>
      </c>
      <c r="DJ21" s="129">
        <v>-60710</v>
      </c>
      <c r="DK21" s="129">
        <v>0</v>
      </c>
      <c r="DL21" s="129">
        <v>0</v>
      </c>
      <c r="DM21" s="129">
        <v>0</v>
      </c>
      <c r="DN21" s="129">
        <v>-60710</v>
      </c>
      <c r="DO21" s="129">
        <v>0</v>
      </c>
      <c r="DP21" s="129">
        <v>-60710</v>
      </c>
      <c r="DQ21" s="129">
        <v>48873947</v>
      </c>
      <c r="DR21" s="129">
        <v>0</v>
      </c>
      <c r="DS21" s="129">
        <v>48873947</v>
      </c>
      <c r="DT21" s="662" t="s">
        <v>653</v>
      </c>
      <c r="DU21" s="324" t="s">
        <v>559</v>
      </c>
      <c r="DV21" s="663" t="s">
        <v>558</v>
      </c>
      <c r="DW21" s="529" t="s">
        <v>1223</v>
      </c>
    </row>
    <row r="22" spans="1:127" ht="12.75" x14ac:dyDescent="0.2">
      <c r="A22" s="664">
        <v>15</v>
      </c>
      <c r="B22" s="665" t="s">
        <v>656</v>
      </c>
      <c r="C22" s="666" t="s">
        <v>486</v>
      </c>
      <c r="D22" s="667" t="s">
        <v>1224</v>
      </c>
      <c r="E22" s="668" t="s">
        <v>826</v>
      </c>
      <c r="F22" s="753" t="s">
        <v>1875</v>
      </c>
      <c r="G22" s="129">
        <v>172310530</v>
      </c>
      <c r="H22" s="129">
        <v>14110710</v>
      </c>
      <c r="I22" s="129">
        <v>186421240</v>
      </c>
      <c r="J22" s="793">
        <v>49.9</v>
      </c>
      <c r="K22" s="129">
        <v>85982954</v>
      </c>
      <c r="L22" s="129">
        <v>7041244</v>
      </c>
      <c r="M22" s="129">
        <v>382464</v>
      </c>
      <c r="N22" s="129">
        <v>-479189</v>
      </c>
      <c r="O22" s="129">
        <v>86365418</v>
      </c>
      <c r="P22" s="129">
        <v>6562055</v>
      </c>
      <c r="Q22" s="129">
        <v>92927473</v>
      </c>
      <c r="R22" s="129">
        <v>-194160</v>
      </c>
      <c r="S22" s="129">
        <v>-16230</v>
      </c>
      <c r="T22" s="129">
        <v>-210390</v>
      </c>
      <c r="U22" s="129">
        <v>177802</v>
      </c>
      <c r="V22" s="129">
        <v>0</v>
      </c>
      <c r="W22" s="129">
        <v>177802</v>
      </c>
      <c r="X22" s="129">
        <v>-16358</v>
      </c>
      <c r="Y22" s="129">
        <v>-16230</v>
      </c>
      <c r="Z22" s="129">
        <v>0</v>
      </c>
      <c r="AA22" s="129">
        <v>0</v>
      </c>
      <c r="AB22" s="129">
        <v>-16358</v>
      </c>
      <c r="AC22" s="129">
        <v>-16230</v>
      </c>
      <c r="AD22" s="129">
        <v>-32588</v>
      </c>
      <c r="AE22" s="129">
        <v>16358</v>
      </c>
      <c r="AF22" s="129">
        <v>16230</v>
      </c>
      <c r="AG22" s="129">
        <v>32588</v>
      </c>
      <c r="AH22" s="129">
        <v>-7657939</v>
      </c>
      <c r="AI22" s="129">
        <v>-116060</v>
      </c>
      <c r="AJ22" s="129">
        <v>-7773999</v>
      </c>
      <c r="AK22" s="129">
        <v>-54073</v>
      </c>
      <c r="AL22" s="129">
        <v>0</v>
      </c>
      <c r="AM22" s="129">
        <v>-54073</v>
      </c>
      <c r="AN22" s="129">
        <v>1433289</v>
      </c>
      <c r="AO22" s="129">
        <v>305008</v>
      </c>
      <c r="AP22" s="129">
        <v>1738297</v>
      </c>
      <c r="AQ22" s="129">
        <v>-6224650</v>
      </c>
      <c r="AR22" s="129">
        <v>188948</v>
      </c>
      <c r="AS22" s="129">
        <v>-6035702</v>
      </c>
      <c r="AT22" s="129">
        <v>-9826141</v>
      </c>
      <c r="AU22" s="129">
        <v>-243149</v>
      </c>
      <c r="AV22" s="129">
        <v>-10069290</v>
      </c>
      <c r="AW22" s="129">
        <v>-170347</v>
      </c>
      <c r="AX22" s="129">
        <v>0</v>
      </c>
      <c r="AY22" s="129">
        <v>-170347</v>
      </c>
      <c r="AZ22" s="129">
        <v>-17688</v>
      </c>
      <c r="BA22" s="129">
        <v>0</v>
      </c>
      <c r="BB22" s="129">
        <v>-17688</v>
      </c>
      <c r="BC22" s="129">
        <v>0</v>
      </c>
      <c r="BD22" s="129">
        <v>0</v>
      </c>
      <c r="BE22" s="129">
        <v>0</v>
      </c>
      <c r="BF22" s="129">
        <v>-16238826</v>
      </c>
      <c r="BG22" s="129">
        <v>-54201</v>
      </c>
      <c r="BH22" s="129">
        <v>-383000</v>
      </c>
      <c r="BI22" s="129">
        <v>-6000</v>
      </c>
      <c r="BJ22" s="129">
        <v>-16621826</v>
      </c>
      <c r="BK22" s="129">
        <v>-60201</v>
      </c>
      <c r="BL22" s="129">
        <v>-16682027</v>
      </c>
      <c r="BM22" s="129">
        <v>0</v>
      </c>
      <c r="BN22" s="129">
        <v>0</v>
      </c>
      <c r="BO22" s="129">
        <v>0</v>
      </c>
      <c r="BP22" s="129">
        <v>-3406981</v>
      </c>
      <c r="BQ22" s="129">
        <v>-471288</v>
      </c>
      <c r="BR22" s="129">
        <v>-3878269</v>
      </c>
      <c r="BS22" s="129">
        <v>-3406981</v>
      </c>
      <c r="BT22" s="129">
        <v>-471288</v>
      </c>
      <c r="BU22" s="129">
        <v>-753904</v>
      </c>
      <c r="BV22" s="129">
        <v>-55827</v>
      </c>
      <c r="BW22" s="129">
        <v>-4160885</v>
      </c>
      <c r="BX22" s="129">
        <v>-527115</v>
      </c>
      <c r="BY22" s="129">
        <v>-4688000</v>
      </c>
      <c r="BZ22" s="129">
        <v>-89571</v>
      </c>
      <c r="CA22" s="129">
        <v>0</v>
      </c>
      <c r="CB22" s="129">
        <v>-89571</v>
      </c>
      <c r="CC22" s="129">
        <v>-29801</v>
      </c>
      <c r="CD22" s="129">
        <v>0</v>
      </c>
      <c r="CE22" s="129">
        <v>-29801</v>
      </c>
      <c r="CF22" s="129">
        <v>-22578</v>
      </c>
      <c r="CG22" s="129">
        <v>0</v>
      </c>
      <c r="CH22" s="129">
        <v>-22578</v>
      </c>
      <c r="CI22" s="129">
        <v>0</v>
      </c>
      <c r="CJ22" s="129">
        <v>0</v>
      </c>
      <c r="CK22" s="129">
        <v>0</v>
      </c>
      <c r="CL22" s="129">
        <v>-26425</v>
      </c>
      <c r="CM22" s="129">
        <v>0</v>
      </c>
      <c r="CN22" s="129">
        <v>-26425</v>
      </c>
      <c r="CO22" s="129">
        <v>0</v>
      </c>
      <c r="CP22" s="129">
        <v>-37300</v>
      </c>
      <c r="CQ22" s="129">
        <v>-37300</v>
      </c>
      <c r="CR22" s="129">
        <v>-37300</v>
      </c>
      <c r="CS22" s="129">
        <v>0</v>
      </c>
      <c r="CT22" s="129">
        <v>-168375</v>
      </c>
      <c r="CU22" s="129">
        <v>-37300</v>
      </c>
      <c r="CV22" s="129">
        <v>0</v>
      </c>
      <c r="CW22" s="129">
        <v>0</v>
      </c>
      <c r="CX22" s="129">
        <v>-168375</v>
      </c>
      <c r="CY22" s="129">
        <v>-37300</v>
      </c>
      <c r="CZ22" s="129">
        <v>-205675</v>
      </c>
      <c r="DA22" s="129">
        <v>-17688</v>
      </c>
      <c r="DB22" s="129">
        <v>0</v>
      </c>
      <c r="DC22" s="129">
        <v>-17688</v>
      </c>
      <c r="DD22" s="129">
        <v>-28160</v>
      </c>
      <c r="DE22" s="129">
        <v>0</v>
      </c>
      <c r="DF22" s="129">
        <v>-28160</v>
      </c>
      <c r="DG22" s="129">
        <v>0</v>
      </c>
      <c r="DH22" s="129">
        <v>0</v>
      </c>
      <c r="DI22" s="129">
        <v>0</v>
      </c>
      <c r="DJ22" s="129">
        <v>-45848</v>
      </c>
      <c r="DK22" s="129">
        <v>0</v>
      </c>
      <c r="DL22" s="129">
        <v>0</v>
      </c>
      <c r="DM22" s="129">
        <v>0</v>
      </c>
      <c r="DN22" s="129">
        <v>-45848</v>
      </c>
      <c r="DO22" s="129">
        <v>0</v>
      </c>
      <c r="DP22" s="129">
        <v>-45848</v>
      </c>
      <c r="DQ22" s="129">
        <v>65352126</v>
      </c>
      <c r="DR22" s="129">
        <v>5921209</v>
      </c>
      <c r="DS22" s="129">
        <v>71273335</v>
      </c>
      <c r="DT22" s="662" t="s">
        <v>826</v>
      </c>
      <c r="DU22" s="324" t="s">
        <v>486</v>
      </c>
      <c r="DV22" s="663" t="s">
        <v>487</v>
      </c>
      <c r="DW22" s="529" t="s">
        <v>1225</v>
      </c>
    </row>
    <row r="23" spans="1:127" ht="12.75" x14ac:dyDescent="0.2">
      <c r="A23" s="664">
        <v>16</v>
      </c>
      <c r="B23" s="665" t="s">
        <v>658</v>
      </c>
      <c r="C23" s="666" t="s">
        <v>486</v>
      </c>
      <c r="D23" s="667" t="s">
        <v>1211</v>
      </c>
      <c r="E23" s="668" t="s">
        <v>657</v>
      </c>
      <c r="F23" s="753" t="s">
        <v>1883</v>
      </c>
      <c r="G23" s="129">
        <v>169749036</v>
      </c>
      <c r="H23" s="129">
        <v>0</v>
      </c>
      <c r="I23" s="129">
        <v>169749036</v>
      </c>
      <c r="J23" s="793">
        <v>49.9</v>
      </c>
      <c r="K23" s="129">
        <v>84704769</v>
      </c>
      <c r="L23" s="129">
        <v>0</v>
      </c>
      <c r="M23" s="129">
        <v>1700000</v>
      </c>
      <c r="N23" s="129">
        <v>0</v>
      </c>
      <c r="O23" s="129">
        <v>86404769</v>
      </c>
      <c r="P23" s="129">
        <v>0</v>
      </c>
      <c r="Q23" s="129">
        <v>86404769</v>
      </c>
      <c r="R23" s="129">
        <v>-73588</v>
      </c>
      <c r="S23" s="129">
        <v>0</v>
      </c>
      <c r="T23" s="129">
        <v>-73588</v>
      </c>
      <c r="U23" s="129">
        <v>1149187</v>
      </c>
      <c r="V23" s="129">
        <v>0</v>
      </c>
      <c r="W23" s="129">
        <v>1149187</v>
      </c>
      <c r="X23" s="129">
        <v>1075599</v>
      </c>
      <c r="Y23" s="129">
        <v>0</v>
      </c>
      <c r="Z23" s="129">
        <v>0</v>
      </c>
      <c r="AA23" s="129">
        <v>0</v>
      </c>
      <c r="AB23" s="129">
        <v>1075599</v>
      </c>
      <c r="AC23" s="129">
        <v>0</v>
      </c>
      <c r="AD23" s="129">
        <v>1075599</v>
      </c>
      <c r="AE23" s="129">
        <v>-1075599</v>
      </c>
      <c r="AF23" s="129">
        <v>0</v>
      </c>
      <c r="AG23" s="129">
        <v>-1075599</v>
      </c>
      <c r="AH23" s="129">
        <v>-6058039</v>
      </c>
      <c r="AI23" s="129">
        <v>0</v>
      </c>
      <c r="AJ23" s="129">
        <v>-6058039</v>
      </c>
      <c r="AK23" s="129">
        <v>-16267</v>
      </c>
      <c r="AL23" s="129">
        <v>0</v>
      </c>
      <c r="AM23" s="129">
        <v>-16267</v>
      </c>
      <c r="AN23" s="129">
        <v>1671645</v>
      </c>
      <c r="AO23" s="129">
        <v>0</v>
      </c>
      <c r="AP23" s="129">
        <v>1671645</v>
      </c>
      <c r="AQ23" s="129">
        <v>-4386394</v>
      </c>
      <c r="AR23" s="129">
        <v>0</v>
      </c>
      <c r="AS23" s="129">
        <v>-4386394</v>
      </c>
      <c r="AT23" s="129">
        <v>-6698728</v>
      </c>
      <c r="AU23" s="129">
        <v>0</v>
      </c>
      <c r="AV23" s="129">
        <v>-6698728</v>
      </c>
      <c r="AW23" s="129">
        <v>-166728</v>
      </c>
      <c r="AX23" s="129">
        <v>0</v>
      </c>
      <c r="AY23" s="129">
        <v>-166728</v>
      </c>
      <c r="AZ23" s="129">
        <v>-31421</v>
      </c>
      <c r="BA23" s="129">
        <v>0</v>
      </c>
      <c r="BB23" s="129">
        <v>-31421</v>
      </c>
      <c r="BC23" s="129">
        <v>0</v>
      </c>
      <c r="BD23" s="129">
        <v>0</v>
      </c>
      <c r="BE23" s="129">
        <v>0</v>
      </c>
      <c r="BF23" s="129">
        <v>-11283271</v>
      </c>
      <c r="BG23" s="129">
        <v>0</v>
      </c>
      <c r="BH23" s="129">
        <v>0</v>
      </c>
      <c r="BI23" s="129">
        <v>0</v>
      </c>
      <c r="BJ23" s="129">
        <v>-11283271</v>
      </c>
      <c r="BK23" s="129">
        <v>0</v>
      </c>
      <c r="BL23" s="129">
        <v>-11283271</v>
      </c>
      <c r="BM23" s="129">
        <v>0</v>
      </c>
      <c r="BN23" s="129">
        <v>0</v>
      </c>
      <c r="BO23" s="129">
        <v>0</v>
      </c>
      <c r="BP23" s="129">
        <v>-2500000</v>
      </c>
      <c r="BQ23" s="129">
        <v>0</v>
      </c>
      <c r="BR23" s="129">
        <v>-2500000</v>
      </c>
      <c r="BS23" s="129">
        <v>-2500000</v>
      </c>
      <c r="BT23" s="129">
        <v>0</v>
      </c>
      <c r="BU23" s="129">
        <v>0</v>
      </c>
      <c r="BV23" s="129">
        <v>0</v>
      </c>
      <c r="BW23" s="129">
        <v>-2500000</v>
      </c>
      <c r="BX23" s="129">
        <v>0</v>
      </c>
      <c r="BY23" s="129">
        <v>-2500000</v>
      </c>
      <c r="BZ23" s="129">
        <v>-102000</v>
      </c>
      <c r="CA23" s="129">
        <v>0</v>
      </c>
      <c r="CB23" s="129">
        <v>-102000</v>
      </c>
      <c r="CC23" s="129">
        <v>0</v>
      </c>
      <c r="CD23" s="129">
        <v>0</v>
      </c>
      <c r="CE23" s="129">
        <v>0</v>
      </c>
      <c r="CF23" s="129">
        <v>0</v>
      </c>
      <c r="CG23" s="129">
        <v>0</v>
      </c>
      <c r="CH23" s="129">
        <v>0</v>
      </c>
      <c r="CI23" s="129">
        <v>0</v>
      </c>
      <c r="CJ23" s="129">
        <v>0</v>
      </c>
      <c r="CK23" s="129">
        <v>0</v>
      </c>
      <c r="CL23" s="129">
        <v>0</v>
      </c>
      <c r="CM23" s="129">
        <v>0</v>
      </c>
      <c r="CN23" s="129">
        <v>0</v>
      </c>
      <c r="CO23" s="129">
        <v>0</v>
      </c>
      <c r="CP23" s="129">
        <v>0</v>
      </c>
      <c r="CQ23" s="129">
        <v>0</v>
      </c>
      <c r="CR23" s="129">
        <v>0</v>
      </c>
      <c r="CS23" s="129">
        <v>0</v>
      </c>
      <c r="CT23" s="129">
        <v>-102000</v>
      </c>
      <c r="CU23" s="129">
        <v>0</v>
      </c>
      <c r="CV23" s="129">
        <v>0</v>
      </c>
      <c r="CW23" s="129">
        <v>0</v>
      </c>
      <c r="CX23" s="129">
        <v>-102000</v>
      </c>
      <c r="CY23" s="129">
        <v>0</v>
      </c>
      <c r="CZ23" s="129">
        <v>-102000</v>
      </c>
      <c r="DA23" s="129">
        <v>-32157</v>
      </c>
      <c r="DB23" s="129">
        <v>0</v>
      </c>
      <c r="DC23" s="129">
        <v>-32157</v>
      </c>
      <c r="DD23" s="129">
        <v>-7330</v>
      </c>
      <c r="DE23" s="129">
        <v>0</v>
      </c>
      <c r="DF23" s="129">
        <v>-7330</v>
      </c>
      <c r="DG23" s="129">
        <v>0</v>
      </c>
      <c r="DH23" s="129">
        <v>0</v>
      </c>
      <c r="DI23" s="129">
        <v>0</v>
      </c>
      <c r="DJ23" s="129">
        <v>-39487</v>
      </c>
      <c r="DK23" s="129">
        <v>0</v>
      </c>
      <c r="DL23" s="129">
        <v>0</v>
      </c>
      <c r="DM23" s="129">
        <v>0</v>
      </c>
      <c r="DN23" s="129">
        <v>-39487</v>
      </c>
      <c r="DO23" s="129">
        <v>0</v>
      </c>
      <c r="DP23" s="129">
        <v>-39487</v>
      </c>
      <c r="DQ23" s="129">
        <v>73555610</v>
      </c>
      <c r="DR23" s="129">
        <v>0</v>
      </c>
      <c r="DS23" s="129">
        <v>73555610</v>
      </c>
      <c r="DT23" s="662" t="s">
        <v>657</v>
      </c>
      <c r="DU23" s="324" t="s">
        <v>486</v>
      </c>
      <c r="DV23" s="663" t="s">
        <v>492</v>
      </c>
      <c r="DW23" s="529" t="s">
        <v>1226</v>
      </c>
    </row>
    <row r="24" spans="1:127" ht="12.75" x14ac:dyDescent="0.2">
      <c r="A24" s="664">
        <v>17</v>
      </c>
      <c r="B24" s="665" t="s">
        <v>660</v>
      </c>
      <c r="C24" s="666" t="s">
        <v>1213</v>
      </c>
      <c r="D24" s="667" t="s">
        <v>1214</v>
      </c>
      <c r="E24" s="668" t="s">
        <v>659</v>
      </c>
      <c r="F24" s="753" t="s">
        <v>1884</v>
      </c>
      <c r="G24" s="129">
        <v>191520940</v>
      </c>
      <c r="H24" s="129">
        <v>0</v>
      </c>
      <c r="I24" s="129">
        <v>191520940</v>
      </c>
      <c r="J24" s="793">
        <v>49.9</v>
      </c>
      <c r="K24" s="129">
        <v>95568949</v>
      </c>
      <c r="L24" s="129">
        <v>0</v>
      </c>
      <c r="M24" s="129">
        <v>0</v>
      </c>
      <c r="N24" s="129">
        <v>0</v>
      </c>
      <c r="O24" s="129">
        <v>95568949</v>
      </c>
      <c r="P24" s="129">
        <v>0</v>
      </c>
      <c r="Q24" s="129">
        <v>95568949</v>
      </c>
      <c r="R24" s="129">
        <v>-115094</v>
      </c>
      <c r="S24" s="129">
        <v>0</v>
      </c>
      <c r="T24" s="129">
        <v>-115094</v>
      </c>
      <c r="U24" s="129">
        <v>291189</v>
      </c>
      <c r="V24" s="129">
        <v>0</v>
      </c>
      <c r="W24" s="129">
        <v>291189</v>
      </c>
      <c r="X24" s="129">
        <v>176095</v>
      </c>
      <c r="Y24" s="129">
        <v>0</v>
      </c>
      <c r="Z24" s="129">
        <v>0</v>
      </c>
      <c r="AA24" s="129">
        <v>0</v>
      </c>
      <c r="AB24" s="129">
        <v>176095</v>
      </c>
      <c r="AC24" s="129">
        <v>0</v>
      </c>
      <c r="AD24" s="129">
        <v>176095</v>
      </c>
      <c r="AE24" s="129">
        <v>-176095</v>
      </c>
      <c r="AF24" s="129">
        <v>0</v>
      </c>
      <c r="AG24" s="129">
        <v>-176095</v>
      </c>
      <c r="AH24" s="129">
        <v>-6701845</v>
      </c>
      <c r="AI24" s="129">
        <v>0</v>
      </c>
      <c r="AJ24" s="129">
        <v>-6701845</v>
      </c>
      <c r="AK24" s="129">
        <v>-3293</v>
      </c>
      <c r="AL24" s="129">
        <v>0</v>
      </c>
      <c r="AM24" s="129">
        <v>-3293</v>
      </c>
      <c r="AN24" s="129">
        <v>1879740</v>
      </c>
      <c r="AO24" s="129">
        <v>0</v>
      </c>
      <c r="AP24" s="129">
        <v>1879740</v>
      </c>
      <c r="AQ24" s="129">
        <v>-4822105</v>
      </c>
      <c r="AR24" s="129">
        <v>0</v>
      </c>
      <c r="AS24" s="129">
        <v>-4822105</v>
      </c>
      <c r="AT24" s="129">
        <v>-8651832</v>
      </c>
      <c r="AU24" s="129">
        <v>0</v>
      </c>
      <c r="AV24" s="129">
        <v>-8651832</v>
      </c>
      <c r="AW24" s="129">
        <v>-119460</v>
      </c>
      <c r="AX24" s="129">
        <v>0</v>
      </c>
      <c r="AY24" s="129">
        <v>-119460</v>
      </c>
      <c r="AZ24" s="129">
        <v>0</v>
      </c>
      <c r="BA24" s="129">
        <v>0</v>
      </c>
      <c r="BB24" s="129">
        <v>0</v>
      </c>
      <c r="BC24" s="129">
        <v>0</v>
      </c>
      <c r="BD24" s="129">
        <v>0</v>
      </c>
      <c r="BE24" s="129">
        <v>0</v>
      </c>
      <c r="BF24" s="129">
        <v>-13593397</v>
      </c>
      <c r="BG24" s="129">
        <v>0</v>
      </c>
      <c r="BH24" s="129">
        <v>0</v>
      </c>
      <c r="BI24" s="129">
        <v>0</v>
      </c>
      <c r="BJ24" s="129">
        <v>-13593397</v>
      </c>
      <c r="BK24" s="129">
        <v>0</v>
      </c>
      <c r="BL24" s="129">
        <v>-13593397</v>
      </c>
      <c r="BM24" s="129">
        <v>0</v>
      </c>
      <c r="BN24" s="129">
        <v>0</v>
      </c>
      <c r="BO24" s="129">
        <v>0</v>
      </c>
      <c r="BP24" s="129">
        <v>-1026143</v>
      </c>
      <c r="BQ24" s="129">
        <v>0</v>
      </c>
      <c r="BR24" s="129">
        <v>-1026143</v>
      </c>
      <c r="BS24" s="129">
        <v>-1026143</v>
      </c>
      <c r="BT24" s="129">
        <v>0</v>
      </c>
      <c r="BU24" s="129">
        <v>0</v>
      </c>
      <c r="BV24" s="129">
        <v>0</v>
      </c>
      <c r="BW24" s="129">
        <v>-1026143</v>
      </c>
      <c r="BX24" s="129">
        <v>0</v>
      </c>
      <c r="BY24" s="129">
        <v>-1026143</v>
      </c>
      <c r="BZ24" s="129">
        <v>0</v>
      </c>
      <c r="CA24" s="129">
        <v>0</v>
      </c>
      <c r="CB24" s="129">
        <v>0</v>
      </c>
      <c r="CC24" s="129">
        <v>0</v>
      </c>
      <c r="CD24" s="129">
        <v>0</v>
      </c>
      <c r="CE24" s="129">
        <v>0</v>
      </c>
      <c r="CF24" s="129">
        <v>0</v>
      </c>
      <c r="CG24" s="129">
        <v>0</v>
      </c>
      <c r="CH24" s="129">
        <v>0</v>
      </c>
      <c r="CI24" s="129">
        <v>0</v>
      </c>
      <c r="CJ24" s="129">
        <v>0</v>
      </c>
      <c r="CK24" s="129">
        <v>0</v>
      </c>
      <c r="CL24" s="129">
        <v>0</v>
      </c>
      <c r="CM24" s="129">
        <v>0</v>
      </c>
      <c r="CN24" s="129">
        <v>0</v>
      </c>
      <c r="CO24" s="129">
        <v>0</v>
      </c>
      <c r="CP24" s="129">
        <v>0</v>
      </c>
      <c r="CQ24" s="129">
        <v>0</v>
      </c>
      <c r="CR24" s="129">
        <v>0</v>
      </c>
      <c r="CS24" s="129">
        <v>0</v>
      </c>
      <c r="CT24" s="129">
        <v>0</v>
      </c>
      <c r="CU24" s="129">
        <v>0</v>
      </c>
      <c r="CV24" s="129">
        <v>0</v>
      </c>
      <c r="CW24" s="129">
        <v>0</v>
      </c>
      <c r="CX24" s="129">
        <v>0</v>
      </c>
      <c r="CY24" s="129">
        <v>0</v>
      </c>
      <c r="CZ24" s="129">
        <v>0</v>
      </c>
      <c r="DA24" s="129">
        <v>0</v>
      </c>
      <c r="DB24" s="129">
        <v>0</v>
      </c>
      <c r="DC24" s="129">
        <v>0</v>
      </c>
      <c r="DD24" s="129">
        <v>-23531</v>
      </c>
      <c r="DE24" s="129">
        <v>0</v>
      </c>
      <c r="DF24" s="129">
        <v>-23531</v>
      </c>
      <c r="DG24" s="129">
        <v>0</v>
      </c>
      <c r="DH24" s="129">
        <v>0</v>
      </c>
      <c r="DI24" s="129">
        <v>0</v>
      </c>
      <c r="DJ24" s="129">
        <v>-23531</v>
      </c>
      <c r="DK24" s="129">
        <v>0</v>
      </c>
      <c r="DL24" s="129">
        <v>0</v>
      </c>
      <c r="DM24" s="129">
        <v>0</v>
      </c>
      <c r="DN24" s="129">
        <v>-23531</v>
      </c>
      <c r="DO24" s="129">
        <v>0</v>
      </c>
      <c r="DP24" s="129">
        <v>-23531</v>
      </c>
      <c r="DQ24" s="129">
        <v>81101973</v>
      </c>
      <c r="DR24" s="129">
        <v>0</v>
      </c>
      <c r="DS24" s="129">
        <v>81101973</v>
      </c>
      <c r="DT24" s="662" t="s">
        <v>659</v>
      </c>
      <c r="DU24" s="324" t="s">
        <v>576</v>
      </c>
      <c r="DV24" s="669" t="s">
        <v>485</v>
      </c>
      <c r="DW24" s="529" t="s">
        <v>1227</v>
      </c>
    </row>
    <row r="25" spans="1:127" ht="12.75" x14ac:dyDescent="0.2">
      <c r="A25" s="664">
        <v>18</v>
      </c>
      <c r="B25" s="665" t="s">
        <v>662</v>
      </c>
      <c r="C25" s="666" t="s">
        <v>1217</v>
      </c>
      <c r="D25" s="667" t="s">
        <v>1228</v>
      </c>
      <c r="E25" s="668" t="s">
        <v>661</v>
      </c>
      <c r="F25" s="753" t="s">
        <v>1884</v>
      </c>
      <c r="G25" s="129">
        <v>1091624954</v>
      </c>
      <c r="H25" s="129">
        <v>42690215</v>
      </c>
      <c r="I25" s="129">
        <v>1134315169</v>
      </c>
      <c r="J25" s="793">
        <v>49.9</v>
      </c>
      <c r="K25" s="129">
        <v>544720852</v>
      </c>
      <c r="L25" s="129">
        <v>21302417</v>
      </c>
      <c r="M25" s="129">
        <v>5687175</v>
      </c>
      <c r="N25" s="129">
        <v>2030799</v>
      </c>
      <c r="O25" s="129">
        <v>550408027</v>
      </c>
      <c r="P25" s="129">
        <v>23333216</v>
      </c>
      <c r="Q25" s="129">
        <v>573741243</v>
      </c>
      <c r="R25" s="129">
        <v>-1273500</v>
      </c>
      <c r="S25" s="129">
        <v>0</v>
      </c>
      <c r="T25" s="129">
        <v>-1273500</v>
      </c>
      <c r="U25" s="129">
        <v>1807625</v>
      </c>
      <c r="V25" s="129">
        <v>0</v>
      </c>
      <c r="W25" s="129">
        <v>1807625</v>
      </c>
      <c r="X25" s="129">
        <v>534125</v>
      </c>
      <c r="Y25" s="129">
        <v>0</v>
      </c>
      <c r="Z25" s="129">
        <v>0</v>
      </c>
      <c r="AA25" s="129">
        <v>0</v>
      </c>
      <c r="AB25" s="129">
        <v>534125</v>
      </c>
      <c r="AC25" s="129">
        <v>0</v>
      </c>
      <c r="AD25" s="129">
        <v>534125</v>
      </c>
      <c r="AE25" s="129">
        <v>-534125</v>
      </c>
      <c r="AF25" s="129">
        <v>0</v>
      </c>
      <c r="AG25" s="129">
        <v>-534125</v>
      </c>
      <c r="AH25" s="129">
        <v>-43518100</v>
      </c>
      <c r="AI25" s="129">
        <v>-1041453</v>
      </c>
      <c r="AJ25" s="129">
        <v>-44559553</v>
      </c>
      <c r="AK25" s="129">
        <v>0</v>
      </c>
      <c r="AL25" s="129">
        <v>0</v>
      </c>
      <c r="AM25" s="129">
        <v>0</v>
      </c>
      <c r="AN25" s="129">
        <v>11498226</v>
      </c>
      <c r="AO25" s="129">
        <v>274331</v>
      </c>
      <c r="AP25" s="129">
        <v>11772557</v>
      </c>
      <c r="AQ25" s="129">
        <v>-32019874</v>
      </c>
      <c r="AR25" s="129">
        <v>-767122</v>
      </c>
      <c r="AS25" s="129">
        <v>-32786996</v>
      </c>
      <c r="AT25" s="129">
        <v>-43888650</v>
      </c>
      <c r="AU25" s="129">
        <v>-44249</v>
      </c>
      <c r="AV25" s="129">
        <v>-43932899</v>
      </c>
      <c r="AW25" s="129">
        <v>-135000</v>
      </c>
      <c r="AX25" s="129">
        <v>0</v>
      </c>
      <c r="AY25" s="129">
        <v>-135000</v>
      </c>
      <c r="AZ25" s="129">
        <v>0</v>
      </c>
      <c r="BA25" s="129">
        <v>0</v>
      </c>
      <c r="BB25" s="129">
        <v>0</v>
      </c>
      <c r="BC25" s="129">
        <v>0</v>
      </c>
      <c r="BD25" s="129">
        <v>0</v>
      </c>
      <c r="BE25" s="129">
        <v>0</v>
      </c>
      <c r="BF25" s="129">
        <v>-76043524</v>
      </c>
      <c r="BG25" s="129">
        <v>-811371</v>
      </c>
      <c r="BH25" s="129">
        <v>0</v>
      </c>
      <c r="BI25" s="129">
        <v>0</v>
      </c>
      <c r="BJ25" s="129">
        <v>-76043524</v>
      </c>
      <c r="BK25" s="129">
        <v>-811371</v>
      </c>
      <c r="BL25" s="129">
        <v>-76854895</v>
      </c>
      <c r="BM25" s="129">
        <v>-435962</v>
      </c>
      <c r="BN25" s="129">
        <v>0</v>
      </c>
      <c r="BO25" s="129">
        <v>-435962</v>
      </c>
      <c r="BP25" s="129">
        <v>-23801738</v>
      </c>
      <c r="BQ25" s="129">
        <v>-874992</v>
      </c>
      <c r="BR25" s="129">
        <v>-24676730</v>
      </c>
      <c r="BS25" s="129">
        <v>-24237700</v>
      </c>
      <c r="BT25" s="129">
        <v>-874992</v>
      </c>
      <c r="BU25" s="129">
        <v>0</v>
      </c>
      <c r="BV25" s="129">
        <v>0</v>
      </c>
      <c r="BW25" s="129">
        <v>-24237700</v>
      </c>
      <c r="BX25" s="129">
        <v>-874992</v>
      </c>
      <c r="BY25" s="129">
        <v>-25112692</v>
      </c>
      <c r="BZ25" s="129">
        <v>-50000</v>
      </c>
      <c r="CA25" s="129">
        <v>0</v>
      </c>
      <c r="CB25" s="129">
        <v>-50000</v>
      </c>
      <c r="CC25" s="129">
        <v>-823459</v>
      </c>
      <c r="CD25" s="129">
        <v>-8558</v>
      </c>
      <c r="CE25" s="129">
        <v>-832017</v>
      </c>
      <c r="CF25" s="129">
        <v>0</v>
      </c>
      <c r="CG25" s="129">
        <v>0</v>
      </c>
      <c r="CH25" s="129">
        <v>0</v>
      </c>
      <c r="CI25" s="129">
        <v>0</v>
      </c>
      <c r="CJ25" s="129">
        <v>0</v>
      </c>
      <c r="CK25" s="129">
        <v>0</v>
      </c>
      <c r="CL25" s="129">
        <v>0</v>
      </c>
      <c r="CM25" s="129">
        <v>0</v>
      </c>
      <c r="CN25" s="129">
        <v>0</v>
      </c>
      <c r="CO25" s="129">
        <v>0</v>
      </c>
      <c r="CP25" s="129">
        <v>-872371</v>
      </c>
      <c r="CQ25" s="129">
        <v>-872371</v>
      </c>
      <c r="CR25" s="129">
        <v>-872371</v>
      </c>
      <c r="CS25" s="129">
        <v>0</v>
      </c>
      <c r="CT25" s="129">
        <v>-873459</v>
      </c>
      <c r="CU25" s="129">
        <v>-880929</v>
      </c>
      <c r="CV25" s="129">
        <v>0</v>
      </c>
      <c r="CW25" s="129">
        <v>0</v>
      </c>
      <c r="CX25" s="129">
        <v>-873459</v>
      </c>
      <c r="CY25" s="129">
        <v>-880929</v>
      </c>
      <c r="CZ25" s="129">
        <v>-1754388</v>
      </c>
      <c r="DA25" s="129">
        <v>0</v>
      </c>
      <c r="DB25" s="129">
        <v>0</v>
      </c>
      <c r="DC25" s="129">
        <v>0</v>
      </c>
      <c r="DD25" s="129">
        <v>-526922</v>
      </c>
      <c r="DE25" s="129">
        <v>0</v>
      </c>
      <c r="DF25" s="129">
        <v>-526922</v>
      </c>
      <c r="DG25" s="129">
        <v>0</v>
      </c>
      <c r="DH25" s="129">
        <v>0</v>
      </c>
      <c r="DI25" s="129">
        <v>0</v>
      </c>
      <c r="DJ25" s="129">
        <v>-526922</v>
      </c>
      <c r="DK25" s="129">
        <v>0</v>
      </c>
      <c r="DL25" s="129">
        <v>0</v>
      </c>
      <c r="DM25" s="129">
        <v>0</v>
      </c>
      <c r="DN25" s="129">
        <v>-526922</v>
      </c>
      <c r="DO25" s="129">
        <v>0</v>
      </c>
      <c r="DP25" s="129">
        <v>-526922</v>
      </c>
      <c r="DQ25" s="129">
        <v>449260547</v>
      </c>
      <c r="DR25" s="129">
        <v>20765924</v>
      </c>
      <c r="DS25" s="129">
        <v>470026471</v>
      </c>
      <c r="DT25" s="662" t="s">
        <v>661</v>
      </c>
      <c r="DU25" s="324" t="s">
        <v>570</v>
      </c>
      <c r="DV25" s="663" t="s">
        <v>574</v>
      </c>
      <c r="DW25" s="529" t="s">
        <v>1229</v>
      </c>
    </row>
    <row r="26" spans="1:127" ht="12.75" x14ac:dyDescent="0.2">
      <c r="A26" s="664">
        <v>19</v>
      </c>
      <c r="B26" s="665" t="s">
        <v>664</v>
      </c>
      <c r="C26" s="666" t="s">
        <v>1201</v>
      </c>
      <c r="D26" s="667" t="s">
        <v>1206</v>
      </c>
      <c r="E26" s="668" t="s">
        <v>663</v>
      </c>
      <c r="F26" s="753" t="s">
        <v>1875</v>
      </c>
      <c r="G26" s="129">
        <v>106392537</v>
      </c>
      <c r="H26" s="129">
        <v>0</v>
      </c>
      <c r="I26" s="129">
        <v>106392537</v>
      </c>
      <c r="J26" s="793">
        <v>49.9</v>
      </c>
      <c r="K26" s="129">
        <v>53089876</v>
      </c>
      <c r="L26" s="129">
        <v>0</v>
      </c>
      <c r="M26" s="129">
        <v>4431259</v>
      </c>
      <c r="N26" s="129">
        <v>0</v>
      </c>
      <c r="O26" s="129">
        <v>57521135</v>
      </c>
      <c r="P26" s="129">
        <v>0</v>
      </c>
      <c r="Q26" s="129">
        <v>57521135</v>
      </c>
      <c r="R26" s="129">
        <v>-80638</v>
      </c>
      <c r="S26" s="129">
        <v>0</v>
      </c>
      <c r="T26" s="129">
        <v>-80638</v>
      </c>
      <c r="U26" s="129">
        <v>196529</v>
      </c>
      <c r="V26" s="129">
        <v>0</v>
      </c>
      <c r="W26" s="129">
        <v>196529</v>
      </c>
      <c r="X26" s="129">
        <v>115891</v>
      </c>
      <c r="Y26" s="129">
        <v>0</v>
      </c>
      <c r="Z26" s="129">
        <v>0</v>
      </c>
      <c r="AA26" s="129">
        <v>0</v>
      </c>
      <c r="AB26" s="129">
        <v>115891</v>
      </c>
      <c r="AC26" s="129">
        <v>0</v>
      </c>
      <c r="AD26" s="129">
        <v>115891</v>
      </c>
      <c r="AE26" s="129">
        <v>-115891</v>
      </c>
      <c r="AF26" s="129">
        <v>0</v>
      </c>
      <c r="AG26" s="129">
        <v>-115891</v>
      </c>
      <c r="AH26" s="129">
        <v>-2500908</v>
      </c>
      <c r="AI26" s="129">
        <v>0</v>
      </c>
      <c r="AJ26" s="129">
        <v>-2500908</v>
      </c>
      <c r="AK26" s="129">
        <v>-6238</v>
      </c>
      <c r="AL26" s="129">
        <v>0</v>
      </c>
      <c r="AM26" s="129">
        <v>-6238</v>
      </c>
      <c r="AN26" s="129">
        <v>1139090</v>
      </c>
      <c r="AO26" s="129">
        <v>0</v>
      </c>
      <c r="AP26" s="129">
        <v>1139090</v>
      </c>
      <c r="AQ26" s="129">
        <v>-1361818</v>
      </c>
      <c r="AR26" s="129">
        <v>0</v>
      </c>
      <c r="AS26" s="129">
        <v>-1361818</v>
      </c>
      <c r="AT26" s="129">
        <v>-1285516</v>
      </c>
      <c r="AU26" s="129">
        <v>0</v>
      </c>
      <c r="AV26" s="129">
        <v>-1285516</v>
      </c>
      <c r="AW26" s="129">
        <v>-49101</v>
      </c>
      <c r="AX26" s="129">
        <v>0</v>
      </c>
      <c r="AY26" s="129">
        <v>-49101</v>
      </c>
      <c r="AZ26" s="129">
        <v>0</v>
      </c>
      <c r="BA26" s="129">
        <v>0</v>
      </c>
      <c r="BB26" s="129">
        <v>0</v>
      </c>
      <c r="BC26" s="129">
        <v>0</v>
      </c>
      <c r="BD26" s="129">
        <v>0</v>
      </c>
      <c r="BE26" s="129">
        <v>0</v>
      </c>
      <c r="BF26" s="129">
        <v>-2696435</v>
      </c>
      <c r="BG26" s="129">
        <v>0</v>
      </c>
      <c r="BH26" s="129">
        <v>0</v>
      </c>
      <c r="BI26" s="129">
        <v>0</v>
      </c>
      <c r="BJ26" s="129">
        <v>-2696435</v>
      </c>
      <c r="BK26" s="129">
        <v>0</v>
      </c>
      <c r="BL26" s="129">
        <v>-2696435</v>
      </c>
      <c r="BM26" s="129">
        <v>0</v>
      </c>
      <c r="BN26" s="129">
        <v>0</v>
      </c>
      <c r="BO26" s="129">
        <v>0</v>
      </c>
      <c r="BP26" s="129">
        <v>-1200000</v>
      </c>
      <c r="BQ26" s="129">
        <v>0</v>
      </c>
      <c r="BR26" s="129">
        <v>-1200000</v>
      </c>
      <c r="BS26" s="129">
        <v>-1200000</v>
      </c>
      <c r="BT26" s="129">
        <v>0</v>
      </c>
      <c r="BU26" s="129">
        <v>0</v>
      </c>
      <c r="BV26" s="129">
        <v>0</v>
      </c>
      <c r="BW26" s="129">
        <v>-1200000</v>
      </c>
      <c r="BX26" s="129">
        <v>0</v>
      </c>
      <c r="BY26" s="129">
        <v>-1200000</v>
      </c>
      <c r="BZ26" s="129">
        <v>-63914</v>
      </c>
      <c r="CA26" s="129">
        <v>0</v>
      </c>
      <c r="CB26" s="129">
        <v>-63914</v>
      </c>
      <c r="CC26" s="129">
        <v>-2382</v>
      </c>
      <c r="CD26" s="129">
        <v>0</v>
      </c>
      <c r="CE26" s="129">
        <v>-2382</v>
      </c>
      <c r="CF26" s="129">
        <v>-3735</v>
      </c>
      <c r="CG26" s="129">
        <v>0</v>
      </c>
      <c r="CH26" s="129">
        <v>-3735</v>
      </c>
      <c r="CI26" s="129">
        <v>0</v>
      </c>
      <c r="CJ26" s="129">
        <v>0</v>
      </c>
      <c r="CK26" s="129">
        <v>0</v>
      </c>
      <c r="CL26" s="129">
        <v>0</v>
      </c>
      <c r="CM26" s="129">
        <v>0</v>
      </c>
      <c r="CN26" s="129">
        <v>0</v>
      </c>
      <c r="CO26" s="129">
        <v>0</v>
      </c>
      <c r="CP26" s="129">
        <v>0</v>
      </c>
      <c r="CQ26" s="129">
        <v>0</v>
      </c>
      <c r="CR26" s="129">
        <v>0</v>
      </c>
      <c r="CS26" s="129">
        <v>0</v>
      </c>
      <c r="CT26" s="129">
        <v>-70031</v>
      </c>
      <c r="CU26" s="129">
        <v>0</v>
      </c>
      <c r="CV26" s="129">
        <v>0</v>
      </c>
      <c r="CW26" s="129">
        <v>0</v>
      </c>
      <c r="CX26" s="129">
        <v>-70031</v>
      </c>
      <c r="CY26" s="129">
        <v>0</v>
      </c>
      <c r="CZ26" s="129">
        <v>-70031</v>
      </c>
      <c r="DA26" s="129">
        <v>0</v>
      </c>
      <c r="DB26" s="129">
        <v>0</v>
      </c>
      <c r="DC26" s="129">
        <v>0</v>
      </c>
      <c r="DD26" s="129">
        <v>-9995</v>
      </c>
      <c r="DE26" s="129">
        <v>0</v>
      </c>
      <c r="DF26" s="129">
        <v>-9995</v>
      </c>
      <c r="DG26" s="129">
        <v>0</v>
      </c>
      <c r="DH26" s="129">
        <v>0</v>
      </c>
      <c r="DI26" s="129">
        <v>0</v>
      </c>
      <c r="DJ26" s="129">
        <v>-9995</v>
      </c>
      <c r="DK26" s="129">
        <v>0</v>
      </c>
      <c r="DL26" s="129">
        <v>0</v>
      </c>
      <c r="DM26" s="129">
        <v>0</v>
      </c>
      <c r="DN26" s="129">
        <v>-9995</v>
      </c>
      <c r="DO26" s="129">
        <v>0</v>
      </c>
      <c r="DP26" s="129">
        <v>-9995</v>
      </c>
      <c r="DQ26" s="129">
        <v>53660565</v>
      </c>
      <c r="DR26" s="129">
        <v>0</v>
      </c>
      <c r="DS26" s="129">
        <v>53660565</v>
      </c>
      <c r="DT26" s="662" t="s">
        <v>663</v>
      </c>
      <c r="DU26" s="324" t="s">
        <v>551</v>
      </c>
      <c r="DV26" s="663" t="s">
        <v>549</v>
      </c>
      <c r="DW26" s="529" t="s">
        <v>1230</v>
      </c>
    </row>
    <row r="27" spans="1:127" ht="12.75" x14ac:dyDescent="0.2">
      <c r="A27" s="664">
        <v>20</v>
      </c>
      <c r="B27" s="665" t="s">
        <v>665</v>
      </c>
      <c r="C27" s="666" t="s">
        <v>486</v>
      </c>
      <c r="D27" s="667" t="s">
        <v>1204</v>
      </c>
      <c r="E27" s="668" t="s">
        <v>544</v>
      </c>
      <c r="F27" s="753" t="s">
        <v>1875</v>
      </c>
      <c r="G27" s="129">
        <v>120399251</v>
      </c>
      <c r="H27" s="129">
        <v>0</v>
      </c>
      <c r="I27" s="129">
        <v>120399251</v>
      </c>
      <c r="J27" s="793">
        <v>49.9</v>
      </c>
      <c r="K27" s="129">
        <v>60079226</v>
      </c>
      <c r="L27" s="129">
        <v>0</v>
      </c>
      <c r="M27" s="129">
        <v>0</v>
      </c>
      <c r="N27" s="129">
        <v>0</v>
      </c>
      <c r="O27" s="129">
        <v>60079226</v>
      </c>
      <c r="P27" s="129">
        <v>0</v>
      </c>
      <c r="Q27" s="129">
        <v>60079226</v>
      </c>
      <c r="R27" s="129">
        <v>0</v>
      </c>
      <c r="S27" s="129">
        <v>0</v>
      </c>
      <c r="T27" s="129">
        <v>0</v>
      </c>
      <c r="U27" s="129">
        <v>800000</v>
      </c>
      <c r="V27" s="129">
        <v>0</v>
      </c>
      <c r="W27" s="129">
        <v>800000</v>
      </c>
      <c r="X27" s="129">
        <v>800000</v>
      </c>
      <c r="Y27" s="129">
        <v>0</v>
      </c>
      <c r="Z27" s="129">
        <v>0</v>
      </c>
      <c r="AA27" s="129">
        <v>0</v>
      </c>
      <c r="AB27" s="129">
        <v>800000</v>
      </c>
      <c r="AC27" s="129">
        <v>0</v>
      </c>
      <c r="AD27" s="129">
        <v>800000</v>
      </c>
      <c r="AE27" s="129">
        <v>-800000</v>
      </c>
      <c r="AF27" s="129">
        <v>0</v>
      </c>
      <c r="AG27" s="129">
        <v>-800000</v>
      </c>
      <c r="AH27" s="129">
        <v>-8800000</v>
      </c>
      <c r="AI27" s="129">
        <v>0</v>
      </c>
      <c r="AJ27" s="129">
        <v>-8800000</v>
      </c>
      <c r="AK27" s="129">
        <v>-30000</v>
      </c>
      <c r="AL27" s="129">
        <v>0</v>
      </c>
      <c r="AM27" s="129">
        <v>-30000</v>
      </c>
      <c r="AN27" s="129">
        <v>1030000</v>
      </c>
      <c r="AO27" s="129">
        <v>0</v>
      </c>
      <c r="AP27" s="129">
        <v>1030000</v>
      </c>
      <c r="AQ27" s="129">
        <v>-7770000</v>
      </c>
      <c r="AR27" s="129">
        <v>0</v>
      </c>
      <c r="AS27" s="129">
        <v>-7770000</v>
      </c>
      <c r="AT27" s="129">
        <v>-5000000</v>
      </c>
      <c r="AU27" s="129">
        <v>0</v>
      </c>
      <c r="AV27" s="129">
        <v>-5000000</v>
      </c>
      <c r="AW27" s="129">
        <v>-87000</v>
      </c>
      <c r="AX27" s="129">
        <v>0</v>
      </c>
      <c r="AY27" s="129">
        <v>-87000</v>
      </c>
      <c r="AZ27" s="129">
        <v>-3500</v>
      </c>
      <c r="BA27" s="129">
        <v>0</v>
      </c>
      <c r="BB27" s="129">
        <v>-3500</v>
      </c>
      <c r="BC27" s="129">
        <v>0</v>
      </c>
      <c r="BD27" s="129">
        <v>0</v>
      </c>
      <c r="BE27" s="129">
        <v>0</v>
      </c>
      <c r="BF27" s="129">
        <v>-12860500</v>
      </c>
      <c r="BG27" s="129">
        <v>0</v>
      </c>
      <c r="BH27" s="129">
        <v>0</v>
      </c>
      <c r="BI27" s="129">
        <v>0</v>
      </c>
      <c r="BJ27" s="129">
        <v>-12860500</v>
      </c>
      <c r="BK27" s="129">
        <v>0</v>
      </c>
      <c r="BL27" s="129">
        <v>-12860500</v>
      </c>
      <c r="BM27" s="129">
        <v>-50000</v>
      </c>
      <c r="BN27" s="129">
        <v>0</v>
      </c>
      <c r="BO27" s="129">
        <v>-50000</v>
      </c>
      <c r="BP27" s="129">
        <v>-1950000</v>
      </c>
      <c r="BQ27" s="129">
        <v>0</v>
      </c>
      <c r="BR27" s="129">
        <v>-1950000</v>
      </c>
      <c r="BS27" s="129">
        <v>-2000000</v>
      </c>
      <c r="BT27" s="129">
        <v>0</v>
      </c>
      <c r="BU27" s="129">
        <v>0</v>
      </c>
      <c r="BV27" s="129">
        <v>0</v>
      </c>
      <c r="BW27" s="129">
        <v>-2000000</v>
      </c>
      <c r="BX27" s="129">
        <v>0</v>
      </c>
      <c r="BY27" s="129">
        <v>-2000000</v>
      </c>
      <c r="BZ27" s="129">
        <v>-20000</v>
      </c>
      <c r="CA27" s="129">
        <v>0</v>
      </c>
      <c r="CB27" s="129">
        <v>-20000</v>
      </c>
      <c r="CC27" s="129">
        <v>0</v>
      </c>
      <c r="CD27" s="129">
        <v>0</v>
      </c>
      <c r="CE27" s="129">
        <v>0</v>
      </c>
      <c r="CF27" s="129">
        <v>0</v>
      </c>
      <c r="CG27" s="129">
        <v>0</v>
      </c>
      <c r="CH27" s="129">
        <v>0</v>
      </c>
      <c r="CI27" s="129">
        <v>0</v>
      </c>
      <c r="CJ27" s="129">
        <v>0</v>
      </c>
      <c r="CK27" s="129">
        <v>0</v>
      </c>
      <c r="CL27" s="129">
        <v>0</v>
      </c>
      <c r="CM27" s="129">
        <v>0</v>
      </c>
      <c r="CN27" s="129">
        <v>0</v>
      </c>
      <c r="CO27" s="129">
        <v>0</v>
      </c>
      <c r="CP27" s="129">
        <v>0</v>
      </c>
      <c r="CQ27" s="129">
        <v>0</v>
      </c>
      <c r="CR27" s="129">
        <v>0</v>
      </c>
      <c r="CS27" s="129">
        <v>0</v>
      </c>
      <c r="CT27" s="129">
        <v>-20000</v>
      </c>
      <c r="CU27" s="129">
        <v>0</v>
      </c>
      <c r="CV27" s="129">
        <v>0</v>
      </c>
      <c r="CW27" s="129">
        <v>0</v>
      </c>
      <c r="CX27" s="129">
        <v>-20000</v>
      </c>
      <c r="CY27" s="129">
        <v>0</v>
      </c>
      <c r="CZ27" s="129">
        <v>-20000</v>
      </c>
      <c r="DA27" s="129">
        <v>-3500</v>
      </c>
      <c r="DB27" s="129">
        <v>0</v>
      </c>
      <c r="DC27" s="129">
        <v>-3500</v>
      </c>
      <c r="DD27" s="129">
        <v>-20000</v>
      </c>
      <c r="DE27" s="129">
        <v>0</v>
      </c>
      <c r="DF27" s="129">
        <v>-20000</v>
      </c>
      <c r="DG27" s="129">
        <v>0</v>
      </c>
      <c r="DH27" s="129">
        <v>0</v>
      </c>
      <c r="DI27" s="129">
        <v>0</v>
      </c>
      <c r="DJ27" s="129">
        <v>-23500</v>
      </c>
      <c r="DK27" s="129">
        <v>0</v>
      </c>
      <c r="DL27" s="129">
        <v>0</v>
      </c>
      <c r="DM27" s="129">
        <v>0</v>
      </c>
      <c r="DN27" s="129">
        <v>-23500</v>
      </c>
      <c r="DO27" s="129">
        <v>0</v>
      </c>
      <c r="DP27" s="129">
        <v>-23500</v>
      </c>
      <c r="DQ27" s="129">
        <v>45975226</v>
      </c>
      <c r="DR27" s="129">
        <v>0</v>
      </c>
      <c r="DS27" s="129">
        <v>45975226</v>
      </c>
      <c r="DT27" s="662" t="s">
        <v>544</v>
      </c>
      <c r="DU27" s="324" t="s">
        <v>486</v>
      </c>
      <c r="DV27" s="663" t="s">
        <v>545</v>
      </c>
      <c r="DW27" s="529" t="s">
        <v>1231</v>
      </c>
    </row>
    <row r="28" spans="1:127" ht="12.75" x14ac:dyDescent="0.2">
      <c r="A28" s="664">
        <v>21</v>
      </c>
      <c r="B28" s="665" t="s">
        <v>667</v>
      </c>
      <c r="C28" s="666" t="s">
        <v>486</v>
      </c>
      <c r="D28" s="667" t="s">
        <v>1204</v>
      </c>
      <c r="E28" s="668" t="s">
        <v>546</v>
      </c>
      <c r="F28" s="753" t="s">
        <v>1885</v>
      </c>
      <c r="G28" s="129">
        <v>120217268</v>
      </c>
      <c r="H28" s="129">
        <v>5124770</v>
      </c>
      <c r="I28" s="129">
        <v>125342038</v>
      </c>
      <c r="J28" s="793">
        <v>49.9</v>
      </c>
      <c r="K28" s="129">
        <v>59988417</v>
      </c>
      <c r="L28" s="129">
        <v>2557260</v>
      </c>
      <c r="M28" s="129">
        <v>-4137000</v>
      </c>
      <c r="N28" s="129">
        <v>-173000</v>
      </c>
      <c r="O28" s="129">
        <v>55851417</v>
      </c>
      <c r="P28" s="129">
        <v>2384260</v>
      </c>
      <c r="Q28" s="129">
        <v>58235677</v>
      </c>
      <c r="R28" s="129">
        <v>-92604</v>
      </c>
      <c r="S28" s="129">
        <v>0</v>
      </c>
      <c r="T28" s="129">
        <v>-92604</v>
      </c>
      <c r="U28" s="129">
        <v>315813</v>
      </c>
      <c r="V28" s="129">
        <v>0</v>
      </c>
      <c r="W28" s="129">
        <v>315813</v>
      </c>
      <c r="X28" s="129">
        <v>223209</v>
      </c>
      <c r="Y28" s="129">
        <v>0</v>
      </c>
      <c r="Z28" s="129">
        <v>277000</v>
      </c>
      <c r="AA28" s="129">
        <v>0</v>
      </c>
      <c r="AB28" s="129">
        <v>500209</v>
      </c>
      <c r="AC28" s="129">
        <v>0</v>
      </c>
      <c r="AD28" s="129">
        <v>500209</v>
      </c>
      <c r="AE28" s="129">
        <v>-500209</v>
      </c>
      <c r="AF28" s="129">
        <v>0</v>
      </c>
      <c r="AG28" s="129">
        <v>-500209</v>
      </c>
      <c r="AH28" s="129">
        <v>-9213477</v>
      </c>
      <c r="AI28" s="129">
        <v>-244693</v>
      </c>
      <c r="AJ28" s="129">
        <v>-9458170</v>
      </c>
      <c r="AK28" s="129">
        <v>-4740</v>
      </c>
      <c r="AL28" s="129">
        <v>0</v>
      </c>
      <c r="AM28" s="129">
        <v>-4740</v>
      </c>
      <c r="AN28" s="129">
        <v>1015044</v>
      </c>
      <c r="AO28" s="129">
        <v>38679</v>
      </c>
      <c r="AP28" s="129">
        <v>1053723</v>
      </c>
      <c r="AQ28" s="129">
        <v>-8198433</v>
      </c>
      <c r="AR28" s="129">
        <v>-206014</v>
      </c>
      <c r="AS28" s="129">
        <v>-8404447</v>
      </c>
      <c r="AT28" s="129">
        <v>-3064645</v>
      </c>
      <c r="AU28" s="129">
        <v>-29041</v>
      </c>
      <c r="AV28" s="129">
        <v>-3093686</v>
      </c>
      <c r="AW28" s="129">
        <v>0</v>
      </c>
      <c r="AX28" s="129">
        <v>0</v>
      </c>
      <c r="AY28" s="129">
        <v>0</v>
      </c>
      <c r="AZ28" s="129">
        <v>0</v>
      </c>
      <c r="BA28" s="129">
        <v>0</v>
      </c>
      <c r="BB28" s="129">
        <v>0</v>
      </c>
      <c r="BC28" s="129">
        <v>0</v>
      </c>
      <c r="BD28" s="129">
        <v>0</v>
      </c>
      <c r="BE28" s="129">
        <v>0</v>
      </c>
      <c r="BF28" s="129">
        <v>-11263078</v>
      </c>
      <c r="BG28" s="129">
        <v>-235055</v>
      </c>
      <c r="BH28" s="129">
        <v>298000</v>
      </c>
      <c r="BI28" s="129">
        <v>8000</v>
      </c>
      <c r="BJ28" s="129">
        <v>-10965078</v>
      </c>
      <c r="BK28" s="129">
        <v>-227055</v>
      </c>
      <c r="BL28" s="129">
        <v>-11192133</v>
      </c>
      <c r="BM28" s="129">
        <v>-11000</v>
      </c>
      <c r="BN28" s="129">
        <v>0</v>
      </c>
      <c r="BO28" s="129">
        <v>-11000</v>
      </c>
      <c r="BP28" s="129">
        <v>-1425280</v>
      </c>
      <c r="BQ28" s="129">
        <v>-173547</v>
      </c>
      <c r="BR28" s="129">
        <v>-1598827</v>
      </c>
      <c r="BS28" s="129">
        <v>-1436280</v>
      </c>
      <c r="BT28" s="129">
        <v>-173547</v>
      </c>
      <c r="BU28" s="129">
        <v>-100000</v>
      </c>
      <c r="BV28" s="129">
        <v>-25000</v>
      </c>
      <c r="BW28" s="129">
        <v>-1536280</v>
      </c>
      <c r="BX28" s="129">
        <v>-198547</v>
      </c>
      <c r="BY28" s="129">
        <v>-1734827</v>
      </c>
      <c r="BZ28" s="129">
        <v>-4326</v>
      </c>
      <c r="CA28" s="129">
        <v>0</v>
      </c>
      <c r="CB28" s="129">
        <v>-4326</v>
      </c>
      <c r="CC28" s="129">
        <v>-19262</v>
      </c>
      <c r="CD28" s="129">
        <v>-6387</v>
      </c>
      <c r="CE28" s="129">
        <v>-25649</v>
      </c>
      <c r="CF28" s="129">
        <v>0</v>
      </c>
      <c r="CG28" s="129">
        <v>0</v>
      </c>
      <c r="CH28" s="129">
        <v>0</v>
      </c>
      <c r="CI28" s="129">
        <v>0</v>
      </c>
      <c r="CJ28" s="129">
        <v>0</v>
      </c>
      <c r="CK28" s="129">
        <v>0</v>
      </c>
      <c r="CL28" s="129">
        <v>0</v>
      </c>
      <c r="CM28" s="129">
        <v>0</v>
      </c>
      <c r="CN28" s="129">
        <v>0</v>
      </c>
      <c r="CO28" s="129">
        <v>0</v>
      </c>
      <c r="CP28" s="129">
        <v>-307132</v>
      </c>
      <c r="CQ28" s="129">
        <v>-307132</v>
      </c>
      <c r="CR28" s="129">
        <v>-307132</v>
      </c>
      <c r="CS28" s="129">
        <v>0</v>
      </c>
      <c r="CT28" s="129">
        <v>-23588</v>
      </c>
      <c r="CU28" s="129">
        <v>-313519</v>
      </c>
      <c r="CV28" s="129">
        <v>-2000</v>
      </c>
      <c r="CW28" s="129">
        <v>-1000</v>
      </c>
      <c r="CX28" s="129">
        <v>-25588</v>
      </c>
      <c r="CY28" s="129">
        <v>-314519</v>
      </c>
      <c r="CZ28" s="129">
        <v>-340107</v>
      </c>
      <c r="DA28" s="129">
        <v>0</v>
      </c>
      <c r="DB28" s="129">
        <v>0</v>
      </c>
      <c r="DC28" s="129">
        <v>0</v>
      </c>
      <c r="DD28" s="129">
        <v>-14958</v>
      </c>
      <c r="DE28" s="129">
        <v>0</v>
      </c>
      <c r="DF28" s="129">
        <v>-14958</v>
      </c>
      <c r="DG28" s="129">
        <v>0</v>
      </c>
      <c r="DH28" s="129">
        <v>0</v>
      </c>
      <c r="DI28" s="129">
        <v>0</v>
      </c>
      <c r="DJ28" s="129">
        <v>-14958</v>
      </c>
      <c r="DK28" s="129">
        <v>0</v>
      </c>
      <c r="DL28" s="129">
        <v>0</v>
      </c>
      <c r="DM28" s="129">
        <v>0</v>
      </c>
      <c r="DN28" s="129">
        <v>-14958</v>
      </c>
      <c r="DO28" s="129">
        <v>0</v>
      </c>
      <c r="DP28" s="129">
        <v>-14958</v>
      </c>
      <c r="DQ28" s="129">
        <v>43809722</v>
      </c>
      <c r="DR28" s="129">
        <v>1644139</v>
      </c>
      <c r="DS28" s="129">
        <v>45453861</v>
      </c>
      <c r="DT28" s="662" t="s">
        <v>546</v>
      </c>
      <c r="DU28" s="324" t="s">
        <v>486</v>
      </c>
      <c r="DV28" s="663" t="s">
        <v>545</v>
      </c>
      <c r="DW28" s="529" t="s">
        <v>1232</v>
      </c>
    </row>
    <row r="29" spans="1:127" ht="12.75" x14ac:dyDescent="0.2">
      <c r="A29" s="664">
        <v>22</v>
      </c>
      <c r="B29" s="665" t="s">
        <v>669</v>
      </c>
      <c r="C29" s="666" t="s">
        <v>1201</v>
      </c>
      <c r="D29" s="667" t="s">
        <v>1206</v>
      </c>
      <c r="E29" s="668" t="s">
        <v>668</v>
      </c>
      <c r="F29" s="753" t="s">
        <v>1886</v>
      </c>
      <c r="G29" s="129">
        <v>65165556</v>
      </c>
      <c r="H29" s="129">
        <v>0</v>
      </c>
      <c r="I29" s="129">
        <v>65165556</v>
      </c>
      <c r="J29" s="793">
        <v>49.9</v>
      </c>
      <c r="K29" s="129">
        <v>32517612</v>
      </c>
      <c r="L29" s="129">
        <v>0</v>
      </c>
      <c r="M29" s="129">
        <v>0</v>
      </c>
      <c r="N29" s="129">
        <v>0</v>
      </c>
      <c r="O29" s="129">
        <v>32517612</v>
      </c>
      <c r="P29" s="129">
        <v>0</v>
      </c>
      <c r="Q29" s="129">
        <v>32517612</v>
      </c>
      <c r="R29" s="129">
        <v>-94060</v>
      </c>
      <c r="S29" s="129">
        <v>0</v>
      </c>
      <c r="T29" s="129">
        <v>-94060</v>
      </c>
      <c r="U29" s="129">
        <v>157668</v>
      </c>
      <c r="V29" s="129">
        <v>0</v>
      </c>
      <c r="W29" s="129">
        <v>157668</v>
      </c>
      <c r="X29" s="129">
        <v>63608</v>
      </c>
      <c r="Y29" s="129">
        <v>0</v>
      </c>
      <c r="Z29" s="129">
        <v>0</v>
      </c>
      <c r="AA29" s="129">
        <v>0</v>
      </c>
      <c r="AB29" s="129">
        <v>63608</v>
      </c>
      <c r="AC29" s="129">
        <v>0</v>
      </c>
      <c r="AD29" s="129">
        <v>63608</v>
      </c>
      <c r="AE29" s="129">
        <v>-63608</v>
      </c>
      <c r="AF29" s="129">
        <v>0</v>
      </c>
      <c r="AG29" s="129">
        <v>-63608</v>
      </c>
      <c r="AH29" s="129">
        <v>-2382082</v>
      </c>
      <c r="AI29" s="129">
        <v>0</v>
      </c>
      <c r="AJ29" s="129">
        <v>-2382082</v>
      </c>
      <c r="AK29" s="129">
        <v>-2620</v>
      </c>
      <c r="AL29" s="129">
        <v>0</v>
      </c>
      <c r="AM29" s="129">
        <v>-2620</v>
      </c>
      <c r="AN29" s="129">
        <v>645209</v>
      </c>
      <c r="AO29" s="129">
        <v>0</v>
      </c>
      <c r="AP29" s="129">
        <v>645209</v>
      </c>
      <c r="AQ29" s="129">
        <v>-1736873</v>
      </c>
      <c r="AR29" s="129">
        <v>0</v>
      </c>
      <c r="AS29" s="129">
        <v>-1736873</v>
      </c>
      <c r="AT29" s="129">
        <v>-953481</v>
      </c>
      <c r="AU29" s="129">
        <v>0</v>
      </c>
      <c r="AV29" s="129">
        <v>-953481</v>
      </c>
      <c r="AW29" s="129">
        <v>0</v>
      </c>
      <c r="AX29" s="129">
        <v>0</v>
      </c>
      <c r="AY29" s="129">
        <v>0</v>
      </c>
      <c r="AZ29" s="129">
        <v>-9716</v>
      </c>
      <c r="BA29" s="129">
        <v>0</v>
      </c>
      <c r="BB29" s="129">
        <v>-9716</v>
      </c>
      <c r="BC29" s="129">
        <v>0</v>
      </c>
      <c r="BD29" s="129">
        <v>0</v>
      </c>
      <c r="BE29" s="129">
        <v>0</v>
      </c>
      <c r="BF29" s="129">
        <v>-2700070</v>
      </c>
      <c r="BG29" s="129">
        <v>0</v>
      </c>
      <c r="BH29" s="129">
        <v>0</v>
      </c>
      <c r="BI29" s="129">
        <v>0</v>
      </c>
      <c r="BJ29" s="129">
        <v>-2700070</v>
      </c>
      <c r="BK29" s="129">
        <v>0</v>
      </c>
      <c r="BL29" s="129">
        <v>-2700070</v>
      </c>
      <c r="BM29" s="129">
        <v>0</v>
      </c>
      <c r="BN29" s="129">
        <v>0</v>
      </c>
      <c r="BO29" s="129">
        <v>0</v>
      </c>
      <c r="BP29" s="129">
        <v>-549347</v>
      </c>
      <c r="BQ29" s="129">
        <v>0</v>
      </c>
      <c r="BR29" s="129">
        <v>-549347</v>
      </c>
      <c r="BS29" s="129">
        <v>-549347</v>
      </c>
      <c r="BT29" s="129">
        <v>0</v>
      </c>
      <c r="BU29" s="129">
        <v>0</v>
      </c>
      <c r="BV29" s="129">
        <v>0</v>
      </c>
      <c r="BW29" s="129">
        <v>-549347</v>
      </c>
      <c r="BX29" s="129">
        <v>0</v>
      </c>
      <c r="BY29" s="129">
        <v>-549347</v>
      </c>
      <c r="BZ29" s="129">
        <v>-614</v>
      </c>
      <c r="CA29" s="129">
        <v>0</v>
      </c>
      <c r="CB29" s="129">
        <v>-614</v>
      </c>
      <c r="CC29" s="129">
        <v>-15666</v>
      </c>
      <c r="CD29" s="129">
        <v>0</v>
      </c>
      <c r="CE29" s="129">
        <v>-15666</v>
      </c>
      <c r="CF29" s="129">
        <v>0</v>
      </c>
      <c r="CG29" s="129">
        <v>0</v>
      </c>
      <c r="CH29" s="129">
        <v>0</v>
      </c>
      <c r="CI29" s="129">
        <v>0</v>
      </c>
      <c r="CJ29" s="129">
        <v>0</v>
      </c>
      <c r="CK29" s="129">
        <v>0</v>
      </c>
      <c r="CL29" s="129">
        <v>0</v>
      </c>
      <c r="CM29" s="129">
        <v>0</v>
      </c>
      <c r="CN29" s="129">
        <v>0</v>
      </c>
      <c r="CO29" s="129">
        <v>0</v>
      </c>
      <c r="CP29" s="129">
        <v>0</v>
      </c>
      <c r="CQ29" s="129">
        <v>0</v>
      </c>
      <c r="CR29" s="129">
        <v>0</v>
      </c>
      <c r="CS29" s="129">
        <v>0</v>
      </c>
      <c r="CT29" s="129">
        <v>-16280</v>
      </c>
      <c r="CU29" s="129">
        <v>0</v>
      </c>
      <c r="CV29" s="129">
        <v>0</v>
      </c>
      <c r="CW29" s="129">
        <v>0</v>
      </c>
      <c r="CX29" s="129">
        <v>-16280</v>
      </c>
      <c r="CY29" s="129">
        <v>0</v>
      </c>
      <c r="CZ29" s="129">
        <v>-16280</v>
      </c>
      <c r="DA29" s="129">
        <v>-9716</v>
      </c>
      <c r="DB29" s="129">
        <v>0</v>
      </c>
      <c r="DC29" s="129">
        <v>-9716</v>
      </c>
      <c r="DD29" s="129">
        <v>-20348</v>
      </c>
      <c r="DE29" s="129">
        <v>0</v>
      </c>
      <c r="DF29" s="129">
        <v>-20348</v>
      </c>
      <c r="DG29" s="129">
        <v>0</v>
      </c>
      <c r="DH29" s="129">
        <v>0</v>
      </c>
      <c r="DI29" s="129">
        <v>0</v>
      </c>
      <c r="DJ29" s="129">
        <v>-30064</v>
      </c>
      <c r="DK29" s="129">
        <v>0</v>
      </c>
      <c r="DL29" s="129">
        <v>0</v>
      </c>
      <c r="DM29" s="129">
        <v>0</v>
      </c>
      <c r="DN29" s="129">
        <v>-30064</v>
      </c>
      <c r="DO29" s="129">
        <v>0</v>
      </c>
      <c r="DP29" s="129">
        <v>-30064</v>
      </c>
      <c r="DQ29" s="129">
        <v>29285459</v>
      </c>
      <c r="DR29" s="129">
        <v>0</v>
      </c>
      <c r="DS29" s="129">
        <v>29285459</v>
      </c>
      <c r="DT29" s="662" t="s">
        <v>668</v>
      </c>
      <c r="DU29" s="324" t="s">
        <v>516</v>
      </c>
      <c r="DV29" s="663" t="s">
        <v>515</v>
      </c>
      <c r="DW29" s="529" t="s">
        <v>1233</v>
      </c>
    </row>
    <row r="30" spans="1:127" ht="12.75" x14ac:dyDescent="0.2">
      <c r="A30" s="664">
        <v>23</v>
      </c>
      <c r="B30" s="665" t="s">
        <v>671</v>
      </c>
      <c r="C30" s="666" t="s">
        <v>1217</v>
      </c>
      <c r="D30" s="667" t="s">
        <v>1204</v>
      </c>
      <c r="E30" s="668" t="s">
        <v>670</v>
      </c>
      <c r="F30" s="753" t="s">
        <v>1879</v>
      </c>
      <c r="G30" s="129">
        <v>234920952</v>
      </c>
      <c r="H30" s="129">
        <v>0</v>
      </c>
      <c r="I30" s="129">
        <v>234920952</v>
      </c>
      <c r="J30" s="793">
        <v>49.9</v>
      </c>
      <c r="K30" s="129">
        <v>117225555</v>
      </c>
      <c r="L30" s="129">
        <v>0</v>
      </c>
      <c r="M30" s="129">
        <v>0</v>
      </c>
      <c r="N30" s="129">
        <v>0</v>
      </c>
      <c r="O30" s="129">
        <v>117225555</v>
      </c>
      <c r="P30" s="129">
        <v>0</v>
      </c>
      <c r="Q30" s="129">
        <v>117225555</v>
      </c>
      <c r="R30" s="129">
        <v>-49000</v>
      </c>
      <c r="S30" s="129">
        <v>0</v>
      </c>
      <c r="T30" s="129">
        <v>-49000</v>
      </c>
      <c r="U30" s="129">
        <v>1130000</v>
      </c>
      <c r="V30" s="129">
        <v>0</v>
      </c>
      <c r="W30" s="129">
        <v>1130000</v>
      </c>
      <c r="X30" s="129">
        <v>1081000</v>
      </c>
      <c r="Y30" s="129">
        <v>0</v>
      </c>
      <c r="Z30" s="129">
        <v>0</v>
      </c>
      <c r="AA30" s="129">
        <v>0</v>
      </c>
      <c r="AB30" s="129">
        <v>1081000</v>
      </c>
      <c r="AC30" s="129">
        <v>0</v>
      </c>
      <c r="AD30" s="129">
        <v>1081000</v>
      </c>
      <c r="AE30" s="129">
        <v>-1081000</v>
      </c>
      <c r="AF30" s="129">
        <v>0</v>
      </c>
      <c r="AG30" s="129">
        <v>-1081000</v>
      </c>
      <c r="AH30" s="129">
        <v>-13200000</v>
      </c>
      <c r="AI30" s="129">
        <v>0</v>
      </c>
      <c r="AJ30" s="129">
        <v>-13200000</v>
      </c>
      <c r="AK30" s="129">
        <v>0</v>
      </c>
      <c r="AL30" s="129">
        <v>0</v>
      </c>
      <c r="AM30" s="129">
        <v>0</v>
      </c>
      <c r="AN30" s="129">
        <v>2100000</v>
      </c>
      <c r="AO30" s="129">
        <v>0</v>
      </c>
      <c r="AP30" s="129">
        <v>2100000</v>
      </c>
      <c r="AQ30" s="129">
        <v>-11100000</v>
      </c>
      <c r="AR30" s="129">
        <v>0</v>
      </c>
      <c r="AS30" s="129">
        <v>-11100000</v>
      </c>
      <c r="AT30" s="129">
        <v>-8100000</v>
      </c>
      <c r="AU30" s="129">
        <v>0</v>
      </c>
      <c r="AV30" s="129">
        <v>-8100000</v>
      </c>
      <c r="AW30" s="129">
        <v>-100000</v>
      </c>
      <c r="AX30" s="129">
        <v>0</v>
      </c>
      <c r="AY30" s="129">
        <v>-100000</v>
      </c>
      <c r="AZ30" s="129">
        <v>0</v>
      </c>
      <c r="BA30" s="129">
        <v>0</v>
      </c>
      <c r="BB30" s="129">
        <v>0</v>
      </c>
      <c r="BC30" s="129">
        <v>0</v>
      </c>
      <c r="BD30" s="129">
        <v>0</v>
      </c>
      <c r="BE30" s="129">
        <v>0</v>
      </c>
      <c r="BF30" s="129">
        <v>-19300000</v>
      </c>
      <c r="BG30" s="129">
        <v>0</v>
      </c>
      <c r="BH30" s="129">
        <v>0</v>
      </c>
      <c r="BI30" s="129">
        <v>0</v>
      </c>
      <c r="BJ30" s="129">
        <v>-19300000</v>
      </c>
      <c r="BK30" s="129">
        <v>0</v>
      </c>
      <c r="BL30" s="129">
        <v>-19300000</v>
      </c>
      <c r="BM30" s="129">
        <v>-150000</v>
      </c>
      <c r="BN30" s="129">
        <v>0</v>
      </c>
      <c r="BO30" s="129">
        <v>-150000</v>
      </c>
      <c r="BP30" s="129">
        <v>-3260000</v>
      </c>
      <c r="BQ30" s="129">
        <v>0</v>
      </c>
      <c r="BR30" s="129">
        <v>-3260000</v>
      </c>
      <c r="BS30" s="129">
        <v>-3410000</v>
      </c>
      <c r="BT30" s="129">
        <v>0</v>
      </c>
      <c r="BU30" s="129">
        <v>0</v>
      </c>
      <c r="BV30" s="129">
        <v>0</v>
      </c>
      <c r="BW30" s="129">
        <v>-3410000</v>
      </c>
      <c r="BX30" s="129">
        <v>0</v>
      </c>
      <c r="BY30" s="129">
        <v>-3410000</v>
      </c>
      <c r="BZ30" s="129">
        <v>-690000</v>
      </c>
      <c r="CA30" s="129">
        <v>0</v>
      </c>
      <c r="CB30" s="129">
        <v>-690000</v>
      </c>
      <c r="CC30" s="129">
        <v>-230000</v>
      </c>
      <c r="CD30" s="129">
        <v>0</v>
      </c>
      <c r="CE30" s="129">
        <v>-230000</v>
      </c>
      <c r="CF30" s="129">
        <v>-5000</v>
      </c>
      <c r="CG30" s="129">
        <v>0</v>
      </c>
      <c r="CH30" s="129">
        <v>-5000</v>
      </c>
      <c r="CI30" s="129">
        <v>0</v>
      </c>
      <c r="CJ30" s="129">
        <v>0</v>
      </c>
      <c r="CK30" s="129">
        <v>0</v>
      </c>
      <c r="CL30" s="129">
        <v>0</v>
      </c>
      <c r="CM30" s="129">
        <v>0</v>
      </c>
      <c r="CN30" s="129">
        <v>0</v>
      </c>
      <c r="CO30" s="129">
        <v>0</v>
      </c>
      <c r="CP30" s="129">
        <v>0</v>
      </c>
      <c r="CQ30" s="129">
        <v>0</v>
      </c>
      <c r="CR30" s="129">
        <v>0</v>
      </c>
      <c r="CS30" s="129">
        <v>0</v>
      </c>
      <c r="CT30" s="129">
        <v>-925000</v>
      </c>
      <c r="CU30" s="129">
        <v>0</v>
      </c>
      <c r="CV30" s="129">
        <v>0</v>
      </c>
      <c r="CW30" s="129">
        <v>0</v>
      </c>
      <c r="CX30" s="129">
        <v>-925000</v>
      </c>
      <c r="CY30" s="129">
        <v>0</v>
      </c>
      <c r="CZ30" s="129">
        <v>-925000</v>
      </c>
      <c r="DA30" s="129">
        <v>0</v>
      </c>
      <c r="DB30" s="129">
        <v>0</v>
      </c>
      <c r="DC30" s="129">
        <v>0</v>
      </c>
      <c r="DD30" s="129">
        <v>-50000</v>
      </c>
      <c r="DE30" s="129">
        <v>0</v>
      </c>
      <c r="DF30" s="129">
        <v>-50000</v>
      </c>
      <c r="DG30" s="129">
        <v>-1500</v>
      </c>
      <c r="DH30" s="129">
        <v>0</v>
      </c>
      <c r="DI30" s="129">
        <v>-1500</v>
      </c>
      <c r="DJ30" s="129">
        <v>-51500</v>
      </c>
      <c r="DK30" s="129">
        <v>0</v>
      </c>
      <c r="DL30" s="129">
        <v>0</v>
      </c>
      <c r="DM30" s="129">
        <v>0</v>
      </c>
      <c r="DN30" s="129">
        <v>-51500</v>
      </c>
      <c r="DO30" s="129">
        <v>0</v>
      </c>
      <c r="DP30" s="129">
        <v>-51500</v>
      </c>
      <c r="DQ30" s="129">
        <v>94620055</v>
      </c>
      <c r="DR30" s="129">
        <v>0</v>
      </c>
      <c r="DS30" s="129">
        <v>94620055</v>
      </c>
      <c r="DT30" s="662" t="s">
        <v>670</v>
      </c>
      <c r="DU30" s="324" t="s">
        <v>570</v>
      </c>
      <c r="DV30" s="663" t="s">
        <v>1915</v>
      </c>
      <c r="DW30" s="529" t="s">
        <v>1234</v>
      </c>
    </row>
    <row r="31" spans="1:127" ht="12.75" x14ac:dyDescent="0.2">
      <c r="A31" s="664">
        <v>24</v>
      </c>
      <c r="B31" s="665" t="s">
        <v>673</v>
      </c>
      <c r="C31" s="666" t="s">
        <v>1201</v>
      </c>
      <c r="D31" s="667" t="s">
        <v>1206</v>
      </c>
      <c r="E31" s="668" t="s">
        <v>672</v>
      </c>
      <c r="F31" s="753" t="s">
        <v>1887</v>
      </c>
      <c r="G31" s="129">
        <v>53892587</v>
      </c>
      <c r="H31" s="129">
        <v>0</v>
      </c>
      <c r="I31" s="129">
        <v>53892587</v>
      </c>
      <c r="J31" s="793">
        <v>49.9</v>
      </c>
      <c r="K31" s="129">
        <v>26892401</v>
      </c>
      <c r="L31" s="129">
        <v>0</v>
      </c>
      <c r="M31" s="129">
        <v>0</v>
      </c>
      <c r="N31" s="129">
        <v>0</v>
      </c>
      <c r="O31" s="129">
        <v>26892401</v>
      </c>
      <c r="P31" s="129">
        <v>0</v>
      </c>
      <c r="Q31" s="129">
        <v>26892401</v>
      </c>
      <c r="R31" s="129">
        <v>-85188</v>
      </c>
      <c r="S31" s="129">
        <v>0</v>
      </c>
      <c r="T31" s="129">
        <v>-85188</v>
      </c>
      <c r="U31" s="129">
        <v>48448</v>
      </c>
      <c r="V31" s="129">
        <v>0</v>
      </c>
      <c r="W31" s="129">
        <v>48448</v>
      </c>
      <c r="X31" s="129">
        <v>-36740</v>
      </c>
      <c r="Y31" s="129">
        <v>0</v>
      </c>
      <c r="Z31" s="129">
        <v>0</v>
      </c>
      <c r="AA31" s="129">
        <v>0</v>
      </c>
      <c r="AB31" s="129">
        <v>-36740</v>
      </c>
      <c r="AC31" s="129">
        <v>0</v>
      </c>
      <c r="AD31" s="129">
        <v>-36740</v>
      </c>
      <c r="AE31" s="129">
        <v>36740</v>
      </c>
      <c r="AF31" s="129">
        <v>0</v>
      </c>
      <c r="AG31" s="129">
        <v>36740</v>
      </c>
      <c r="AH31" s="129">
        <v>-3024170</v>
      </c>
      <c r="AI31" s="129">
        <v>0</v>
      </c>
      <c r="AJ31" s="129">
        <v>-3024170</v>
      </c>
      <c r="AK31" s="129">
        <v>0</v>
      </c>
      <c r="AL31" s="129">
        <v>0</v>
      </c>
      <c r="AM31" s="129">
        <v>0</v>
      </c>
      <c r="AN31" s="129">
        <v>471190</v>
      </c>
      <c r="AO31" s="129">
        <v>0</v>
      </c>
      <c r="AP31" s="129">
        <v>471190</v>
      </c>
      <c r="AQ31" s="129">
        <v>-2552980</v>
      </c>
      <c r="AR31" s="129">
        <v>0</v>
      </c>
      <c r="AS31" s="129">
        <v>-2552980</v>
      </c>
      <c r="AT31" s="129">
        <v>-1902179</v>
      </c>
      <c r="AU31" s="129">
        <v>0</v>
      </c>
      <c r="AV31" s="129">
        <v>-1902179</v>
      </c>
      <c r="AW31" s="129">
        <v>-85662</v>
      </c>
      <c r="AX31" s="129">
        <v>0</v>
      </c>
      <c r="AY31" s="129">
        <v>-85662</v>
      </c>
      <c r="AZ31" s="129">
        <v>-20381</v>
      </c>
      <c r="BA31" s="129">
        <v>0</v>
      </c>
      <c r="BB31" s="129">
        <v>-20381</v>
      </c>
      <c r="BC31" s="129">
        <v>0</v>
      </c>
      <c r="BD31" s="129">
        <v>0</v>
      </c>
      <c r="BE31" s="129">
        <v>0</v>
      </c>
      <c r="BF31" s="129">
        <v>-4561202</v>
      </c>
      <c r="BG31" s="129">
        <v>0</v>
      </c>
      <c r="BH31" s="129">
        <v>0</v>
      </c>
      <c r="BI31" s="129">
        <v>0</v>
      </c>
      <c r="BJ31" s="129">
        <v>-4561202</v>
      </c>
      <c r="BK31" s="129">
        <v>0</v>
      </c>
      <c r="BL31" s="129">
        <v>-4561202</v>
      </c>
      <c r="BM31" s="129">
        <v>0</v>
      </c>
      <c r="BN31" s="129">
        <v>0</v>
      </c>
      <c r="BO31" s="129">
        <v>0</v>
      </c>
      <c r="BP31" s="129">
        <v>-662666</v>
      </c>
      <c r="BQ31" s="129">
        <v>0</v>
      </c>
      <c r="BR31" s="129">
        <v>-662666</v>
      </c>
      <c r="BS31" s="129">
        <v>-662666</v>
      </c>
      <c r="BT31" s="129">
        <v>0</v>
      </c>
      <c r="BU31" s="129">
        <v>0</v>
      </c>
      <c r="BV31" s="129">
        <v>0</v>
      </c>
      <c r="BW31" s="129">
        <v>-662666</v>
      </c>
      <c r="BX31" s="129">
        <v>0</v>
      </c>
      <c r="BY31" s="129">
        <v>-662666</v>
      </c>
      <c r="BZ31" s="129">
        <v>-54766</v>
      </c>
      <c r="CA31" s="129">
        <v>0</v>
      </c>
      <c r="CB31" s="129">
        <v>-54766</v>
      </c>
      <c r="CC31" s="129">
        <v>-7345</v>
      </c>
      <c r="CD31" s="129">
        <v>0</v>
      </c>
      <c r="CE31" s="129">
        <v>-7345</v>
      </c>
      <c r="CF31" s="129">
        <v>-16062</v>
      </c>
      <c r="CG31" s="129">
        <v>0</v>
      </c>
      <c r="CH31" s="129">
        <v>-16062</v>
      </c>
      <c r="CI31" s="129">
        <v>0</v>
      </c>
      <c r="CJ31" s="129">
        <v>0</v>
      </c>
      <c r="CK31" s="129">
        <v>0</v>
      </c>
      <c r="CL31" s="129">
        <v>0</v>
      </c>
      <c r="CM31" s="129">
        <v>0</v>
      </c>
      <c r="CN31" s="129">
        <v>0</v>
      </c>
      <c r="CO31" s="129">
        <v>0</v>
      </c>
      <c r="CP31" s="129">
        <v>0</v>
      </c>
      <c r="CQ31" s="129">
        <v>0</v>
      </c>
      <c r="CR31" s="129">
        <v>0</v>
      </c>
      <c r="CS31" s="129">
        <v>0</v>
      </c>
      <c r="CT31" s="129">
        <v>-78173</v>
      </c>
      <c r="CU31" s="129">
        <v>0</v>
      </c>
      <c r="CV31" s="129">
        <v>0</v>
      </c>
      <c r="CW31" s="129">
        <v>0</v>
      </c>
      <c r="CX31" s="129">
        <v>-78173</v>
      </c>
      <c r="CY31" s="129">
        <v>0</v>
      </c>
      <c r="CZ31" s="129">
        <v>-78173</v>
      </c>
      <c r="DA31" s="129">
        <v>-20381</v>
      </c>
      <c r="DB31" s="129">
        <v>0</v>
      </c>
      <c r="DC31" s="129">
        <v>-20381</v>
      </c>
      <c r="DD31" s="129">
        <v>-10776</v>
      </c>
      <c r="DE31" s="129">
        <v>0</v>
      </c>
      <c r="DF31" s="129">
        <v>-10776</v>
      </c>
      <c r="DG31" s="129">
        <v>-1500</v>
      </c>
      <c r="DH31" s="129">
        <v>0</v>
      </c>
      <c r="DI31" s="129">
        <v>-1500</v>
      </c>
      <c r="DJ31" s="129">
        <v>-32657</v>
      </c>
      <c r="DK31" s="129">
        <v>0</v>
      </c>
      <c r="DL31" s="129">
        <v>0</v>
      </c>
      <c r="DM31" s="129">
        <v>0</v>
      </c>
      <c r="DN31" s="129">
        <v>-32657</v>
      </c>
      <c r="DO31" s="129">
        <v>0</v>
      </c>
      <c r="DP31" s="129">
        <v>-32657</v>
      </c>
      <c r="DQ31" s="129">
        <v>21520963</v>
      </c>
      <c r="DR31" s="129">
        <v>0</v>
      </c>
      <c r="DS31" s="129">
        <v>21520963</v>
      </c>
      <c r="DT31" s="662" t="s">
        <v>672</v>
      </c>
      <c r="DU31" s="324" t="s">
        <v>552</v>
      </c>
      <c r="DV31" s="663" t="s">
        <v>512</v>
      </c>
      <c r="DW31" s="529" t="s">
        <v>1235</v>
      </c>
    </row>
    <row r="32" spans="1:127" ht="12.75" x14ac:dyDescent="0.2">
      <c r="A32" s="664">
        <v>25</v>
      </c>
      <c r="B32" s="665" t="s">
        <v>1017</v>
      </c>
      <c r="C32" s="666" t="s">
        <v>486</v>
      </c>
      <c r="D32" s="667" t="s">
        <v>1224</v>
      </c>
      <c r="E32" s="668" t="s">
        <v>1027</v>
      </c>
      <c r="F32" s="753" t="s">
        <v>1879</v>
      </c>
      <c r="G32" s="129">
        <v>374050063</v>
      </c>
      <c r="H32" s="129">
        <v>0</v>
      </c>
      <c r="I32" s="129">
        <v>374050063</v>
      </c>
      <c r="J32" s="793">
        <v>49.9</v>
      </c>
      <c r="K32" s="129">
        <v>186650981</v>
      </c>
      <c r="L32" s="129">
        <v>0</v>
      </c>
      <c r="M32" s="129">
        <v>-2000000</v>
      </c>
      <c r="N32" s="129">
        <v>0</v>
      </c>
      <c r="O32" s="129">
        <v>184650981</v>
      </c>
      <c r="P32" s="129">
        <v>0</v>
      </c>
      <c r="Q32" s="129">
        <v>184650981</v>
      </c>
      <c r="R32" s="129">
        <v>-531639</v>
      </c>
      <c r="S32" s="129">
        <v>0</v>
      </c>
      <c r="T32" s="129">
        <v>-531639</v>
      </c>
      <c r="U32" s="129">
        <v>933542</v>
      </c>
      <c r="V32" s="129">
        <v>0</v>
      </c>
      <c r="W32" s="129">
        <v>933542</v>
      </c>
      <c r="X32" s="129">
        <v>401903</v>
      </c>
      <c r="Y32" s="129">
        <v>0</v>
      </c>
      <c r="Z32" s="129">
        <v>0</v>
      </c>
      <c r="AA32" s="129">
        <v>0</v>
      </c>
      <c r="AB32" s="129">
        <v>401903</v>
      </c>
      <c r="AC32" s="129">
        <v>0</v>
      </c>
      <c r="AD32" s="129">
        <v>401903</v>
      </c>
      <c r="AE32" s="129">
        <v>-401903</v>
      </c>
      <c r="AF32" s="129">
        <v>0</v>
      </c>
      <c r="AG32" s="129">
        <v>-401903</v>
      </c>
      <c r="AH32" s="129">
        <v>-17356494</v>
      </c>
      <c r="AI32" s="129">
        <v>0</v>
      </c>
      <c r="AJ32" s="129">
        <v>-17356494</v>
      </c>
      <c r="AK32" s="129">
        <v>-1907</v>
      </c>
      <c r="AL32" s="129">
        <v>0</v>
      </c>
      <c r="AM32" s="129">
        <v>-1907</v>
      </c>
      <c r="AN32" s="129">
        <v>3410371</v>
      </c>
      <c r="AO32" s="129">
        <v>0</v>
      </c>
      <c r="AP32" s="129">
        <v>3410371</v>
      </c>
      <c r="AQ32" s="129">
        <v>-13946123</v>
      </c>
      <c r="AR32" s="129">
        <v>0</v>
      </c>
      <c r="AS32" s="129">
        <v>-13946123</v>
      </c>
      <c r="AT32" s="129">
        <v>-13726257</v>
      </c>
      <c r="AU32" s="129">
        <v>0</v>
      </c>
      <c r="AV32" s="129">
        <v>-13726257</v>
      </c>
      <c r="AW32" s="129">
        <v>-218943</v>
      </c>
      <c r="AX32" s="129">
        <v>0</v>
      </c>
      <c r="AY32" s="129">
        <v>-218943</v>
      </c>
      <c r="AZ32" s="129">
        <v>0</v>
      </c>
      <c r="BA32" s="129">
        <v>0</v>
      </c>
      <c r="BB32" s="129">
        <v>0</v>
      </c>
      <c r="BC32" s="129">
        <v>0</v>
      </c>
      <c r="BD32" s="129">
        <v>0</v>
      </c>
      <c r="BE32" s="129">
        <v>0</v>
      </c>
      <c r="BF32" s="129">
        <v>-27891323</v>
      </c>
      <c r="BG32" s="129">
        <v>0</v>
      </c>
      <c r="BH32" s="129">
        <v>0</v>
      </c>
      <c r="BI32" s="129">
        <v>0</v>
      </c>
      <c r="BJ32" s="129">
        <v>-27891323</v>
      </c>
      <c r="BK32" s="129">
        <v>0</v>
      </c>
      <c r="BL32" s="129">
        <v>-27891323</v>
      </c>
      <c r="BM32" s="129">
        <v>0</v>
      </c>
      <c r="BN32" s="129">
        <v>0</v>
      </c>
      <c r="BO32" s="129">
        <v>0</v>
      </c>
      <c r="BP32" s="129">
        <v>-2902463</v>
      </c>
      <c r="BQ32" s="129">
        <v>0</v>
      </c>
      <c r="BR32" s="129">
        <v>-2902463</v>
      </c>
      <c r="BS32" s="129">
        <v>-2902463</v>
      </c>
      <c r="BT32" s="129">
        <v>0</v>
      </c>
      <c r="BU32" s="129">
        <v>-1000000</v>
      </c>
      <c r="BV32" s="129">
        <v>0</v>
      </c>
      <c r="BW32" s="129">
        <v>-3902463</v>
      </c>
      <c r="BX32" s="129">
        <v>0</v>
      </c>
      <c r="BY32" s="129">
        <v>-3902463</v>
      </c>
      <c r="BZ32" s="129">
        <v>-233184</v>
      </c>
      <c r="CA32" s="129">
        <v>0</v>
      </c>
      <c r="CB32" s="129">
        <v>-233184</v>
      </c>
      <c r="CC32" s="129">
        <v>-54126</v>
      </c>
      <c r="CD32" s="129">
        <v>0</v>
      </c>
      <c r="CE32" s="129">
        <v>-54126</v>
      </c>
      <c r="CF32" s="129">
        <v>-5866</v>
      </c>
      <c r="CG32" s="129">
        <v>0</v>
      </c>
      <c r="CH32" s="129">
        <v>-5866</v>
      </c>
      <c r="CI32" s="129">
        <v>0</v>
      </c>
      <c r="CJ32" s="129">
        <v>0</v>
      </c>
      <c r="CK32" s="129">
        <v>0</v>
      </c>
      <c r="CL32" s="129">
        <v>0</v>
      </c>
      <c r="CM32" s="129">
        <v>0</v>
      </c>
      <c r="CN32" s="129">
        <v>0</v>
      </c>
      <c r="CO32" s="129">
        <v>0</v>
      </c>
      <c r="CP32" s="129">
        <v>0</v>
      </c>
      <c r="CQ32" s="129">
        <v>0</v>
      </c>
      <c r="CR32" s="129">
        <v>0</v>
      </c>
      <c r="CS32" s="129">
        <v>0</v>
      </c>
      <c r="CT32" s="129">
        <v>-293176</v>
      </c>
      <c r="CU32" s="129">
        <v>0</v>
      </c>
      <c r="CV32" s="129">
        <v>0</v>
      </c>
      <c r="CW32" s="129">
        <v>0</v>
      </c>
      <c r="CX32" s="129">
        <v>-293176</v>
      </c>
      <c r="CY32" s="129">
        <v>0</v>
      </c>
      <c r="CZ32" s="129">
        <v>-293176</v>
      </c>
      <c r="DA32" s="129">
        <v>0</v>
      </c>
      <c r="DB32" s="129">
        <v>0</v>
      </c>
      <c r="DC32" s="129">
        <v>0</v>
      </c>
      <c r="DD32" s="129">
        <v>-47720</v>
      </c>
      <c r="DE32" s="129">
        <v>0</v>
      </c>
      <c r="DF32" s="129">
        <v>-47720</v>
      </c>
      <c r="DG32" s="129">
        <v>-1500</v>
      </c>
      <c r="DH32" s="129">
        <v>0</v>
      </c>
      <c r="DI32" s="129">
        <v>-1500</v>
      </c>
      <c r="DJ32" s="129">
        <v>-49220</v>
      </c>
      <c r="DK32" s="129">
        <v>0</v>
      </c>
      <c r="DL32" s="129">
        <v>0</v>
      </c>
      <c r="DM32" s="129">
        <v>0</v>
      </c>
      <c r="DN32" s="129">
        <v>-49220</v>
      </c>
      <c r="DO32" s="129">
        <v>0</v>
      </c>
      <c r="DP32" s="129">
        <v>-49220</v>
      </c>
      <c r="DQ32" s="129">
        <v>152916702</v>
      </c>
      <c r="DR32" s="129">
        <v>0</v>
      </c>
      <c r="DS32" s="129">
        <v>152916702</v>
      </c>
      <c r="DT32" s="662" t="s">
        <v>1027</v>
      </c>
      <c r="DU32" s="324" t="s">
        <v>486</v>
      </c>
      <c r="DV32" s="663" t="s">
        <v>1916</v>
      </c>
      <c r="DW32" s="529" t="s">
        <v>1236</v>
      </c>
    </row>
    <row r="33" spans="1:127" ht="12.75" x14ac:dyDescent="0.2">
      <c r="A33" s="664">
        <v>26</v>
      </c>
      <c r="B33" s="665" t="s">
        <v>674</v>
      </c>
      <c r="C33" s="666" t="s">
        <v>486</v>
      </c>
      <c r="D33" s="667" t="s">
        <v>1202</v>
      </c>
      <c r="E33" s="668" t="s">
        <v>493</v>
      </c>
      <c r="F33" s="753"/>
      <c r="G33" s="129">
        <v>168033372</v>
      </c>
      <c r="H33" s="129">
        <v>0</v>
      </c>
      <c r="I33" s="129">
        <v>168033372</v>
      </c>
      <c r="J33" s="793">
        <v>49.9</v>
      </c>
      <c r="K33" s="129">
        <v>83848653</v>
      </c>
      <c r="L33" s="129">
        <v>0</v>
      </c>
      <c r="M33" s="129">
        <v>-5172427</v>
      </c>
      <c r="N33" s="129">
        <v>0</v>
      </c>
      <c r="O33" s="129">
        <v>78676226</v>
      </c>
      <c r="P33" s="129">
        <v>0</v>
      </c>
      <c r="Q33" s="129">
        <v>78676226</v>
      </c>
      <c r="R33" s="129">
        <v>-61636</v>
      </c>
      <c r="S33" s="129">
        <v>0</v>
      </c>
      <c r="T33" s="129">
        <v>-61636</v>
      </c>
      <c r="U33" s="129">
        <v>581030</v>
      </c>
      <c r="V33" s="129">
        <v>0</v>
      </c>
      <c r="W33" s="129">
        <v>581030</v>
      </c>
      <c r="X33" s="129">
        <v>519394</v>
      </c>
      <c r="Y33" s="129">
        <v>0</v>
      </c>
      <c r="Z33" s="129">
        <v>0</v>
      </c>
      <c r="AA33" s="129">
        <v>0</v>
      </c>
      <c r="AB33" s="129">
        <v>519394</v>
      </c>
      <c r="AC33" s="129">
        <v>0</v>
      </c>
      <c r="AD33" s="129">
        <v>519394</v>
      </c>
      <c r="AE33" s="129">
        <v>-519394</v>
      </c>
      <c r="AF33" s="129">
        <v>0</v>
      </c>
      <c r="AG33" s="129">
        <v>-519394</v>
      </c>
      <c r="AH33" s="129">
        <v>-2091365</v>
      </c>
      <c r="AI33" s="129">
        <v>0</v>
      </c>
      <c r="AJ33" s="129">
        <v>-2091365</v>
      </c>
      <c r="AK33" s="129">
        <v>-4353</v>
      </c>
      <c r="AL33" s="129">
        <v>0</v>
      </c>
      <c r="AM33" s="129">
        <v>-4353</v>
      </c>
      <c r="AN33" s="129">
        <v>1890678</v>
      </c>
      <c r="AO33" s="129">
        <v>0</v>
      </c>
      <c r="AP33" s="129">
        <v>1890678</v>
      </c>
      <c r="AQ33" s="129">
        <v>-200687</v>
      </c>
      <c r="AR33" s="129">
        <v>0</v>
      </c>
      <c r="AS33" s="129">
        <v>-200687</v>
      </c>
      <c r="AT33" s="129">
        <v>-3390189</v>
      </c>
      <c r="AU33" s="129">
        <v>0</v>
      </c>
      <c r="AV33" s="129">
        <v>-3390189</v>
      </c>
      <c r="AW33" s="129">
        <v>-3645</v>
      </c>
      <c r="AX33" s="129">
        <v>0</v>
      </c>
      <c r="AY33" s="129">
        <v>-3645</v>
      </c>
      <c r="AZ33" s="129">
        <v>0</v>
      </c>
      <c r="BA33" s="129">
        <v>0</v>
      </c>
      <c r="BB33" s="129">
        <v>0</v>
      </c>
      <c r="BC33" s="129">
        <v>0</v>
      </c>
      <c r="BD33" s="129">
        <v>0</v>
      </c>
      <c r="BE33" s="129">
        <v>0</v>
      </c>
      <c r="BF33" s="129">
        <v>-3594521</v>
      </c>
      <c r="BG33" s="129">
        <v>0</v>
      </c>
      <c r="BH33" s="129">
        <v>0</v>
      </c>
      <c r="BI33" s="129">
        <v>0</v>
      </c>
      <c r="BJ33" s="129">
        <v>-3594521</v>
      </c>
      <c r="BK33" s="129">
        <v>0</v>
      </c>
      <c r="BL33" s="129">
        <v>-3594521</v>
      </c>
      <c r="BM33" s="129">
        <v>-6832</v>
      </c>
      <c r="BN33" s="129">
        <v>0</v>
      </c>
      <c r="BO33" s="129">
        <v>-6832</v>
      </c>
      <c r="BP33" s="129">
        <v>-1842949</v>
      </c>
      <c r="BQ33" s="129">
        <v>0</v>
      </c>
      <c r="BR33" s="129">
        <v>-1842949</v>
      </c>
      <c r="BS33" s="129">
        <v>-1849781</v>
      </c>
      <c r="BT33" s="129">
        <v>0</v>
      </c>
      <c r="BU33" s="129">
        <v>0</v>
      </c>
      <c r="BV33" s="129">
        <v>0</v>
      </c>
      <c r="BW33" s="129">
        <v>-1849781</v>
      </c>
      <c r="BX33" s="129">
        <v>0</v>
      </c>
      <c r="BY33" s="129">
        <v>-1849781</v>
      </c>
      <c r="BZ33" s="129">
        <v>-95936</v>
      </c>
      <c r="CA33" s="129">
        <v>0</v>
      </c>
      <c r="CB33" s="129">
        <v>-95936</v>
      </c>
      <c r="CC33" s="129">
        <v>-55446</v>
      </c>
      <c r="CD33" s="129">
        <v>0</v>
      </c>
      <c r="CE33" s="129">
        <v>-55446</v>
      </c>
      <c r="CF33" s="129">
        <v>-3645</v>
      </c>
      <c r="CG33" s="129">
        <v>0</v>
      </c>
      <c r="CH33" s="129">
        <v>-3645</v>
      </c>
      <c r="CI33" s="129">
        <v>0</v>
      </c>
      <c r="CJ33" s="129">
        <v>0</v>
      </c>
      <c r="CK33" s="129">
        <v>0</v>
      </c>
      <c r="CL33" s="129">
        <v>0</v>
      </c>
      <c r="CM33" s="129">
        <v>0</v>
      </c>
      <c r="CN33" s="129">
        <v>0</v>
      </c>
      <c r="CO33" s="129">
        <v>0</v>
      </c>
      <c r="CP33" s="129">
        <v>0</v>
      </c>
      <c r="CQ33" s="129">
        <v>0</v>
      </c>
      <c r="CR33" s="129">
        <v>0</v>
      </c>
      <c r="CS33" s="129">
        <v>0</v>
      </c>
      <c r="CT33" s="129">
        <v>-155027</v>
      </c>
      <c r="CU33" s="129">
        <v>0</v>
      </c>
      <c r="CV33" s="129">
        <v>0</v>
      </c>
      <c r="CW33" s="129">
        <v>0</v>
      </c>
      <c r="CX33" s="129">
        <v>-155027</v>
      </c>
      <c r="CY33" s="129">
        <v>0</v>
      </c>
      <c r="CZ33" s="129">
        <v>-155027</v>
      </c>
      <c r="DA33" s="129">
        <v>0</v>
      </c>
      <c r="DB33" s="129">
        <v>0</v>
      </c>
      <c r="DC33" s="129">
        <v>0</v>
      </c>
      <c r="DD33" s="129">
        <v>-68805</v>
      </c>
      <c r="DE33" s="129">
        <v>0</v>
      </c>
      <c r="DF33" s="129">
        <v>-68805</v>
      </c>
      <c r="DG33" s="129">
        <v>0</v>
      </c>
      <c r="DH33" s="129">
        <v>0</v>
      </c>
      <c r="DI33" s="129">
        <v>0</v>
      </c>
      <c r="DJ33" s="129">
        <v>-68805</v>
      </c>
      <c r="DK33" s="129">
        <v>0</v>
      </c>
      <c r="DL33" s="129">
        <v>0</v>
      </c>
      <c r="DM33" s="129">
        <v>0</v>
      </c>
      <c r="DN33" s="129">
        <v>-68805</v>
      </c>
      <c r="DO33" s="129">
        <v>0</v>
      </c>
      <c r="DP33" s="129">
        <v>-68805</v>
      </c>
      <c r="DQ33" s="129">
        <v>73527486</v>
      </c>
      <c r="DR33" s="129">
        <v>0</v>
      </c>
      <c r="DS33" s="129">
        <v>73527486</v>
      </c>
      <c r="DT33" s="662" t="s">
        <v>493</v>
      </c>
      <c r="DU33" s="324" t="s">
        <v>486</v>
      </c>
      <c r="DV33" s="663" t="s">
        <v>494</v>
      </c>
      <c r="DW33" s="529" t="s">
        <v>1237</v>
      </c>
    </row>
    <row r="34" spans="1:127" ht="12.75" x14ac:dyDescent="0.2">
      <c r="A34" s="664">
        <v>27</v>
      </c>
      <c r="B34" s="665" t="s">
        <v>676</v>
      </c>
      <c r="C34" s="666" t="s">
        <v>1217</v>
      </c>
      <c r="D34" s="667" t="s">
        <v>1218</v>
      </c>
      <c r="E34" s="668" t="s">
        <v>675</v>
      </c>
      <c r="F34" s="753" t="s">
        <v>1888</v>
      </c>
      <c r="G34" s="129">
        <v>386461147</v>
      </c>
      <c r="H34" s="129">
        <v>0</v>
      </c>
      <c r="I34" s="129">
        <v>386461147</v>
      </c>
      <c r="J34" s="793">
        <v>49.9</v>
      </c>
      <c r="K34" s="129">
        <v>192844112</v>
      </c>
      <c r="L34" s="129">
        <v>0</v>
      </c>
      <c r="M34" s="129">
        <v>0</v>
      </c>
      <c r="N34" s="129">
        <v>0</v>
      </c>
      <c r="O34" s="129">
        <v>192844112</v>
      </c>
      <c r="P34" s="129">
        <v>0</v>
      </c>
      <c r="Q34" s="129">
        <v>192844112</v>
      </c>
      <c r="R34" s="129">
        <v>-922857</v>
      </c>
      <c r="S34" s="129">
        <v>0</v>
      </c>
      <c r="T34" s="129">
        <v>-922857</v>
      </c>
      <c r="U34" s="129">
        <v>1648077</v>
      </c>
      <c r="V34" s="129">
        <v>0</v>
      </c>
      <c r="W34" s="129">
        <v>1648077</v>
      </c>
      <c r="X34" s="129">
        <v>725220</v>
      </c>
      <c r="Y34" s="129">
        <v>0</v>
      </c>
      <c r="Z34" s="129">
        <v>0</v>
      </c>
      <c r="AA34" s="129">
        <v>0</v>
      </c>
      <c r="AB34" s="129">
        <v>725220</v>
      </c>
      <c r="AC34" s="129">
        <v>0</v>
      </c>
      <c r="AD34" s="129">
        <v>725220</v>
      </c>
      <c r="AE34" s="129">
        <v>-725220</v>
      </c>
      <c r="AF34" s="129">
        <v>0</v>
      </c>
      <c r="AG34" s="129">
        <v>-725220</v>
      </c>
      <c r="AH34" s="129">
        <v>-28447874</v>
      </c>
      <c r="AI34" s="129">
        <v>0</v>
      </c>
      <c r="AJ34" s="129">
        <v>-28447874</v>
      </c>
      <c r="AK34" s="129">
        <v>-434725</v>
      </c>
      <c r="AL34" s="129">
        <v>0</v>
      </c>
      <c r="AM34" s="129">
        <v>-434725</v>
      </c>
      <c r="AN34" s="129">
        <v>3307873</v>
      </c>
      <c r="AO34" s="129">
        <v>0</v>
      </c>
      <c r="AP34" s="129">
        <v>3307873</v>
      </c>
      <c r="AQ34" s="129">
        <v>-25140001</v>
      </c>
      <c r="AR34" s="129">
        <v>0</v>
      </c>
      <c r="AS34" s="129">
        <v>-25140001</v>
      </c>
      <c r="AT34" s="129">
        <v>-16741514</v>
      </c>
      <c r="AU34" s="129">
        <v>0</v>
      </c>
      <c r="AV34" s="129">
        <v>-16741514</v>
      </c>
      <c r="AW34" s="129">
        <v>-186540</v>
      </c>
      <c r="AX34" s="129">
        <v>0</v>
      </c>
      <c r="AY34" s="129">
        <v>-186540</v>
      </c>
      <c r="AZ34" s="129">
        <v>0</v>
      </c>
      <c r="BA34" s="129">
        <v>0</v>
      </c>
      <c r="BB34" s="129">
        <v>0</v>
      </c>
      <c r="BC34" s="129">
        <v>0</v>
      </c>
      <c r="BD34" s="129">
        <v>0</v>
      </c>
      <c r="BE34" s="129">
        <v>0</v>
      </c>
      <c r="BF34" s="129">
        <v>-42068055</v>
      </c>
      <c r="BG34" s="129">
        <v>0</v>
      </c>
      <c r="BH34" s="129">
        <v>0</v>
      </c>
      <c r="BI34" s="129">
        <v>0</v>
      </c>
      <c r="BJ34" s="129">
        <v>-42068055</v>
      </c>
      <c r="BK34" s="129">
        <v>0</v>
      </c>
      <c r="BL34" s="129">
        <v>-42068055</v>
      </c>
      <c r="BM34" s="129">
        <v>-200000</v>
      </c>
      <c r="BN34" s="129">
        <v>0</v>
      </c>
      <c r="BO34" s="129">
        <v>-200000</v>
      </c>
      <c r="BP34" s="129">
        <v>-8376117</v>
      </c>
      <c r="BQ34" s="129">
        <v>0</v>
      </c>
      <c r="BR34" s="129">
        <v>-8376117</v>
      </c>
      <c r="BS34" s="129">
        <v>-8576117</v>
      </c>
      <c r="BT34" s="129">
        <v>0</v>
      </c>
      <c r="BU34" s="129">
        <v>0</v>
      </c>
      <c r="BV34" s="129">
        <v>0</v>
      </c>
      <c r="BW34" s="129">
        <v>-8576117</v>
      </c>
      <c r="BX34" s="129">
        <v>0</v>
      </c>
      <c r="BY34" s="129">
        <v>-8576117</v>
      </c>
      <c r="BZ34" s="129">
        <v>-3671</v>
      </c>
      <c r="CA34" s="129">
        <v>0</v>
      </c>
      <c r="CB34" s="129">
        <v>-3671</v>
      </c>
      <c r="CC34" s="129">
        <v>-10288</v>
      </c>
      <c r="CD34" s="129">
        <v>0</v>
      </c>
      <c r="CE34" s="129">
        <v>-10288</v>
      </c>
      <c r="CF34" s="129">
        <v>0</v>
      </c>
      <c r="CG34" s="129">
        <v>0</v>
      </c>
      <c r="CH34" s="129">
        <v>0</v>
      </c>
      <c r="CI34" s="129">
        <v>0</v>
      </c>
      <c r="CJ34" s="129">
        <v>0</v>
      </c>
      <c r="CK34" s="129">
        <v>0</v>
      </c>
      <c r="CL34" s="129">
        <v>-5076</v>
      </c>
      <c r="CM34" s="129">
        <v>0</v>
      </c>
      <c r="CN34" s="129">
        <v>-5076</v>
      </c>
      <c r="CO34" s="129">
        <v>0</v>
      </c>
      <c r="CP34" s="129">
        <v>0</v>
      </c>
      <c r="CQ34" s="129">
        <v>0</v>
      </c>
      <c r="CR34" s="129">
        <v>0</v>
      </c>
      <c r="CS34" s="129">
        <v>0</v>
      </c>
      <c r="CT34" s="129">
        <v>-19035</v>
      </c>
      <c r="CU34" s="129">
        <v>0</v>
      </c>
      <c r="CV34" s="129">
        <v>0</v>
      </c>
      <c r="CW34" s="129">
        <v>0</v>
      </c>
      <c r="CX34" s="129">
        <v>-19035</v>
      </c>
      <c r="CY34" s="129">
        <v>0</v>
      </c>
      <c r="CZ34" s="129">
        <v>-19035</v>
      </c>
      <c r="DA34" s="129">
        <v>0</v>
      </c>
      <c r="DB34" s="129">
        <v>0</v>
      </c>
      <c r="DC34" s="129">
        <v>0</v>
      </c>
      <c r="DD34" s="129">
        <v>-51505</v>
      </c>
      <c r="DE34" s="129">
        <v>0</v>
      </c>
      <c r="DF34" s="129">
        <v>-51505</v>
      </c>
      <c r="DG34" s="129">
        <v>0</v>
      </c>
      <c r="DH34" s="129">
        <v>0</v>
      </c>
      <c r="DI34" s="129">
        <v>0</v>
      </c>
      <c r="DJ34" s="129">
        <v>-51505</v>
      </c>
      <c r="DK34" s="129">
        <v>0</v>
      </c>
      <c r="DL34" s="129">
        <v>0</v>
      </c>
      <c r="DM34" s="129">
        <v>0</v>
      </c>
      <c r="DN34" s="129">
        <v>-51505</v>
      </c>
      <c r="DO34" s="129">
        <v>0</v>
      </c>
      <c r="DP34" s="129">
        <v>-51505</v>
      </c>
      <c r="DQ34" s="129">
        <v>142854620</v>
      </c>
      <c r="DR34" s="129">
        <v>0</v>
      </c>
      <c r="DS34" s="129">
        <v>142854620</v>
      </c>
      <c r="DT34" s="662" t="s">
        <v>675</v>
      </c>
      <c r="DU34" s="324" t="s">
        <v>570</v>
      </c>
      <c r="DV34" s="663" t="s">
        <v>575</v>
      </c>
      <c r="DW34" s="529" t="s">
        <v>1238</v>
      </c>
    </row>
    <row r="35" spans="1:127" ht="12.75" x14ac:dyDescent="0.2">
      <c r="A35" s="664">
        <v>28</v>
      </c>
      <c r="B35" s="665" t="s">
        <v>678</v>
      </c>
      <c r="C35" s="666" t="s">
        <v>1201</v>
      </c>
      <c r="D35" s="667" t="s">
        <v>1211</v>
      </c>
      <c r="E35" s="668" t="s">
        <v>677</v>
      </c>
      <c r="F35" s="753" t="s">
        <v>1886</v>
      </c>
      <c r="G35" s="129">
        <v>111581130</v>
      </c>
      <c r="H35" s="129">
        <v>0</v>
      </c>
      <c r="I35" s="129">
        <v>111581130</v>
      </c>
      <c r="J35" s="793">
        <v>49.9</v>
      </c>
      <c r="K35" s="129">
        <v>55678984</v>
      </c>
      <c r="L35" s="129">
        <v>0</v>
      </c>
      <c r="M35" s="129">
        <v>-56745</v>
      </c>
      <c r="N35" s="129">
        <v>0</v>
      </c>
      <c r="O35" s="129">
        <v>55622239</v>
      </c>
      <c r="P35" s="129">
        <v>0</v>
      </c>
      <c r="Q35" s="129">
        <v>55622239</v>
      </c>
      <c r="R35" s="129">
        <v>-130073</v>
      </c>
      <c r="S35" s="129">
        <v>0</v>
      </c>
      <c r="T35" s="129">
        <v>-130073</v>
      </c>
      <c r="U35" s="129">
        <v>0</v>
      </c>
      <c r="V35" s="129">
        <v>0</v>
      </c>
      <c r="W35" s="129">
        <v>0</v>
      </c>
      <c r="X35" s="129">
        <v>-130073</v>
      </c>
      <c r="Y35" s="129">
        <v>0</v>
      </c>
      <c r="Z35" s="129">
        <v>0</v>
      </c>
      <c r="AA35" s="129">
        <v>0</v>
      </c>
      <c r="AB35" s="129">
        <v>-130073</v>
      </c>
      <c r="AC35" s="129">
        <v>0</v>
      </c>
      <c r="AD35" s="129">
        <v>-130073</v>
      </c>
      <c r="AE35" s="129">
        <v>130073</v>
      </c>
      <c r="AF35" s="129">
        <v>0</v>
      </c>
      <c r="AG35" s="129">
        <v>130073</v>
      </c>
      <c r="AH35" s="129">
        <v>-5906360</v>
      </c>
      <c r="AI35" s="129">
        <v>0</v>
      </c>
      <c r="AJ35" s="129">
        <v>-5906360</v>
      </c>
      <c r="AK35" s="129">
        <v>0</v>
      </c>
      <c r="AL35" s="129">
        <v>0</v>
      </c>
      <c r="AM35" s="129">
        <v>0</v>
      </c>
      <c r="AN35" s="129">
        <v>916056</v>
      </c>
      <c r="AO35" s="129">
        <v>0</v>
      </c>
      <c r="AP35" s="129">
        <v>916056</v>
      </c>
      <c r="AQ35" s="129">
        <v>-4990304</v>
      </c>
      <c r="AR35" s="129">
        <v>0</v>
      </c>
      <c r="AS35" s="129">
        <v>-4990304</v>
      </c>
      <c r="AT35" s="129">
        <v>-3291399</v>
      </c>
      <c r="AU35" s="129">
        <v>0</v>
      </c>
      <c r="AV35" s="129">
        <v>-3291399</v>
      </c>
      <c r="AW35" s="129">
        <v>-114032</v>
      </c>
      <c r="AX35" s="129">
        <v>0</v>
      </c>
      <c r="AY35" s="129">
        <v>-114032</v>
      </c>
      <c r="AZ35" s="129">
        <v>-14178</v>
      </c>
      <c r="BA35" s="129">
        <v>0</v>
      </c>
      <c r="BB35" s="129">
        <v>-14178</v>
      </c>
      <c r="BC35" s="129">
        <v>0</v>
      </c>
      <c r="BD35" s="129">
        <v>0</v>
      </c>
      <c r="BE35" s="129">
        <v>0</v>
      </c>
      <c r="BF35" s="129">
        <v>-8409913</v>
      </c>
      <c r="BG35" s="129">
        <v>0</v>
      </c>
      <c r="BH35" s="129">
        <v>0</v>
      </c>
      <c r="BI35" s="129">
        <v>0</v>
      </c>
      <c r="BJ35" s="129">
        <v>-8409913</v>
      </c>
      <c r="BK35" s="129">
        <v>0</v>
      </c>
      <c r="BL35" s="129">
        <v>-8409913</v>
      </c>
      <c r="BM35" s="129">
        <v>-26448</v>
      </c>
      <c r="BN35" s="129">
        <v>0</v>
      </c>
      <c r="BO35" s="129">
        <v>-26448</v>
      </c>
      <c r="BP35" s="129">
        <v>-1397410</v>
      </c>
      <c r="BQ35" s="129">
        <v>0</v>
      </c>
      <c r="BR35" s="129">
        <v>-1397410</v>
      </c>
      <c r="BS35" s="129">
        <v>-1423858</v>
      </c>
      <c r="BT35" s="129">
        <v>0</v>
      </c>
      <c r="BU35" s="129">
        <v>0</v>
      </c>
      <c r="BV35" s="129">
        <v>0</v>
      </c>
      <c r="BW35" s="129">
        <v>-1423858</v>
      </c>
      <c r="BX35" s="129">
        <v>0</v>
      </c>
      <c r="BY35" s="129">
        <v>-1423858</v>
      </c>
      <c r="BZ35" s="129">
        <v>0</v>
      </c>
      <c r="CA35" s="129">
        <v>0</v>
      </c>
      <c r="CB35" s="129">
        <v>0</v>
      </c>
      <c r="CC35" s="129">
        <v>-268493</v>
      </c>
      <c r="CD35" s="129">
        <v>0</v>
      </c>
      <c r="CE35" s="129">
        <v>-268493</v>
      </c>
      <c r="CF35" s="129">
        <v>0</v>
      </c>
      <c r="CG35" s="129">
        <v>0</v>
      </c>
      <c r="CH35" s="129">
        <v>0</v>
      </c>
      <c r="CI35" s="129">
        <v>0</v>
      </c>
      <c r="CJ35" s="129">
        <v>0</v>
      </c>
      <c r="CK35" s="129">
        <v>0</v>
      </c>
      <c r="CL35" s="129">
        <v>0</v>
      </c>
      <c r="CM35" s="129">
        <v>0</v>
      </c>
      <c r="CN35" s="129">
        <v>0</v>
      </c>
      <c r="CO35" s="129">
        <v>0</v>
      </c>
      <c r="CP35" s="129">
        <v>0</v>
      </c>
      <c r="CQ35" s="129">
        <v>0</v>
      </c>
      <c r="CR35" s="129">
        <v>0</v>
      </c>
      <c r="CS35" s="129">
        <v>0</v>
      </c>
      <c r="CT35" s="129">
        <v>-268493</v>
      </c>
      <c r="CU35" s="129">
        <v>0</v>
      </c>
      <c r="CV35" s="129">
        <v>0</v>
      </c>
      <c r="CW35" s="129">
        <v>0</v>
      </c>
      <c r="CX35" s="129">
        <v>-268493</v>
      </c>
      <c r="CY35" s="129">
        <v>0</v>
      </c>
      <c r="CZ35" s="129">
        <v>-268493</v>
      </c>
      <c r="DA35" s="129">
        <v>-9624</v>
      </c>
      <c r="DB35" s="129">
        <v>0</v>
      </c>
      <c r="DC35" s="129">
        <v>-9624</v>
      </c>
      <c r="DD35" s="129">
        <v>-7772</v>
      </c>
      <c r="DE35" s="129">
        <v>0</v>
      </c>
      <c r="DF35" s="129">
        <v>-7772</v>
      </c>
      <c r="DG35" s="129">
        <v>-1500</v>
      </c>
      <c r="DH35" s="129">
        <v>0</v>
      </c>
      <c r="DI35" s="129">
        <v>-1500</v>
      </c>
      <c r="DJ35" s="129">
        <v>-18896</v>
      </c>
      <c r="DK35" s="129">
        <v>0</v>
      </c>
      <c r="DL35" s="129">
        <v>0</v>
      </c>
      <c r="DM35" s="129">
        <v>0</v>
      </c>
      <c r="DN35" s="129">
        <v>-18896</v>
      </c>
      <c r="DO35" s="129">
        <v>0</v>
      </c>
      <c r="DP35" s="129">
        <v>-18896</v>
      </c>
      <c r="DQ35" s="129">
        <v>45371006</v>
      </c>
      <c r="DR35" s="129">
        <v>0</v>
      </c>
      <c r="DS35" s="129">
        <v>45371006</v>
      </c>
      <c r="DT35" s="662" t="s">
        <v>677</v>
      </c>
      <c r="DU35" s="324" t="s">
        <v>528</v>
      </c>
      <c r="DV35" s="663" t="s">
        <v>1913</v>
      </c>
      <c r="DW35" s="529" t="s">
        <v>1239</v>
      </c>
    </row>
    <row r="36" spans="1:127" ht="12.75" x14ac:dyDescent="0.2">
      <c r="A36" s="664">
        <v>29</v>
      </c>
      <c r="B36" s="665" t="s">
        <v>680</v>
      </c>
      <c r="C36" s="666" t="s">
        <v>1201</v>
      </c>
      <c r="D36" s="667" t="s">
        <v>1211</v>
      </c>
      <c r="E36" s="668" t="s">
        <v>679</v>
      </c>
      <c r="F36" s="753" t="s">
        <v>1879</v>
      </c>
      <c r="G36" s="129">
        <v>90870105</v>
      </c>
      <c r="H36" s="129">
        <v>0</v>
      </c>
      <c r="I36" s="129">
        <v>90870105</v>
      </c>
      <c r="J36" s="793">
        <v>49.9</v>
      </c>
      <c r="K36" s="129">
        <v>45344182</v>
      </c>
      <c r="L36" s="129">
        <v>0</v>
      </c>
      <c r="M36" s="129">
        <v>-1360325</v>
      </c>
      <c r="N36" s="129">
        <v>0</v>
      </c>
      <c r="O36" s="129">
        <v>43983857</v>
      </c>
      <c r="P36" s="129">
        <v>0</v>
      </c>
      <c r="Q36" s="129">
        <v>43983857</v>
      </c>
      <c r="R36" s="129">
        <v>-68140</v>
      </c>
      <c r="S36" s="129">
        <v>0</v>
      </c>
      <c r="T36" s="129">
        <v>-68140</v>
      </c>
      <c r="U36" s="129">
        <v>53077</v>
      </c>
      <c r="V36" s="129">
        <v>0</v>
      </c>
      <c r="W36" s="129">
        <v>53077</v>
      </c>
      <c r="X36" s="129">
        <v>-15063</v>
      </c>
      <c r="Y36" s="129">
        <v>0</v>
      </c>
      <c r="Z36" s="129">
        <v>0</v>
      </c>
      <c r="AA36" s="129">
        <v>0</v>
      </c>
      <c r="AB36" s="129">
        <v>-15063</v>
      </c>
      <c r="AC36" s="129">
        <v>0</v>
      </c>
      <c r="AD36" s="129">
        <v>-15063</v>
      </c>
      <c r="AE36" s="129">
        <v>15063</v>
      </c>
      <c r="AF36" s="129">
        <v>0</v>
      </c>
      <c r="AG36" s="129">
        <v>15063</v>
      </c>
      <c r="AH36" s="129">
        <v>-5320109</v>
      </c>
      <c r="AI36" s="129">
        <v>0</v>
      </c>
      <c r="AJ36" s="129">
        <v>-5320109</v>
      </c>
      <c r="AK36" s="129">
        <v>0</v>
      </c>
      <c r="AL36" s="129">
        <v>0</v>
      </c>
      <c r="AM36" s="129">
        <v>0</v>
      </c>
      <c r="AN36" s="129">
        <v>728640</v>
      </c>
      <c r="AO36" s="129">
        <v>0</v>
      </c>
      <c r="AP36" s="129">
        <v>728640</v>
      </c>
      <c r="AQ36" s="129">
        <v>-4591469</v>
      </c>
      <c r="AR36" s="129">
        <v>0</v>
      </c>
      <c r="AS36" s="129">
        <v>-4591469</v>
      </c>
      <c r="AT36" s="129">
        <v>-2672747</v>
      </c>
      <c r="AU36" s="129">
        <v>0</v>
      </c>
      <c r="AV36" s="129">
        <v>-2672747</v>
      </c>
      <c r="AW36" s="129">
        <v>-47493</v>
      </c>
      <c r="AX36" s="129">
        <v>0</v>
      </c>
      <c r="AY36" s="129">
        <v>-47493</v>
      </c>
      <c r="AZ36" s="129">
        <v>-62413</v>
      </c>
      <c r="BA36" s="129">
        <v>0</v>
      </c>
      <c r="BB36" s="129">
        <v>-62413</v>
      </c>
      <c r="BC36" s="129">
        <v>0</v>
      </c>
      <c r="BD36" s="129">
        <v>0</v>
      </c>
      <c r="BE36" s="129">
        <v>0</v>
      </c>
      <c r="BF36" s="129">
        <v>-7374122</v>
      </c>
      <c r="BG36" s="129">
        <v>0</v>
      </c>
      <c r="BH36" s="129">
        <v>0</v>
      </c>
      <c r="BI36" s="129">
        <v>0</v>
      </c>
      <c r="BJ36" s="129">
        <v>-7374122</v>
      </c>
      <c r="BK36" s="129">
        <v>0</v>
      </c>
      <c r="BL36" s="129">
        <v>-7374122</v>
      </c>
      <c r="BM36" s="129">
        <v>0</v>
      </c>
      <c r="BN36" s="129">
        <v>0</v>
      </c>
      <c r="BO36" s="129">
        <v>0</v>
      </c>
      <c r="BP36" s="129">
        <v>-1559546</v>
      </c>
      <c r="BQ36" s="129">
        <v>0</v>
      </c>
      <c r="BR36" s="129">
        <v>-1559546</v>
      </c>
      <c r="BS36" s="129">
        <v>-1559546</v>
      </c>
      <c r="BT36" s="129">
        <v>0</v>
      </c>
      <c r="BU36" s="129">
        <v>0</v>
      </c>
      <c r="BV36" s="129">
        <v>0</v>
      </c>
      <c r="BW36" s="129">
        <v>-1559546</v>
      </c>
      <c r="BX36" s="129">
        <v>0</v>
      </c>
      <c r="BY36" s="129">
        <v>-1559546</v>
      </c>
      <c r="BZ36" s="129">
        <v>-41678</v>
      </c>
      <c r="CA36" s="129">
        <v>0</v>
      </c>
      <c r="CB36" s="129">
        <v>-41678</v>
      </c>
      <c r="CC36" s="129">
        <v>-226649</v>
      </c>
      <c r="CD36" s="129">
        <v>0</v>
      </c>
      <c r="CE36" s="129">
        <v>-226649</v>
      </c>
      <c r="CF36" s="129">
        <v>-4458</v>
      </c>
      <c r="CG36" s="129">
        <v>0</v>
      </c>
      <c r="CH36" s="129">
        <v>-4458</v>
      </c>
      <c r="CI36" s="129">
        <v>0</v>
      </c>
      <c r="CJ36" s="129">
        <v>0</v>
      </c>
      <c r="CK36" s="129">
        <v>0</v>
      </c>
      <c r="CL36" s="129">
        <v>0</v>
      </c>
      <c r="CM36" s="129">
        <v>0</v>
      </c>
      <c r="CN36" s="129">
        <v>0</v>
      </c>
      <c r="CO36" s="129">
        <v>-19835</v>
      </c>
      <c r="CP36" s="129">
        <v>0</v>
      </c>
      <c r="CQ36" s="129">
        <v>-19835</v>
      </c>
      <c r="CR36" s="129">
        <v>0</v>
      </c>
      <c r="CS36" s="129">
        <v>0</v>
      </c>
      <c r="CT36" s="129">
        <v>-292620</v>
      </c>
      <c r="CU36" s="129">
        <v>0</v>
      </c>
      <c r="CV36" s="129">
        <v>0</v>
      </c>
      <c r="CW36" s="129">
        <v>0</v>
      </c>
      <c r="CX36" s="129">
        <v>-292620</v>
      </c>
      <c r="CY36" s="129">
        <v>0</v>
      </c>
      <c r="CZ36" s="129">
        <v>-292620</v>
      </c>
      <c r="DA36" s="129">
        <v>-70437</v>
      </c>
      <c r="DB36" s="129">
        <v>0</v>
      </c>
      <c r="DC36" s="129">
        <v>-70437</v>
      </c>
      <c r="DD36" s="129">
        <v>-26316</v>
      </c>
      <c r="DE36" s="129">
        <v>0</v>
      </c>
      <c r="DF36" s="129">
        <v>-26316</v>
      </c>
      <c r="DG36" s="129">
        <v>-1272</v>
      </c>
      <c r="DH36" s="129">
        <v>0</v>
      </c>
      <c r="DI36" s="129">
        <v>-1272</v>
      </c>
      <c r="DJ36" s="129">
        <v>-98025</v>
      </c>
      <c r="DK36" s="129">
        <v>0</v>
      </c>
      <c r="DL36" s="129">
        <v>0</v>
      </c>
      <c r="DM36" s="129">
        <v>0</v>
      </c>
      <c r="DN36" s="129">
        <v>-98025</v>
      </c>
      <c r="DO36" s="129">
        <v>0</v>
      </c>
      <c r="DP36" s="129">
        <v>-98025</v>
      </c>
      <c r="DQ36" s="129">
        <v>34644481</v>
      </c>
      <c r="DR36" s="129">
        <v>0</v>
      </c>
      <c r="DS36" s="129">
        <v>34644481</v>
      </c>
      <c r="DT36" s="662" t="s">
        <v>679</v>
      </c>
      <c r="DU36" s="324" t="s">
        <v>553</v>
      </c>
      <c r="DV36" s="663" t="s">
        <v>512</v>
      </c>
      <c r="DW36" s="529" t="s">
        <v>1240</v>
      </c>
    </row>
    <row r="37" spans="1:127" ht="12.75" x14ac:dyDescent="0.2">
      <c r="A37" s="664">
        <v>30</v>
      </c>
      <c r="B37" s="665" t="s">
        <v>682</v>
      </c>
      <c r="C37" s="666" t="s">
        <v>1213</v>
      </c>
      <c r="D37" s="667" t="s">
        <v>1214</v>
      </c>
      <c r="E37" s="668" t="s">
        <v>681</v>
      </c>
      <c r="F37" s="753" t="s">
        <v>1884</v>
      </c>
      <c r="G37" s="129">
        <v>316420980</v>
      </c>
      <c r="H37" s="129">
        <v>0</v>
      </c>
      <c r="I37" s="129">
        <v>316420980</v>
      </c>
      <c r="J37" s="793">
        <v>49.9</v>
      </c>
      <c r="K37" s="129">
        <v>157894069</v>
      </c>
      <c r="L37" s="129">
        <v>0</v>
      </c>
      <c r="M37" s="129">
        <v>-500000</v>
      </c>
      <c r="N37" s="129">
        <v>0</v>
      </c>
      <c r="O37" s="129">
        <v>157394069</v>
      </c>
      <c r="P37" s="129">
        <v>0</v>
      </c>
      <c r="Q37" s="129">
        <v>157394069</v>
      </c>
      <c r="R37" s="129">
        <v>-337540</v>
      </c>
      <c r="S37" s="129">
        <v>0</v>
      </c>
      <c r="T37" s="129">
        <v>-337540</v>
      </c>
      <c r="U37" s="129">
        <v>152151</v>
      </c>
      <c r="V37" s="129">
        <v>0</v>
      </c>
      <c r="W37" s="129">
        <v>152151</v>
      </c>
      <c r="X37" s="129">
        <v>-185389</v>
      </c>
      <c r="Y37" s="129">
        <v>0</v>
      </c>
      <c r="Z37" s="129">
        <v>0</v>
      </c>
      <c r="AA37" s="129">
        <v>0</v>
      </c>
      <c r="AB37" s="129">
        <v>-185389</v>
      </c>
      <c r="AC37" s="129">
        <v>0</v>
      </c>
      <c r="AD37" s="129">
        <v>-185389</v>
      </c>
      <c r="AE37" s="129">
        <v>185389</v>
      </c>
      <c r="AF37" s="129">
        <v>0</v>
      </c>
      <c r="AG37" s="129">
        <v>185389</v>
      </c>
      <c r="AH37" s="129">
        <v>-9452550</v>
      </c>
      <c r="AI37" s="129">
        <v>0</v>
      </c>
      <c r="AJ37" s="129">
        <v>-9452550</v>
      </c>
      <c r="AK37" s="129">
        <v>0</v>
      </c>
      <c r="AL37" s="129">
        <v>0</v>
      </c>
      <c r="AM37" s="129">
        <v>0</v>
      </c>
      <c r="AN37" s="129">
        <v>2890490</v>
      </c>
      <c r="AO37" s="129">
        <v>0</v>
      </c>
      <c r="AP37" s="129">
        <v>2890490</v>
      </c>
      <c r="AQ37" s="129">
        <v>-6562060</v>
      </c>
      <c r="AR37" s="129">
        <v>0</v>
      </c>
      <c r="AS37" s="129">
        <v>-6562060</v>
      </c>
      <c r="AT37" s="129">
        <v>-9829259</v>
      </c>
      <c r="AU37" s="129">
        <v>0</v>
      </c>
      <c r="AV37" s="129">
        <v>-9829259</v>
      </c>
      <c r="AW37" s="129">
        <v>-32768</v>
      </c>
      <c r="AX37" s="129">
        <v>0</v>
      </c>
      <c r="AY37" s="129">
        <v>-32768</v>
      </c>
      <c r="AZ37" s="129">
        <v>0</v>
      </c>
      <c r="BA37" s="129">
        <v>0</v>
      </c>
      <c r="BB37" s="129">
        <v>0</v>
      </c>
      <c r="BC37" s="129">
        <v>0</v>
      </c>
      <c r="BD37" s="129">
        <v>0</v>
      </c>
      <c r="BE37" s="129">
        <v>0</v>
      </c>
      <c r="BF37" s="129">
        <v>-16424087</v>
      </c>
      <c r="BG37" s="129">
        <v>0</v>
      </c>
      <c r="BH37" s="129">
        <v>0</v>
      </c>
      <c r="BI37" s="129">
        <v>0</v>
      </c>
      <c r="BJ37" s="129">
        <v>-16424087</v>
      </c>
      <c r="BK37" s="129">
        <v>0</v>
      </c>
      <c r="BL37" s="129">
        <v>-16424087</v>
      </c>
      <c r="BM37" s="129">
        <v>0</v>
      </c>
      <c r="BN37" s="129">
        <v>0</v>
      </c>
      <c r="BO37" s="129">
        <v>0</v>
      </c>
      <c r="BP37" s="129">
        <v>-3625846</v>
      </c>
      <c r="BQ37" s="129">
        <v>0</v>
      </c>
      <c r="BR37" s="129">
        <v>-3625846</v>
      </c>
      <c r="BS37" s="129">
        <v>-3625846</v>
      </c>
      <c r="BT37" s="129">
        <v>0</v>
      </c>
      <c r="BU37" s="129">
        <v>-574154</v>
      </c>
      <c r="BV37" s="129">
        <v>0</v>
      </c>
      <c r="BW37" s="129">
        <v>-4200000</v>
      </c>
      <c r="BX37" s="129">
        <v>0</v>
      </c>
      <c r="BY37" s="129">
        <v>-4200000</v>
      </c>
      <c r="BZ37" s="129">
        <v>-444805</v>
      </c>
      <c r="CA37" s="129">
        <v>0</v>
      </c>
      <c r="CB37" s="129">
        <v>-444805</v>
      </c>
      <c r="CC37" s="129">
        <v>-27656</v>
      </c>
      <c r="CD37" s="129">
        <v>0</v>
      </c>
      <c r="CE37" s="129">
        <v>-27656</v>
      </c>
      <c r="CF37" s="129">
        <v>0</v>
      </c>
      <c r="CG37" s="129">
        <v>0</v>
      </c>
      <c r="CH37" s="129">
        <v>0</v>
      </c>
      <c r="CI37" s="129">
        <v>0</v>
      </c>
      <c r="CJ37" s="129">
        <v>0</v>
      </c>
      <c r="CK37" s="129">
        <v>0</v>
      </c>
      <c r="CL37" s="129">
        <v>0</v>
      </c>
      <c r="CM37" s="129">
        <v>0</v>
      </c>
      <c r="CN37" s="129">
        <v>0</v>
      </c>
      <c r="CO37" s="129">
        <v>0</v>
      </c>
      <c r="CP37" s="129">
        <v>0</v>
      </c>
      <c r="CQ37" s="129">
        <v>0</v>
      </c>
      <c r="CR37" s="129">
        <v>0</v>
      </c>
      <c r="CS37" s="129">
        <v>0</v>
      </c>
      <c r="CT37" s="129">
        <v>-472461</v>
      </c>
      <c r="CU37" s="129">
        <v>0</v>
      </c>
      <c r="CV37" s="129">
        <v>0</v>
      </c>
      <c r="CW37" s="129">
        <v>0</v>
      </c>
      <c r="CX37" s="129">
        <v>-472461</v>
      </c>
      <c r="CY37" s="129">
        <v>0</v>
      </c>
      <c r="CZ37" s="129">
        <v>-472461</v>
      </c>
      <c r="DA37" s="129">
        <v>0</v>
      </c>
      <c r="DB37" s="129">
        <v>0</v>
      </c>
      <c r="DC37" s="129">
        <v>0</v>
      </c>
      <c r="DD37" s="129">
        <v>-83406</v>
      </c>
      <c r="DE37" s="129">
        <v>0</v>
      </c>
      <c r="DF37" s="129">
        <v>-83406</v>
      </c>
      <c r="DG37" s="129">
        <v>0</v>
      </c>
      <c r="DH37" s="129">
        <v>0</v>
      </c>
      <c r="DI37" s="129">
        <v>0</v>
      </c>
      <c r="DJ37" s="129">
        <v>-83406</v>
      </c>
      <c r="DK37" s="129">
        <v>0</v>
      </c>
      <c r="DL37" s="129">
        <v>0</v>
      </c>
      <c r="DM37" s="129">
        <v>0</v>
      </c>
      <c r="DN37" s="129">
        <v>-83406</v>
      </c>
      <c r="DO37" s="129">
        <v>0</v>
      </c>
      <c r="DP37" s="129">
        <v>-83406</v>
      </c>
      <c r="DQ37" s="129">
        <v>136028726</v>
      </c>
      <c r="DR37" s="129">
        <v>0</v>
      </c>
      <c r="DS37" s="129">
        <v>136028726</v>
      </c>
      <c r="DT37" s="662" t="s">
        <v>681</v>
      </c>
      <c r="DU37" s="324" t="s">
        <v>576</v>
      </c>
      <c r="DV37" s="669" t="s">
        <v>485</v>
      </c>
      <c r="DW37" s="529" t="s">
        <v>1241</v>
      </c>
    </row>
    <row r="38" spans="1:127" ht="12.75" x14ac:dyDescent="0.2">
      <c r="A38" s="664">
        <v>31</v>
      </c>
      <c r="B38" s="665" t="s">
        <v>684</v>
      </c>
      <c r="C38" s="666" t="s">
        <v>1201</v>
      </c>
      <c r="D38" s="667" t="s">
        <v>1211</v>
      </c>
      <c r="E38" s="668" t="s">
        <v>683</v>
      </c>
      <c r="F38" s="753" t="s">
        <v>1889</v>
      </c>
      <c r="G38" s="129">
        <v>68094139</v>
      </c>
      <c r="H38" s="129">
        <v>0</v>
      </c>
      <c r="I38" s="129">
        <v>68094139</v>
      </c>
      <c r="J38" s="793">
        <v>49.9</v>
      </c>
      <c r="K38" s="129">
        <v>33978975</v>
      </c>
      <c r="L38" s="129">
        <v>0</v>
      </c>
      <c r="M38" s="129">
        <v>-349300</v>
      </c>
      <c r="N38" s="129">
        <v>0</v>
      </c>
      <c r="O38" s="129">
        <v>33629675</v>
      </c>
      <c r="P38" s="129">
        <v>0</v>
      </c>
      <c r="Q38" s="129">
        <v>33629675</v>
      </c>
      <c r="R38" s="129">
        <v>-49929</v>
      </c>
      <c r="S38" s="129">
        <v>0</v>
      </c>
      <c r="T38" s="129">
        <v>-49929</v>
      </c>
      <c r="U38" s="129">
        <v>74723</v>
      </c>
      <c r="V38" s="129">
        <v>0</v>
      </c>
      <c r="W38" s="129">
        <v>74723</v>
      </c>
      <c r="X38" s="129">
        <v>24794</v>
      </c>
      <c r="Y38" s="129">
        <v>0</v>
      </c>
      <c r="Z38" s="129">
        <v>0</v>
      </c>
      <c r="AA38" s="129">
        <v>0</v>
      </c>
      <c r="AB38" s="129">
        <v>24794</v>
      </c>
      <c r="AC38" s="129">
        <v>0</v>
      </c>
      <c r="AD38" s="129">
        <v>24794</v>
      </c>
      <c r="AE38" s="129">
        <v>-24794</v>
      </c>
      <c r="AF38" s="129">
        <v>0</v>
      </c>
      <c r="AG38" s="129">
        <v>-24794</v>
      </c>
      <c r="AH38" s="129">
        <v>-2923061</v>
      </c>
      <c r="AI38" s="129">
        <v>0</v>
      </c>
      <c r="AJ38" s="129">
        <v>-2923061</v>
      </c>
      <c r="AK38" s="129">
        <v>0</v>
      </c>
      <c r="AL38" s="129">
        <v>0</v>
      </c>
      <c r="AM38" s="129">
        <v>0</v>
      </c>
      <c r="AN38" s="129">
        <v>550257</v>
      </c>
      <c r="AO38" s="129">
        <v>0</v>
      </c>
      <c r="AP38" s="129">
        <v>550257</v>
      </c>
      <c r="AQ38" s="129">
        <v>-2372804</v>
      </c>
      <c r="AR38" s="129">
        <v>0</v>
      </c>
      <c r="AS38" s="129">
        <v>-2372804</v>
      </c>
      <c r="AT38" s="129">
        <v>-2355176</v>
      </c>
      <c r="AU38" s="129">
        <v>0</v>
      </c>
      <c r="AV38" s="129">
        <v>-2355176</v>
      </c>
      <c r="AW38" s="129">
        <v>-41677</v>
      </c>
      <c r="AX38" s="129">
        <v>0</v>
      </c>
      <c r="AY38" s="129">
        <v>-41677</v>
      </c>
      <c r="AZ38" s="129">
        <v>0</v>
      </c>
      <c r="BA38" s="129">
        <v>0</v>
      </c>
      <c r="BB38" s="129">
        <v>0</v>
      </c>
      <c r="BC38" s="129">
        <v>0</v>
      </c>
      <c r="BD38" s="129">
        <v>0</v>
      </c>
      <c r="BE38" s="129">
        <v>0</v>
      </c>
      <c r="BF38" s="129">
        <v>-4769657</v>
      </c>
      <c r="BG38" s="129">
        <v>0</v>
      </c>
      <c r="BH38" s="129">
        <v>0</v>
      </c>
      <c r="BI38" s="129">
        <v>0</v>
      </c>
      <c r="BJ38" s="129">
        <v>-4769657</v>
      </c>
      <c r="BK38" s="129">
        <v>0</v>
      </c>
      <c r="BL38" s="129">
        <v>-4769657</v>
      </c>
      <c r="BM38" s="129">
        <v>0</v>
      </c>
      <c r="BN38" s="129">
        <v>0</v>
      </c>
      <c r="BO38" s="129">
        <v>0</v>
      </c>
      <c r="BP38" s="129">
        <v>-1361453</v>
      </c>
      <c r="BQ38" s="129">
        <v>0</v>
      </c>
      <c r="BR38" s="129">
        <v>-1361453</v>
      </c>
      <c r="BS38" s="129">
        <v>-1361453</v>
      </c>
      <c r="BT38" s="129">
        <v>0</v>
      </c>
      <c r="BU38" s="129">
        <v>0</v>
      </c>
      <c r="BV38" s="129">
        <v>0</v>
      </c>
      <c r="BW38" s="129">
        <v>-1361453</v>
      </c>
      <c r="BX38" s="129">
        <v>0</v>
      </c>
      <c r="BY38" s="129">
        <v>-1361453</v>
      </c>
      <c r="BZ38" s="129">
        <v>-33357</v>
      </c>
      <c r="CA38" s="129">
        <v>0</v>
      </c>
      <c r="CB38" s="129">
        <v>-33357</v>
      </c>
      <c r="CC38" s="129">
        <v>-7685</v>
      </c>
      <c r="CD38" s="129">
        <v>0</v>
      </c>
      <c r="CE38" s="129">
        <v>-7685</v>
      </c>
      <c r="CF38" s="129">
        <v>0</v>
      </c>
      <c r="CG38" s="129">
        <v>0</v>
      </c>
      <c r="CH38" s="129">
        <v>0</v>
      </c>
      <c r="CI38" s="129">
        <v>0</v>
      </c>
      <c r="CJ38" s="129">
        <v>0</v>
      </c>
      <c r="CK38" s="129">
        <v>0</v>
      </c>
      <c r="CL38" s="129">
        <v>0</v>
      </c>
      <c r="CM38" s="129">
        <v>0</v>
      </c>
      <c r="CN38" s="129">
        <v>0</v>
      </c>
      <c r="CO38" s="129">
        <v>0</v>
      </c>
      <c r="CP38" s="129">
        <v>0</v>
      </c>
      <c r="CQ38" s="129">
        <v>0</v>
      </c>
      <c r="CR38" s="129">
        <v>0</v>
      </c>
      <c r="CS38" s="129">
        <v>0</v>
      </c>
      <c r="CT38" s="129">
        <v>-41042</v>
      </c>
      <c r="CU38" s="129">
        <v>0</v>
      </c>
      <c r="CV38" s="129">
        <v>0</v>
      </c>
      <c r="CW38" s="129">
        <v>0</v>
      </c>
      <c r="CX38" s="129">
        <v>-41042</v>
      </c>
      <c r="CY38" s="129">
        <v>0</v>
      </c>
      <c r="CZ38" s="129">
        <v>-41042</v>
      </c>
      <c r="DA38" s="129">
        <v>0</v>
      </c>
      <c r="DB38" s="129">
        <v>0</v>
      </c>
      <c r="DC38" s="129">
        <v>0</v>
      </c>
      <c r="DD38" s="129">
        <v>-995</v>
      </c>
      <c r="DE38" s="129">
        <v>0</v>
      </c>
      <c r="DF38" s="129">
        <v>-995</v>
      </c>
      <c r="DG38" s="129">
        <v>0</v>
      </c>
      <c r="DH38" s="129">
        <v>0</v>
      </c>
      <c r="DI38" s="129">
        <v>0</v>
      </c>
      <c r="DJ38" s="129">
        <v>-995</v>
      </c>
      <c r="DK38" s="129">
        <v>0</v>
      </c>
      <c r="DL38" s="129">
        <v>0</v>
      </c>
      <c r="DM38" s="129">
        <v>0</v>
      </c>
      <c r="DN38" s="129">
        <v>-995</v>
      </c>
      <c r="DO38" s="129">
        <v>0</v>
      </c>
      <c r="DP38" s="129">
        <v>-995</v>
      </c>
      <c r="DQ38" s="129">
        <v>27481322</v>
      </c>
      <c r="DR38" s="129">
        <v>0</v>
      </c>
      <c r="DS38" s="129">
        <v>27481322</v>
      </c>
      <c r="DT38" s="662" t="s">
        <v>683</v>
      </c>
      <c r="DU38" s="324" t="s">
        <v>528</v>
      </c>
      <c r="DV38" s="663" t="s">
        <v>1913</v>
      </c>
      <c r="DW38" s="529" t="s">
        <v>1242</v>
      </c>
    </row>
    <row r="39" spans="1:127" ht="12.75" x14ac:dyDescent="0.2">
      <c r="A39" s="664">
        <v>32</v>
      </c>
      <c r="B39" s="665" t="s">
        <v>685</v>
      </c>
      <c r="C39" s="666" t="s">
        <v>486</v>
      </c>
      <c r="D39" s="667" t="s">
        <v>1202</v>
      </c>
      <c r="E39" s="668" t="s">
        <v>824</v>
      </c>
      <c r="F39" s="753" t="s">
        <v>1879</v>
      </c>
      <c r="G39" s="129">
        <v>310218347</v>
      </c>
      <c r="H39" s="129">
        <v>0</v>
      </c>
      <c r="I39" s="129">
        <v>310218347</v>
      </c>
      <c r="J39" s="793">
        <v>49.9</v>
      </c>
      <c r="K39" s="129">
        <v>154798955</v>
      </c>
      <c r="L39" s="129">
        <v>0</v>
      </c>
      <c r="M39" s="129">
        <v>973658</v>
      </c>
      <c r="N39" s="129">
        <v>0</v>
      </c>
      <c r="O39" s="129">
        <v>155772613</v>
      </c>
      <c r="P39" s="129">
        <v>0</v>
      </c>
      <c r="Q39" s="129">
        <v>155772613</v>
      </c>
      <c r="R39" s="129">
        <v>-939569</v>
      </c>
      <c r="S39" s="129">
        <v>0</v>
      </c>
      <c r="T39" s="129">
        <v>-939569</v>
      </c>
      <c r="U39" s="129">
        <v>84478</v>
      </c>
      <c r="V39" s="129">
        <v>0</v>
      </c>
      <c r="W39" s="129">
        <v>84478</v>
      </c>
      <c r="X39" s="129">
        <v>-855091</v>
      </c>
      <c r="Y39" s="129">
        <v>0</v>
      </c>
      <c r="Z39" s="129">
        <v>0</v>
      </c>
      <c r="AA39" s="129">
        <v>0</v>
      </c>
      <c r="AB39" s="129">
        <v>-855091</v>
      </c>
      <c r="AC39" s="129">
        <v>0</v>
      </c>
      <c r="AD39" s="129">
        <v>-855091</v>
      </c>
      <c r="AE39" s="129">
        <v>855091</v>
      </c>
      <c r="AF39" s="129">
        <v>0</v>
      </c>
      <c r="AG39" s="129">
        <v>855091</v>
      </c>
      <c r="AH39" s="129">
        <v>-11588292</v>
      </c>
      <c r="AI39" s="129">
        <v>0</v>
      </c>
      <c r="AJ39" s="129">
        <v>-11588292</v>
      </c>
      <c r="AK39" s="129">
        <v>-43976</v>
      </c>
      <c r="AL39" s="129">
        <v>0</v>
      </c>
      <c r="AM39" s="129">
        <v>-43976</v>
      </c>
      <c r="AN39" s="129">
        <v>2804306</v>
      </c>
      <c r="AO39" s="129">
        <v>0</v>
      </c>
      <c r="AP39" s="129">
        <v>2804306</v>
      </c>
      <c r="AQ39" s="129">
        <v>-8783986</v>
      </c>
      <c r="AR39" s="129">
        <v>0</v>
      </c>
      <c r="AS39" s="129">
        <v>-8783986</v>
      </c>
      <c r="AT39" s="129">
        <v>-11985622</v>
      </c>
      <c r="AU39" s="129">
        <v>0</v>
      </c>
      <c r="AV39" s="129">
        <v>-11985622</v>
      </c>
      <c r="AW39" s="129">
        <v>-67215</v>
      </c>
      <c r="AX39" s="129">
        <v>0</v>
      </c>
      <c r="AY39" s="129">
        <v>-67215</v>
      </c>
      <c r="AZ39" s="129">
        <v>0</v>
      </c>
      <c r="BA39" s="129">
        <v>0</v>
      </c>
      <c r="BB39" s="129">
        <v>0</v>
      </c>
      <c r="BC39" s="129">
        <v>0</v>
      </c>
      <c r="BD39" s="129">
        <v>0</v>
      </c>
      <c r="BE39" s="129">
        <v>0</v>
      </c>
      <c r="BF39" s="129">
        <v>-20836823</v>
      </c>
      <c r="BG39" s="129">
        <v>0</v>
      </c>
      <c r="BH39" s="129">
        <v>0</v>
      </c>
      <c r="BI39" s="129">
        <v>0</v>
      </c>
      <c r="BJ39" s="129">
        <v>-20836823</v>
      </c>
      <c r="BK39" s="129">
        <v>0</v>
      </c>
      <c r="BL39" s="129">
        <v>-20836823</v>
      </c>
      <c r="BM39" s="129">
        <v>0</v>
      </c>
      <c r="BN39" s="129">
        <v>0</v>
      </c>
      <c r="BO39" s="129">
        <v>0</v>
      </c>
      <c r="BP39" s="129">
        <v>-4232092</v>
      </c>
      <c r="BQ39" s="129">
        <v>0</v>
      </c>
      <c r="BR39" s="129">
        <v>-4232092</v>
      </c>
      <c r="BS39" s="129">
        <v>-4232092</v>
      </c>
      <c r="BT39" s="129">
        <v>0</v>
      </c>
      <c r="BU39" s="129">
        <v>-1256776</v>
      </c>
      <c r="BV39" s="129">
        <v>0</v>
      </c>
      <c r="BW39" s="129">
        <v>-5488868</v>
      </c>
      <c r="BX39" s="129">
        <v>0</v>
      </c>
      <c r="BY39" s="129">
        <v>-5488868</v>
      </c>
      <c r="BZ39" s="129">
        <v>-38670</v>
      </c>
      <c r="CA39" s="129">
        <v>0</v>
      </c>
      <c r="CB39" s="129">
        <v>-38670</v>
      </c>
      <c r="CC39" s="129">
        <v>-35699</v>
      </c>
      <c r="CD39" s="129">
        <v>0</v>
      </c>
      <c r="CE39" s="129">
        <v>-35699</v>
      </c>
      <c r="CF39" s="129">
        <v>-207</v>
      </c>
      <c r="CG39" s="129">
        <v>0</v>
      </c>
      <c r="CH39" s="129">
        <v>-207</v>
      </c>
      <c r="CI39" s="129">
        <v>0</v>
      </c>
      <c r="CJ39" s="129">
        <v>0</v>
      </c>
      <c r="CK39" s="129">
        <v>0</v>
      </c>
      <c r="CL39" s="129">
        <v>0</v>
      </c>
      <c r="CM39" s="129">
        <v>0</v>
      </c>
      <c r="CN39" s="129">
        <v>0</v>
      </c>
      <c r="CO39" s="129">
        <v>0</v>
      </c>
      <c r="CP39" s="129">
        <v>0</v>
      </c>
      <c r="CQ39" s="129">
        <v>0</v>
      </c>
      <c r="CR39" s="129">
        <v>0</v>
      </c>
      <c r="CS39" s="129">
        <v>0</v>
      </c>
      <c r="CT39" s="129">
        <v>-74576</v>
      </c>
      <c r="CU39" s="129">
        <v>0</v>
      </c>
      <c r="CV39" s="129">
        <v>0</v>
      </c>
      <c r="CW39" s="129">
        <v>0</v>
      </c>
      <c r="CX39" s="129">
        <v>-74576</v>
      </c>
      <c r="CY39" s="129">
        <v>0</v>
      </c>
      <c r="CZ39" s="129">
        <v>-74576</v>
      </c>
      <c r="DA39" s="129">
        <v>0</v>
      </c>
      <c r="DB39" s="129">
        <v>0</v>
      </c>
      <c r="DC39" s="129">
        <v>0</v>
      </c>
      <c r="DD39" s="129">
        <v>-205546</v>
      </c>
      <c r="DE39" s="129">
        <v>0</v>
      </c>
      <c r="DF39" s="129">
        <v>-205546</v>
      </c>
      <c r="DG39" s="129">
        <v>0</v>
      </c>
      <c r="DH39" s="129">
        <v>0</v>
      </c>
      <c r="DI39" s="129">
        <v>0</v>
      </c>
      <c r="DJ39" s="129">
        <v>-205546</v>
      </c>
      <c r="DK39" s="129">
        <v>0</v>
      </c>
      <c r="DL39" s="129">
        <v>0</v>
      </c>
      <c r="DM39" s="129">
        <v>0</v>
      </c>
      <c r="DN39" s="129">
        <v>-205546</v>
      </c>
      <c r="DO39" s="129">
        <v>0</v>
      </c>
      <c r="DP39" s="129">
        <v>-205546</v>
      </c>
      <c r="DQ39" s="129">
        <v>128311709</v>
      </c>
      <c r="DR39" s="129">
        <v>0</v>
      </c>
      <c r="DS39" s="129">
        <v>128311709</v>
      </c>
      <c r="DT39" s="662" t="s">
        <v>824</v>
      </c>
      <c r="DU39" s="324" t="s">
        <v>486</v>
      </c>
      <c r="DV39" s="663" t="s">
        <v>524</v>
      </c>
      <c r="DW39" s="529" t="s">
        <v>1243</v>
      </c>
    </row>
    <row r="40" spans="1:127" ht="12.75" x14ac:dyDescent="0.2">
      <c r="A40" s="664">
        <v>33</v>
      </c>
      <c r="B40" s="665" t="s">
        <v>687</v>
      </c>
      <c r="C40" s="666" t="s">
        <v>486</v>
      </c>
      <c r="D40" s="667" t="s">
        <v>1224</v>
      </c>
      <c r="E40" s="668" t="s">
        <v>488</v>
      </c>
      <c r="F40" s="753" t="s">
        <v>1884</v>
      </c>
      <c r="G40" s="129">
        <v>480182229</v>
      </c>
      <c r="H40" s="129">
        <v>77447375</v>
      </c>
      <c r="I40" s="129">
        <v>557629604</v>
      </c>
      <c r="J40" s="793">
        <v>49.9</v>
      </c>
      <c r="K40" s="129">
        <v>239610932</v>
      </c>
      <c r="L40" s="129">
        <v>38646240</v>
      </c>
      <c r="M40" s="129">
        <v>-2352910</v>
      </c>
      <c r="N40" s="129">
        <v>859600</v>
      </c>
      <c r="O40" s="129">
        <v>237258022</v>
      </c>
      <c r="P40" s="129">
        <v>39505840</v>
      </c>
      <c r="Q40" s="129">
        <v>276763862</v>
      </c>
      <c r="R40" s="129">
        <v>-795473</v>
      </c>
      <c r="S40" s="129">
        <v>-19477</v>
      </c>
      <c r="T40" s="129">
        <v>-814950</v>
      </c>
      <c r="U40" s="129">
        <v>2505876</v>
      </c>
      <c r="V40" s="129">
        <v>34091</v>
      </c>
      <c r="W40" s="129">
        <v>2539967</v>
      </c>
      <c r="X40" s="129">
        <v>1710403</v>
      </c>
      <c r="Y40" s="129">
        <v>14614</v>
      </c>
      <c r="Z40" s="129">
        <v>0</v>
      </c>
      <c r="AA40" s="129">
        <v>0</v>
      </c>
      <c r="AB40" s="129">
        <v>1710403</v>
      </c>
      <c r="AC40" s="129">
        <v>14614</v>
      </c>
      <c r="AD40" s="129">
        <v>1725017</v>
      </c>
      <c r="AE40" s="129">
        <v>-1710403</v>
      </c>
      <c r="AF40" s="129">
        <v>-14614</v>
      </c>
      <c r="AG40" s="129">
        <v>-1725017</v>
      </c>
      <c r="AH40" s="129">
        <v>-15607744</v>
      </c>
      <c r="AI40" s="129">
        <v>-407356</v>
      </c>
      <c r="AJ40" s="129">
        <v>-16015100</v>
      </c>
      <c r="AK40" s="129">
        <v>-9705</v>
      </c>
      <c r="AL40" s="129">
        <v>-8084</v>
      </c>
      <c r="AM40" s="129">
        <v>-17789</v>
      </c>
      <c r="AN40" s="129">
        <v>4574579</v>
      </c>
      <c r="AO40" s="129">
        <v>895146</v>
      </c>
      <c r="AP40" s="129">
        <v>5469725</v>
      </c>
      <c r="AQ40" s="129">
        <v>-11033165</v>
      </c>
      <c r="AR40" s="129">
        <v>487790</v>
      </c>
      <c r="AS40" s="129">
        <v>-10545375</v>
      </c>
      <c r="AT40" s="129">
        <v>-20084676</v>
      </c>
      <c r="AU40" s="129">
        <v>-500224</v>
      </c>
      <c r="AV40" s="129">
        <v>-20584900</v>
      </c>
      <c r="AW40" s="129">
        <v>-104566</v>
      </c>
      <c r="AX40" s="129">
        <v>0</v>
      </c>
      <c r="AY40" s="129">
        <v>-104566</v>
      </c>
      <c r="AZ40" s="129">
        <v>0</v>
      </c>
      <c r="BA40" s="129">
        <v>0</v>
      </c>
      <c r="BB40" s="129">
        <v>0</v>
      </c>
      <c r="BC40" s="129">
        <v>0</v>
      </c>
      <c r="BD40" s="129">
        <v>0</v>
      </c>
      <c r="BE40" s="129">
        <v>0</v>
      </c>
      <c r="BF40" s="129">
        <v>-31222407</v>
      </c>
      <c r="BG40" s="129">
        <v>-12434</v>
      </c>
      <c r="BH40" s="129">
        <v>0</v>
      </c>
      <c r="BI40" s="129">
        <v>0</v>
      </c>
      <c r="BJ40" s="129">
        <v>-31222407</v>
      </c>
      <c r="BK40" s="129">
        <v>-12434</v>
      </c>
      <c r="BL40" s="129">
        <v>-31234841</v>
      </c>
      <c r="BM40" s="129">
        <v>-51953</v>
      </c>
      <c r="BN40" s="129">
        <v>-51954</v>
      </c>
      <c r="BO40" s="129">
        <v>-103907</v>
      </c>
      <c r="BP40" s="129">
        <v>-5150409</v>
      </c>
      <c r="BQ40" s="129">
        <v>-640566</v>
      </c>
      <c r="BR40" s="129">
        <v>-5790975</v>
      </c>
      <c r="BS40" s="129">
        <v>-5202362</v>
      </c>
      <c r="BT40" s="129">
        <v>-692520</v>
      </c>
      <c r="BU40" s="129">
        <v>-3379348</v>
      </c>
      <c r="BV40" s="129">
        <v>-306677</v>
      </c>
      <c r="BW40" s="129">
        <v>-8581710</v>
      </c>
      <c r="BX40" s="129">
        <v>-999197</v>
      </c>
      <c r="BY40" s="129">
        <v>-9580907</v>
      </c>
      <c r="BZ40" s="129">
        <v>-294081</v>
      </c>
      <c r="CA40" s="129">
        <v>0</v>
      </c>
      <c r="CB40" s="129">
        <v>-294081</v>
      </c>
      <c r="CC40" s="129">
        <v>-124648</v>
      </c>
      <c r="CD40" s="129">
        <v>0</v>
      </c>
      <c r="CE40" s="129">
        <v>-124648</v>
      </c>
      <c r="CF40" s="129">
        <v>-691</v>
      </c>
      <c r="CG40" s="129">
        <v>0</v>
      </c>
      <c r="CH40" s="129">
        <v>-691</v>
      </c>
      <c r="CI40" s="129">
        <v>0</v>
      </c>
      <c r="CJ40" s="129">
        <v>0</v>
      </c>
      <c r="CK40" s="129">
        <v>0</v>
      </c>
      <c r="CL40" s="129">
        <v>0</v>
      </c>
      <c r="CM40" s="129">
        <v>0</v>
      </c>
      <c r="CN40" s="129">
        <v>0</v>
      </c>
      <c r="CO40" s="129">
        <v>0</v>
      </c>
      <c r="CP40" s="129">
        <v>-1180600</v>
      </c>
      <c r="CQ40" s="129">
        <v>-1180600</v>
      </c>
      <c r="CR40" s="129">
        <v>-1180600</v>
      </c>
      <c r="CS40" s="129">
        <v>0</v>
      </c>
      <c r="CT40" s="129">
        <v>-419420</v>
      </c>
      <c r="CU40" s="129">
        <v>-1180600</v>
      </c>
      <c r="CV40" s="129">
        <v>0</v>
      </c>
      <c r="CW40" s="129">
        <v>0</v>
      </c>
      <c r="CX40" s="129">
        <v>-419420</v>
      </c>
      <c r="CY40" s="129">
        <v>-1180600</v>
      </c>
      <c r="CZ40" s="129">
        <v>-1600020</v>
      </c>
      <c r="DA40" s="129">
        <v>0</v>
      </c>
      <c r="DB40" s="129">
        <v>0</v>
      </c>
      <c r="DC40" s="129">
        <v>0</v>
      </c>
      <c r="DD40" s="129">
        <v>-57569</v>
      </c>
      <c r="DE40" s="129">
        <v>-2014</v>
      </c>
      <c r="DF40" s="129">
        <v>-59583</v>
      </c>
      <c r="DG40" s="129">
        <v>-1500</v>
      </c>
      <c r="DH40" s="129">
        <v>0</v>
      </c>
      <c r="DI40" s="129">
        <v>-1500</v>
      </c>
      <c r="DJ40" s="129">
        <v>-59069</v>
      </c>
      <c r="DK40" s="129">
        <v>-2014</v>
      </c>
      <c r="DL40" s="129">
        <v>0</v>
      </c>
      <c r="DM40" s="129">
        <v>0</v>
      </c>
      <c r="DN40" s="129">
        <v>-59069</v>
      </c>
      <c r="DO40" s="129">
        <v>-2014</v>
      </c>
      <c r="DP40" s="129">
        <v>-61083</v>
      </c>
      <c r="DQ40" s="129">
        <v>198685819</v>
      </c>
      <c r="DR40" s="129">
        <v>37326209</v>
      </c>
      <c r="DS40" s="129">
        <v>236012028</v>
      </c>
      <c r="DT40" s="662" t="s">
        <v>488</v>
      </c>
      <c r="DU40" s="324" t="s">
        <v>486</v>
      </c>
      <c r="DV40" s="663" t="s">
        <v>487</v>
      </c>
      <c r="DW40" s="529" t="s">
        <v>1244</v>
      </c>
    </row>
    <row r="41" spans="1:127" ht="12.75" x14ac:dyDescent="0.2">
      <c r="A41" s="664">
        <v>34</v>
      </c>
      <c r="B41" s="665" t="s">
        <v>689</v>
      </c>
      <c r="C41" s="666" t="s">
        <v>1201</v>
      </c>
      <c r="D41" s="667" t="s">
        <v>1211</v>
      </c>
      <c r="E41" s="668" t="s">
        <v>688</v>
      </c>
      <c r="F41" s="753" t="s">
        <v>1880</v>
      </c>
      <c r="G41" s="129">
        <v>77989791</v>
      </c>
      <c r="H41" s="129">
        <v>0</v>
      </c>
      <c r="I41" s="129">
        <v>77989791</v>
      </c>
      <c r="J41" s="793">
        <v>49.9</v>
      </c>
      <c r="K41" s="129">
        <v>38916906</v>
      </c>
      <c r="L41" s="129">
        <v>0</v>
      </c>
      <c r="M41" s="129">
        <v>0</v>
      </c>
      <c r="N41" s="129">
        <v>0</v>
      </c>
      <c r="O41" s="129">
        <v>38916906</v>
      </c>
      <c r="P41" s="129">
        <v>0</v>
      </c>
      <c r="Q41" s="129">
        <v>38916906</v>
      </c>
      <c r="R41" s="129">
        <v>-83637</v>
      </c>
      <c r="S41" s="129">
        <v>0</v>
      </c>
      <c r="T41" s="129">
        <v>-83637</v>
      </c>
      <c r="U41" s="129">
        <v>540629</v>
      </c>
      <c r="V41" s="129">
        <v>0</v>
      </c>
      <c r="W41" s="129">
        <v>540629</v>
      </c>
      <c r="X41" s="129">
        <v>456992</v>
      </c>
      <c r="Y41" s="129">
        <v>0</v>
      </c>
      <c r="Z41" s="129">
        <v>0</v>
      </c>
      <c r="AA41" s="129">
        <v>0</v>
      </c>
      <c r="AB41" s="129">
        <v>456992</v>
      </c>
      <c r="AC41" s="129">
        <v>0</v>
      </c>
      <c r="AD41" s="129">
        <v>456992</v>
      </c>
      <c r="AE41" s="129">
        <v>-456992</v>
      </c>
      <c r="AF41" s="129">
        <v>0</v>
      </c>
      <c r="AG41" s="129">
        <v>-456992</v>
      </c>
      <c r="AH41" s="129">
        <v>-4563599</v>
      </c>
      <c r="AI41" s="129">
        <v>0</v>
      </c>
      <c r="AJ41" s="129">
        <v>-4563599</v>
      </c>
      <c r="AK41" s="129">
        <v>-4029</v>
      </c>
      <c r="AL41" s="129">
        <v>0</v>
      </c>
      <c r="AM41" s="129">
        <v>-4029</v>
      </c>
      <c r="AN41" s="129">
        <v>664746</v>
      </c>
      <c r="AO41" s="129">
        <v>0</v>
      </c>
      <c r="AP41" s="129">
        <v>664746</v>
      </c>
      <c r="AQ41" s="129">
        <v>-3898853</v>
      </c>
      <c r="AR41" s="129">
        <v>0</v>
      </c>
      <c r="AS41" s="129">
        <v>-3898853</v>
      </c>
      <c r="AT41" s="129">
        <v>-2410172</v>
      </c>
      <c r="AU41" s="129">
        <v>0</v>
      </c>
      <c r="AV41" s="129">
        <v>-2410172</v>
      </c>
      <c r="AW41" s="129">
        <v>-38828</v>
      </c>
      <c r="AX41" s="129">
        <v>0</v>
      </c>
      <c r="AY41" s="129">
        <v>-38828</v>
      </c>
      <c r="AZ41" s="129">
        <v>-36225</v>
      </c>
      <c r="BA41" s="129">
        <v>0</v>
      </c>
      <c r="BB41" s="129">
        <v>-36225</v>
      </c>
      <c r="BC41" s="129">
        <v>0</v>
      </c>
      <c r="BD41" s="129">
        <v>0</v>
      </c>
      <c r="BE41" s="129">
        <v>0</v>
      </c>
      <c r="BF41" s="129">
        <v>-6384078</v>
      </c>
      <c r="BG41" s="129">
        <v>0</v>
      </c>
      <c r="BH41" s="129">
        <v>47000</v>
      </c>
      <c r="BI41" s="129">
        <v>0</v>
      </c>
      <c r="BJ41" s="129">
        <v>-6337078</v>
      </c>
      <c r="BK41" s="129">
        <v>0</v>
      </c>
      <c r="BL41" s="129">
        <v>-6337078</v>
      </c>
      <c r="BM41" s="129">
        <v>-2713</v>
      </c>
      <c r="BN41" s="129">
        <v>0</v>
      </c>
      <c r="BO41" s="129">
        <v>-2713</v>
      </c>
      <c r="BP41" s="129">
        <v>-364300</v>
      </c>
      <c r="BQ41" s="129">
        <v>0</v>
      </c>
      <c r="BR41" s="129">
        <v>-364300</v>
      </c>
      <c r="BS41" s="129">
        <v>-367013</v>
      </c>
      <c r="BT41" s="129">
        <v>0</v>
      </c>
      <c r="BU41" s="129">
        <v>0</v>
      </c>
      <c r="BV41" s="129">
        <v>0</v>
      </c>
      <c r="BW41" s="129">
        <v>-367013</v>
      </c>
      <c r="BX41" s="129">
        <v>0</v>
      </c>
      <c r="BY41" s="129">
        <v>-367013</v>
      </c>
      <c r="BZ41" s="129">
        <v>-36858</v>
      </c>
      <c r="CA41" s="129">
        <v>0</v>
      </c>
      <c r="CB41" s="129">
        <v>-36858</v>
      </c>
      <c r="CC41" s="129">
        <v>-23125</v>
      </c>
      <c r="CD41" s="129">
        <v>0</v>
      </c>
      <c r="CE41" s="129">
        <v>-23125</v>
      </c>
      <c r="CF41" s="129">
        <v>-9707</v>
      </c>
      <c r="CG41" s="129">
        <v>0</v>
      </c>
      <c r="CH41" s="129">
        <v>-9707</v>
      </c>
      <c r="CI41" s="129">
        <v>0</v>
      </c>
      <c r="CJ41" s="129">
        <v>0</v>
      </c>
      <c r="CK41" s="129">
        <v>0</v>
      </c>
      <c r="CL41" s="129">
        <v>-1377</v>
      </c>
      <c r="CM41" s="129">
        <v>0</v>
      </c>
      <c r="CN41" s="129">
        <v>-1377</v>
      </c>
      <c r="CO41" s="129">
        <v>-40037</v>
      </c>
      <c r="CP41" s="129">
        <v>0</v>
      </c>
      <c r="CQ41" s="129">
        <v>-40037</v>
      </c>
      <c r="CR41" s="129">
        <v>0</v>
      </c>
      <c r="CS41" s="129">
        <v>0</v>
      </c>
      <c r="CT41" s="129">
        <v>-111104</v>
      </c>
      <c r="CU41" s="129">
        <v>0</v>
      </c>
      <c r="CV41" s="129">
        <v>0</v>
      </c>
      <c r="CW41" s="129">
        <v>0</v>
      </c>
      <c r="CX41" s="129">
        <v>-111104</v>
      </c>
      <c r="CY41" s="129">
        <v>0</v>
      </c>
      <c r="CZ41" s="129">
        <v>-111104</v>
      </c>
      <c r="DA41" s="129">
        <v>-5494</v>
      </c>
      <c r="DB41" s="129">
        <v>0</v>
      </c>
      <c r="DC41" s="129">
        <v>-5494</v>
      </c>
      <c r="DD41" s="129">
        <v>-13619</v>
      </c>
      <c r="DE41" s="129">
        <v>0</v>
      </c>
      <c r="DF41" s="129">
        <v>-13619</v>
      </c>
      <c r="DG41" s="129">
        <v>0</v>
      </c>
      <c r="DH41" s="129">
        <v>0</v>
      </c>
      <c r="DI41" s="129">
        <v>0</v>
      </c>
      <c r="DJ41" s="129">
        <v>-19113</v>
      </c>
      <c r="DK41" s="129">
        <v>0</v>
      </c>
      <c r="DL41" s="129">
        <v>0</v>
      </c>
      <c r="DM41" s="129">
        <v>0</v>
      </c>
      <c r="DN41" s="129">
        <v>-19113</v>
      </c>
      <c r="DO41" s="129">
        <v>0</v>
      </c>
      <c r="DP41" s="129">
        <v>-19113</v>
      </c>
      <c r="DQ41" s="129">
        <v>32539590</v>
      </c>
      <c r="DR41" s="129">
        <v>0</v>
      </c>
      <c r="DS41" s="129">
        <v>32539590</v>
      </c>
      <c r="DT41" s="662" t="s">
        <v>688</v>
      </c>
      <c r="DU41" s="324" t="s">
        <v>553</v>
      </c>
      <c r="DV41" s="663" t="s">
        <v>512</v>
      </c>
      <c r="DW41" s="529" t="s">
        <v>1245</v>
      </c>
    </row>
    <row r="42" spans="1:127" ht="14.25" x14ac:dyDescent="0.2">
      <c r="A42" s="664">
        <v>35</v>
      </c>
      <c r="B42" s="665" t="s">
        <v>691</v>
      </c>
      <c r="C42" s="666" t="s">
        <v>1213</v>
      </c>
      <c r="D42" s="667" t="s">
        <v>1214</v>
      </c>
      <c r="E42" s="668" t="s">
        <v>1919</v>
      </c>
      <c r="F42" s="753" t="s">
        <v>1878</v>
      </c>
      <c r="G42" s="129">
        <v>242505227</v>
      </c>
      <c r="H42" s="129">
        <v>0</v>
      </c>
      <c r="I42" s="129">
        <v>242505227</v>
      </c>
      <c r="J42" s="793">
        <v>49.9</v>
      </c>
      <c r="K42" s="129">
        <v>121010108</v>
      </c>
      <c r="L42" s="129">
        <v>0</v>
      </c>
      <c r="M42" s="129">
        <v>0</v>
      </c>
      <c r="N42" s="129">
        <v>0</v>
      </c>
      <c r="O42" s="129">
        <v>121010108</v>
      </c>
      <c r="P42" s="129">
        <v>0</v>
      </c>
      <c r="Q42" s="129">
        <v>121010108</v>
      </c>
      <c r="R42" s="129">
        <v>-313081</v>
      </c>
      <c r="S42" s="129">
        <v>0</v>
      </c>
      <c r="T42" s="129">
        <v>-313081</v>
      </c>
      <c r="U42" s="129">
        <v>150530</v>
      </c>
      <c r="V42" s="129">
        <v>0</v>
      </c>
      <c r="W42" s="129">
        <v>150530</v>
      </c>
      <c r="X42" s="129">
        <v>-162551</v>
      </c>
      <c r="Y42" s="129">
        <v>0</v>
      </c>
      <c r="Z42" s="129">
        <v>0</v>
      </c>
      <c r="AA42" s="129">
        <v>0</v>
      </c>
      <c r="AB42" s="129">
        <v>-162551</v>
      </c>
      <c r="AC42" s="129">
        <v>0</v>
      </c>
      <c r="AD42" s="129">
        <v>-162551</v>
      </c>
      <c r="AE42" s="129">
        <v>162551</v>
      </c>
      <c r="AF42" s="129">
        <v>0</v>
      </c>
      <c r="AG42" s="129">
        <v>162551</v>
      </c>
      <c r="AH42" s="129">
        <v>-8109350</v>
      </c>
      <c r="AI42" s="129">
        <v>0</v>
      </c>
      <c r="AJ42" s="129">
        <v>-8109350</v>
      </c>
      <c r="AK42" s="129">
        <v>0</v>
      </c>
      <c r="AL42" s="129">
        <v>0</v>
      </c>
      <c r="AM42" s="129">
        <v>0</v>
      </c>
      <c r="AN42" s="129">
        <v>2258501</v>
      </c>
      <c r="AO42" s="129">
        <v>0</v>
      </c>
      <c r="AP42" s="129">
        <v>2258501</v>
      </c>
      <c r="AQ42" s="129">
        <v>-5850849</v>
      </c>
      <c r="AR42" s="129">
        <v>0</v>
      </c>
      <c r="AS42" s="129">
        <v>-5850849</v>
      </c>
      <c r="AT42" s="129">
        <v>-11772780</v>
      </c>
      <c r="AU42" s="129">
        <v>0</v>
      </c>
      <c r="AV42" s="129">
        <v>-11772780</v>
      </c>
      <c r="AW42" s="129">
        <v>-217602</v>
      </c>
      <c r="AX42" s="129">
        <v>0</v>
      </c>
      <c r="AY42" s="129">
        <v>-217602</v>
      </c>
      <c r="AZ42" s="129">
        <v>0</v>
      </c>
      <c r="BA42" s="129">
        <v>0</v>
      </c>
      <c r="BB42" s="129">
        <v>0</v>
      </c>
      <c r="BC42" s="129">
        <v>0</v>
      </c>
      <c r="BD42" s="129">
        <v>0</v>
      </c>
      <c r="BE42" s="129">
        <v>0</v>
      </c>
      <c r="BF42" s="129">
        <v>-17841231</v>
      </c>
      <c r="BG42" s="129">
        <v>0</v>
      </c>
      <c r="BH42" s="129">
        <v>0</v>
      </c>
      <c r="BI42" s="129">
        <v>0</v>
      </c>
      <c r="BJ42" s="129">
        <v>-17841231</v>
      </c>
      <c r="BK42" s="129">
        <v>0</v>
      </c>
      <c r="BL42" s="129">
        <v>-17841231</v>
      </c>
      <c r="BM42" s="129">
        <v>0</v>
      </c>
      <c r="BN42" s="129">
        <v>0</v>
      </c>
      <c r="BO42" s="129">
        <v>0</v>
      </c>
      <c r="BP42" s="129">
        <v>-2270053</v>
      </c>
      <c r="BQ42" s="129">
        <v>0</v>
      </c>
      <c r="BR42" s="129">
        <v>-2270053</v>
      </c>
      <c r="BS42" s="129">
        <v>-2270053</v>
      </c>
      <c r="BT42" s="129">
        <v>0</v>
      </c>
      <c r="BU42" s="129">
        <v>0</v>
      </c>
      <c r="BV42" s="129">
        <v>0</v>
      </c>
      <c r="BW42" s="129">
        <v>-2270053</v>
      </c>
      <c r="BX42" s="129">
        <v>0</v>
      </c>
      <c r="BY42" s="129">
        <v>-2270053</v>
      </c>
      <c r="BZ42" s="129">
        <v>-286960</v>
      </c>
      <c r="CA42" s="129">
        <v>0</v>
      </c>
      <c r="CB42" s="129">
        <v>-286960</v>
      </c>
      <c r="CC42" s="129">
        <v>-342857</v>
      </c>
      <c r="CD42" s="129">
        <v>0</v>
      </c>
      <c r="CE42" s="129">
        <v>-342857</v>
      </c>
      <c r="CF42" s="129">
        <v>-54401</v>
      </c>
      <c r="CG42" s="129">
        <v>0</v>
      </c>
      <c r="CH42" s="129">
        <v>-54401</v>
      </c>
      <c r="CI42" s="129">
        <v>0</v>
      </c>
      <c r="CJ42" s="129">
        <v>0</v>
      </c>
      <c r="CK42" s="129">
        <v>0</v>
      </c>
      <c r="CL42" s="129">
        <v>0</v>
      </c>
      <c r="CM42" s="129">
        <v>0</v>
      </c>
      <c r="CN42" s="129">
        <v>0</v>
      </c>
      <c r="CO42" s="129">
        <v>0</v>
      </c>
      <c r="CP42" s="129">
        <v>0</v>
      </c>
      <c r="CQ42" s="129">
        <v>0</v>
      </c>
      <c r="CR42" s="129">
        <v>0</v>
      </c>
      <c r="CS42" s="129">
        <v>0</v>
      </c>
      <c r="CT42" s="129">
        <v>-684218</v>
      </c>
      <c r="CU42" s="129">
        <v>0</v>
      </c>
      <c r="CV42" s="129">
        <v>0</v>
      </c>
      <c r="CW42" s="129">
        <v>0</v>
      </c>
      <c r="CX42" s="129">
        <v>-684218</v>
      </c>
      <c r="CY42" s="129">
        <v>0</v>
      </c>
      <c r="CZ42" s="129">
        <v>-684218</v>
      </c>
      <c r="DA42" s="129">
        <v>0</v>
      </c>
      <c r="DB42" s="129">
        <v>0</v>
      </c>
      <c r="DC42" s="129">
        <v>0</v>
      </c>
      <c r="DD42" s="129">
        <v>-75490</v>
      </c>
      <c r="DE42" s="129">
        <v>0</v>
      </c>
      <c r="DF42" s="129">
        <v>-75490</v>
      </c>
      <c r="DG42" s="129">
        <v>0</v>
      </c>
      <c r="DH42" s="129">
        <v>0</v>
      </c>
      <c r="DI42" s="129">
        <v>0</v>
      </c>
      <c r="DJ42" s="129">
        <v>-75490</v>
      </c>
      <c r="DK42" s="129">
        <v>0</v>
      </c>
      <c r="DL42" s="129">
        <v>0</v>
      </c>
      <c r="DM42" s="129">
        <v>0</v>
      </c>
      <c r="DN42" s="129">
        <v>-75490</v>
      </c>
      <c r="DO42" s="129">
        <v>0</v>
      </c>
      <c r="DP42" s="129">
        <v>-75490</v>
      </c>
      <c r="DQ42" s="129">
        <v>99976565</v>
      </c>
      <c r="DR42" s="129">
        <v>0</v>
      </c>
      <c r="DS42" s="129">
        <v>99976565</v>
      </c>
      <c r="DT42" s="662" t="s">
        <v>690</v>
      </c>
      <c r="DU42" s="324" t="s">
        <v>576</v>
      </c>
      <c r="DV42" s="669" t="s">
        <v>485</v>
      </c>
      <c r="DW42" s="529" t="s">
        <v>1246</v>
      </c>
    </row>
    <row r="43" spans="1:127" ht="12.75" x14ac:dyDescent="0.2">
      <c r="A43" s="664">
        <v>36</v>
      </c>
      <c r="B43" s="665" t="s">
        <v>693</v>
      </c>
      <c r="C43" s="666" t="s">
        <v>1201</v>
      </c>
      <c r="D43" s="667" t="s">
        <v>1228</v>
      </c>
      <c r="E43" s="668" t="s">
        <v>692</v>
      </c>
      <c r="F43" s="753" t="s">
        <v>1890</v>
      </c>
      <c r="G43" s="129">
        <v>68655180</v>
      </c>
      <c r="H43" s="129">
        <v>0</v>
      </c>
      <c r="I43" s="129">
        <v>68655180</v>
      </c>
      <c r="J43" s="793">
        <v>49.9</v>
      </c>
      <c r="K43" s="129">
        <v>34258935</v>
      </c>
      <c r="L43" s="129">
        <v>0</v>
      </c>
      <c r="M43" s="129">
        <v>0</v>
      </c>
      <c r="N43" s="129">
        <v>0</v>
      </c>
      <c r="O43" s="129">
        <v>34258935</v>
      </c>
      <c r="P43" s="129">
        <v>0</v>
      </c>
      <c r="Q43" s="129">
        <v>34258935</v>
      </c>
      <c r="R43" s="129">
        <v>-86794</v>
      </c>
      <c r="S43" s="129">
        <v>0</v>
      </c>
      <c r="T43" s="129">
        <v>-86794</v>
      </c>
      <c r="U43" s="129">
        <v>127500</v>
      </c>
      <c r="V43" s="129">
        <v>0</v>
      </c>
      <c r="W43" s="129">
        <v>127500</v>
      </c>
      <c r="X43" s="129">
        <v>40706</v>
      </c>
      <c r="Y43" s="129">
        <v>0</v>
      </c>
      <c r="Z43" s="129">
        <v>0</v>
      </c>
      <c r="AA43" s="129">
        <v>0</v>
      </c>
      <c r="AB43" s="129">
        <v>40706</v>
      </c>
      <c r="AC43" s="129">
        <v>0</v>
      </c>
      <c r="AD43" s="129">
        <v>40706</v>
      </c>
      <c r="AE43" s="129">
        <v>-40706</v>
      </c>
      <c r="AF43" s="129">
        <v>0</v>
      </c>
      <c r="AG43" s="129">
        <v>-40706</v>
      </c>
      <c r="AH43" s="129">
        <v>-4365848</v>
      </c>
      <c r="AI43" s="129">
        <v>0</v>
      </c>
      <c r="AJ43" s="129">
        <v>-4365848</v>
      </c>
      <c r="AK43" s="129">
        <v>0</v>
      </c>
      <c r="AL43" s="129">
        <v>0</v>
      </c>
      <c r="AM43" s="129">
        <v>0</v>
      </c>
      <c r="AN43" s="129">
        <v>551495</v>
      </c>
      <c r="AO43" s="129">
        <v>0</v>
      </c>
      <c r="AP43" s="129">
        <v>551495</v>
      </c>
      <c r="AQ43" s="129">
        <v>-3814353</v>
      </c>
      <c r="AR43" s="129">
        <v>0</v>
      </c>
      <c r="AS43" s="129">
        <v>-3814353</v>
      </c>
      <c r="AT43" s="129">
        <v>-2384748</v>
      </c>
      <c r="AU43" s="129">
        <v>0</v>
      </c>
      <c r="AV43" s="129">
        <v>-2384748</v>
      </c>
      <c r="AW43" s="129">
        <v>0</v>
      </c>
      <c r="AX43" s="129">
        <v>0</v>
      </c>
      <c r="AY43" s="129">
        <v>0</v>
      </c>
      <c r="AZ43" s="129">
        <v>-730</v>
      </c>
      <c r="BA43" s="129">
        <v>0</v>
      </c>
      <c r="BB43" s="129">
        <v>-730</v>
      </c>
      <c r="BC43" s="129">
        <v>0</v>
      </c>
      <c r="BD43" s="129">
        <v>0</v>
      </c>
      <c r="BE43" s="129">
        <v>0</v>
      </c>
      <c r="BF43" s="129">
        <v>-6199831</v>
      </c>
      <c r="BG43" s="129">
        <v>0</v>
      </c>
      <c r="BH43" s="129">
        <v>0</v>
      </c>
      <c r="BI43" s="129">
        <v>0</v>
      </c>
      <c r="BJ43" s="129">
        <v>-6199831</v>
      </c>
      <c r="BK43" s="129">
        <v>0</v>
      </c>
      <c r="BL43" s="129">
        <v>-6199831</v>
      </c>
      <c r="BM43" s="129">
        <v>0</v>
      </c>
      <c r="BN43" s="129">
        <v>0</v>
      </c>
      <c r="BO43" s="129">
        <v>0</v>
      </c>
      <c r="BP43" s="129">
        <v>-740627</v>
      </c>
      <c r="BQ43" s="129">
        <v>0</v>
      </c>
      <c r="BR43" s="129">
        <v>-740627</v>
      </c>
      <c r="BS43" s="129">
        <v>-740627</v>
      </c>
      <c r="BT43" s="129">
        <v>0</v>
      </c>
      <c r="BU43" s="129">
        <v>-321399</v>
      </c>
      <c r="BV43" s="129">
        <v>0</v>
      </c>
      <c r="BW43" s="129">
        <v>-1062026</v>
      </c>
      <c r="BX43" s="129">
        <v>0</v>
      </c>
      <c r="BY43" s="129">
        <v>-1062026</v>
      </c>
      <c r="BZ43" s="129">
        <v>-37342</v>
      </c>
      <c r="CA43" s="129">
        <v>0</v>
      </c>
      <c r="CB43" s="129">
        <v>-37342</v>
      </c>
      <c r="CC43" s="129">
        <v>-12256</v>
      </c>
      <c r="CD43" s="129">
        <v>0</v>
      </c>
      <c r="CE43" s="129">
        <v>-12256</v>
      </c>
      <c r="CF43" s="129">
        <v>0</v>
      </c>
      <c r="CG43" s="129">
        <v>0</v>
      </c>
      <c r="CH43" s="129">
        <v>0</v>
      </c>
      <c r="CI43" s="129">
        <v>0</v>
      </c>
      <c r="CJ43" s="129">
        <v>0</v>
      </c>
      <c r="CK43" s="129">
        <v>0</v>
      </c>
      <c r="CL43" s="129">
        <v>0</v>
      </c>
      <c r="CM43" s="129">
        <v>0</v>
      </c>
      <c r="CN43" s="129">
        <v>0</v>
      </c>
      <c r="CO43" s="129">
        <v>0</v>
      </c>
      <c r="CP43" s="129">
        <v>0</v>
      </c>
      <c r="CQ43" s="129">
        <v>0</v>
      </c>
      <c r="CR43" s="129">
        <v>0</v>
      </c>
      <c r="CS43" s="129">
        <v>0</v>
      </c>
      <c r="CT43" s="129">
        <v>-49598</v>
      </c>
      <c r="CU43" s="129">
        <v>0</v>
      </c>
      <c r="CV43" s="129">
        <v>0</v>
      </c>
      <c r="CW43" s="129">
        <v>0</v>
      </c>
      <c r="CX43" s="129">
        <v>-49598</v>
      </c>
      <c r="CY43" s="129">
        <v>0</v>
      </c>
      <c r="CZ43" s="129">
        <v>-49598</v>
      </c>
      <c r="DA43" s="129">
        <v>-730</v>
      </c>
      <c r="DB43" s="129">
        <v>0</v>
      </c>
      <c r="DC43" s="129">
        <v>-730</v>
      </c>
      <c r="DD43" s="129">
        <v>-24771</v>
      </c>
      <c r="DE43" s="129">
        <v>0</v>
      </c>
      <c r="DF43" s="129">
        <v>-24771</v>
      </c>
      <c r="DG43" s="129">
        <v>0</v>
      </c>
      <c r="DH43" s="129">
        <v>0</v>
      </c>
      <c r="DI43" s="129">
        <v>0</v>
      </c>
      <c r="DJ43" s="129">
        <v>-25501</v>
      </c>
      <c r="DK43" s="129">
        <v>0</v>
      </c>
      <c r="DL43" s="129">
        <v>0</v>
      </c>
      <c r="DM43" s="129">
        <v>0</v>
      </c>
      <c r="DN43" s="129">
        <v>-25501</v>
      </c>
      <c r="DO43" s="129">
        <v>0</v>
      </c>
      <c r="DP43" s="129">
        <v>-25501</v>
      </c>
      <c r="DQ43" s="129">
        <v>26962685</v>
      </c>
      <c r="DR43" s="129">
        <v>0</v>
      </c>
      <c r="DS43" s="129">
        <v>26962685</v>
      </c>
      <c r="DT43" s="662" t="s">
        <v>692</v>
      </c>
      <c r="DU43" s="324" t="s">
        <v>535</v>
      </c>
      <c r="DV43" s="663" t="s">
        <v>534</v>
      </c>
      <c r="DW43" s="529" t="s">
        <v>1247</v>
      </c>
    </row>
    <row r="44" spans="1:127" ht="12.75" x14ac:dyDescent="0.2">
      <c r="A44" s="664">
        <v>37</v>
      </c>
      <c r="B44" s="665" t="s">
        <v>695</v>
      </c>
      <c r="C44" s="666" t="s">
        <v>1201</v>
      </c>
      <c r="D44" s="667" t="s">
        <v>1211</v>
      </c>
      <c r="E44" s="668" t="s">
        <v>694</v>
      </c>
      <c r="F44" s="753" t="s">
        <v>1875</v>
      </c>
      <c r="G44" s="129">
        <v>92790020</v>
      </c>
      <c r="H44" s="129">
        <v>0</v>
      </c>
      <c r="I44" s="129">
        <v>92790020</v>
      </c>
      <c r="J44" s="793">
        <v>49.9</v>
      </c>
      <c r="K44" s="129">
        <v>46302220</v>
      </c>
      <c r="L44" s="129">
        <v>0</v>
      </c>
      <c r="M44" s="129">
        <v>0</v>
      </c>
      <c r="N44" s="129">
        <v>0</v>
      </c>
      <c r="O44" s="129">
        <v>46302220</v>
      </c>
      <c r="P44" s="129">
        <v>0</v>
      </c>
      <c r="Q44" s="129">
        <v>46302220</v>
      </c>
      <c r="R44" s="129">
        <v>-95998</v>
      </c>
      <c r="S44" s="129">
        <v>0</v>
      </c>
      <c r="T44" s="129">
        <v>-95998</v>
      </c>
      <c r="U44" s="129">
        <v>653554</v>
      </c>
      <c r="V44" s="129">
        <v>0</v>
      </c>
      <c r="W44" s="129">
        <v>653554</v>
      </c>
      <c r="X44" s="129">
        <v>557556</v>
      </c>
      <c r="Y44" s="129">
        <v>0</v>
      </c>
      <c r="Z44" s="129">
        <v>0</v>
      </c>
      <c r="AA44" s="129">
        <v>0</v>
      </c>
      <c r="AB44" s="129">
        <v>557556</v>
      </c>
      <c r="AC44" s="129">
        <v>0</v>
      </c>
      <c r="AD44" s="129">
        <v>557556</v>
      </c>
      <c r="AE44" s="129">
        <v>-557556</v>
      </c>
      <c r="AF44" s="129">
        <v>0</v>
      </c>
      <c r="AG44" s="129">
        <v>-557556</v>
      </c>
      <c r="AH44" s="129">
        <v>-2970086</v>
      </c>
      <c r="AI44" s="129">
        <v>0</v>
      </c>
      <c r="AJ44" s="129">
        <v>-2970086</v>
      </c>
      <c r="AK44" s="129">
        <v>0</v>
      </c>
      <c r="AL44" s="129">
        <v>0</v>
      </c>
      <c r="AM44" s="129">
        <v>0</v>
      </c>
      <c r="AN44" s="129">
        <v>888620</v>
      </c>
      <c r="AO44" s="129">
        <v>0</v>
      </c>
      <c r="AP44" s="129">
        <v>888620</v>
      </c>
      <c r="AQ44" s="129">
        <v>-2081466</v>
      </c>
      <c r="AR44" s="129">
        <v>0</v>
      </c>
      <c r="AS44" s="129">
        <v>-2081466</v>
      </c>
      <c r="AT44" s="129">
        <v>-2402598</v>
      </c>
      <c r="AU44" s="129">
        <v>0</v>
      </c>
      <c r="AV44" s="129">
        <v>-2402598</v>
      </c>
      <c r="AW44" s="129">
        <v>-71373</v>
      </c>
      <c r="AX44" s="129">
        <v>0</v>
      </c>
      <c r="AY44" s="129">
        <v>-71373</v>
      </c>
      <c r="AZ44" s="129">
        <v>0</v>
      </c>
      <c r="BA44" s="129">
        <v>0</v>
      </c>
      <c r="BB44" s="129">
        <v>0</v>
      </c>
      <c r="BC44" s="129">
        <v>0</v>
      </c>
      <c r="BD44" s="129">
        <v>0</v>
      </c>
      <c r="BE44" s="129">
        <v>0</v>
      </c>
      <c r="BF44" s="129">
        <v>-4555437</v>
      </c>
      <c r="BG44" s="129">
        <v>0</v>
      </c>
      <c r="BH44" s="129">
        <v>0</v>
      </c>
      <c r="BI44" s="129">
        <v>0</v>
      </c>
      <c r="BJ44" s="129">
        <v>-4555437</v>
      </c>
      <c r="BK44" s="129">
        <v>0</v>
      </c>
      <c r="BL44" s="129">
        <v>-4555437</v>
      </c>
      <c r="BM44" s="129">
        <v>0</v>
      </c>
      <c r="BN44" s="129">
        <v>0</v>
      </c>
      <c r="BO44" s="129">
        <v>0</v>
      </c>
      <c r="BP44" s="129">
        <v>-671314</v>
      </c>
      <c r="BQ44" s="129">
        <v>0</v>
      </c>
      <c r="BR44" s="129">
        <v>-671314</v>
      </c>
      <c r="BS44" s="129">
        <v>-671314</v>
      </c>
      <c r="BT44" s="129">
        <v>0</v>
      </c>
      <c r="BU44" s="129">
        <v>0</v>
      </c>
      <c r="BV44" s="129">
        <v>0</v>
      </c>
      <c r="BW44" s="129">
        <v>-671314</v>
      </c>
      <c r="BX44" s="129">
        <v>0</v>
      </c>
      <c r="BY44" s="129">
        <v>-671314</v>
      </c>
      <c r="BZ44" s="129">
        <v>-35968</v>
      </c>
      <c r="CA44" s="129">
        <v>0</v>
      </c>
      <c r="CB44" s="129">
        <v>-35968</v>
      </c>
      <c r="CC44" s="129">
        <v>-2720</v>
      </c>
      <c r="CD44" s="129">
        <v>0</v>
      </c>
      <c r="CE44" s="129">
        <v>-2720</v>
      </c>
      <c r="CF44" s="129">
        <v>-3328</v>
      </c>
      <c r="CG44" s="129">
        <v>0</v>
      </c>
      <c r="CH44" s="129">
        <v>-3328</v>
      </c>
      <c r="CI44" s="129">
        <v>0</v>
      </c>
      <c r="CJ44" s="129">
        <v>0</v>
      </c>
      <c r="CK44" s="129">
        <v>0</v>
      </c>
      <c r="CL44" s="129">
        <v>0</v>
      </c>
      <c r="CM44" s="129">
        <v>0</v>
      </c>
      <c r="CN44" s="129">
        <v>0</v>
      </c>
      <c r="CO44" s="129">
        <v>0</v>
      </c>
      <c r="CP44" s="129">
        <v>0</v>
      </c>
      <c r="CQ44" s="129">
        <v>0</v>
      </c>
      <c r="CR44" s="129">
        <v>0</v>
      </c>
      <c r="CS44" s="129">
        <v>0</v>
      </c>
      <c r="CT44" s="129">
        <v>-42016</v>
      </c>
      <c r="CU44" s="129">
        <v>0</v>
      </c>
      <c r="CV44" s="129">
        <v>0</v>
      </c>
      <c r="CW44" s="129">
        <v>0</v>
      </c>
      <c r="CX44" s="129">
        <v>-42016</v>
      </c>
      <c r="CY44" s="129">
        <v>0</v>
      </c>
      <c r="CZ44" s="129">
        <v>-42016</v>
      </c>
      <c r="DA44" s="129">
        <v>0</v>
      </c>
      <c r="DB44" s="129">
        <v>0</v>
      </c>
      <c r="DC44" s="129">
        <v>0</v>
      </c>
      <c r="DD44" s="129">
        <v>-17843</v>
      </c>
      <c r="DE44" s="129">
        <v>0</v>
      </c>
      <c r="DF44" s="129">
        <v>-17843</v>
      </c>
      <c r="DG44" s="129">
        <v>0</v>
      </c>
      <c r="DH44" s="129">
        <v>0</v>
      </c>
      <c r="DI44" s="129">
        <v>0</v>
      </c>
      <c r="DJ44" s="129">
        <v>-17843</v>
      </c>
      <c r="DK44" s="129">
        <v>0</v>
      </c>
      <c r="DL44" s="129">
        <v>0</v>
      </c>
      <c r="DM44" s="129">
        <v>0</v>
      </c>
      <c r="DN44" s="129">
        <v>-17843</v>
      </c>
      <c r="DO44" s="129">
        <v>0</v>
      </c>
      <c r="DP44" s="129">
        <v>-17843</v>
      </c>
      <c r="DQ44" s="129">
        <v>41573166</v>
      </c>
      <c r="DR44" s="129">
        <v>0</v>
      </c>
      <c r="DS44" s="129">
        <v>41573166</v>
      </c>
      <c r="DT44" s="662" t="s">
        <v>694</v>
      </c>
      <c r="DU44" s="324" t="s">
        <v>536</v>
      </c>
      <c r="DV44" s="663" t="s">
        <v>512</v>
      </c>
      <c r="DW44" s="529" t="s">
        <v>1248</v>
      </c>
    </row>
    <row r="45" spans="1:127" ht="12.75" x14ac:dyDescent="0.2">
      <c r="A45" s="664">
        <v>38</v>
      </c>
      <c r="B45" s="665" t="s">
        <v>697</v>
      </c>
      <c r="C45" s="666" t="s">
        <v>1201</v>
      </c>
      <c r="D45" s="667" t="s">
        <v>1206</v>
      </c>
      <c r="E45" s="668" t="s">
        <v>696</v>
      </c>
      <c r="F45" s="753" t="s">
        <v>1891</v>
      </c>
      <c r="G45" s="129">
        <v>66512822</v>
      </c>
      <c r="H45" s="129">
        <v>1055500</v>
      </c>
      <c r="I45" s="129">
        <v>67568322</v>
      </c>
      <c r="J45" s="793">
        <v>49.9</v>
      </c>
      <c r="K45" s="129">
        <v>33189898</v>
      </c>
      <c r="L45" s="129">
        <v>526695</v>
      </c>
      <c r="M45" s="129">
        <v>600000</v>
      </c>
      <c r="N45" s="129">
        <v>0</v>
      </c>
      <c r="O45" s="129">
        <v>33789898</v>
      </c>
      <c r="P45" s="129">
        <v>526695</v>
      </c>
      <c r="Q45" s="129">
        <v>34316593</v>
      </c>
      <c r="R45" s="129">
        <v>-98489</v>
      </c>
      <c r="S45" s="129">
        <v>0</v>
      </c>
      <c r="T45" s="129">
        <v>-98489</v>
      </c>
      <c r="U45" s="129">
        <v>32596</v>
      </c>
      <c r="V45" s="129">
        <v>0</v>
      </c>
      <c r="W45" s="129">
        <v>32596</v>
      </c>
      <c r="X45" s="129">
        <v>-65893</v>
      </c>
      <c r="Y45" s="129">
        <v>0</v>
      </c>
      <c r="Z45" s="129">
        <v>0</v>
      </c>
      <c r="AA45" s="129">
        <v>0</v>
      </c>
      <c r="AB45" s="129">
        <v>-65893</v>
      </c>
      <c r="AC45" s="129">
        <v>0</v>
      </c>
      <c r="AD45" s="129">
        <v>-65893</v>
      </c>
      <c r="AE45" s="129">
        <v>65893</v>
      </c>
      <c r="AF45" s="129">
        <v>0</v>
      </c>
      <c r="AG45" s="129">
        <v>65893</v>
      </c>
      <c r="AH45" s="129">
        <v>-3060088</v>
      </c>
      <c r="AI45" s="129">
        <v>0</v>
      </c>
      <c r="AJ45" s="129">
        <v>-3060088</v>
      </c>
      <c r="AK45" s="129">
        <v>0</v>
      </c>
      <c r="AL45" s="129">
        <v>0</v>
      </c>
      <c r="AM45" s="129">
        <v>0</v>
      </c>
      <c r="AN45" s="129">
        <v>604946</v>
      </c>
      <c r="AO45" s="129">
        <v>13312</v>
      </c>
      <c r="AP45" s="129">
        <v>618258</v>
      </c>
      <c r="AQ45" s="129">
        <v>-2455142</v>
      </c>
      <c r="AR45" s="129">
        <v>13312</v>
      </c>
      <c r="AS45" s="129">
        <v>-2441830</v>
      </c>
      <c r="AT45" s="129">
        <v>-1476562</v>
      </c>
      <c r="AU45" s="129">
        <v>0</v>
      </c>
      <c r="AV45" s="129">
        <v>-1476562</v>
      </c>
      <c r="AW45" s="129">
        <v>-4403</v>
      </c>
      <c r="AX45" s="129">
        <v>0</v>
      </c>
      <c r="AY45" s="129">
        <v>-4403</v>
      </c>
      <c r="AZ45" s="129">
        <v>-2522</v>
      </c>
      <c r="BA45" s="129">
        <v>0</v>
      </c>
      <c r="BB45" s="129">
        <v>-2522</v>
      </c>
      <c r="BC45" s="129">
        <v>0</v>
      </c>
      <c r="BD45" s="129">
        <v>0</v>
      </c>
      <c r="BE45" s="129">
        <v>0</v>
      </c>
      <c r="BF45" s="129">
        <v>-3938629</v>
      </c>
      <c r="BG45" s="129">
        <v>13312</v>
      </c>
      <c r="BH45" s="129">
        <v>0</v>
      </c>
      <c r="BI45" s="129">
        <v>0</v>
      </c>
      <c r="BJ45" s="129">
        <v>-3938629</v>
      </c>
      <c r="BK45" s="129">
        <v>13312</v>
      </c>
      <c r="BL45" s="129">
        <v>-3925317</v>
      </c>
      <c r="BM45" s="129">
        <v>0</v>
      </c>
      <c r="BN45" s="129">
        <v>0</v>
      </c>
      <c r="BO45" s="129">
        <v>0</v>
      </c>
      <c r="BP45" s="129">
        <v>-538115</v>
      </c>
      <c r="BQ45" s="129">
        <v>0</v>
      </c>
      <c r="BR45" s="129">
        <v>-538115</v>
      </c>
      <c r="BS45" s="129">
        <v>-538115</v>
      </c>
      <c r="BT45" s="129">
        <v>0</v>
      </c>
      <c r="BU45" s="129">
        <v>0</v>
      </c>
      <c r="BV45" s="129">
        <v>0</v>
      </c>
      <c r="BW45" s="129">
        <v>-538115</v>
      </c>
      <c r="BX45" s="129">
        <v>0</v>
      </c>
      <c r="BY45" s="129">
        <v>-538115</v>
      </c>
      <c r="BZ45" s="129">
        <v>-69807</v>
      </c>
      <c r="CA45" s="129">
        <v>0</v>
      </c>
      <c r="CB45" s="129">
        <v>-69807</v>
      </c>
      <c r="CC45" s="129">
        <v>-14521</v>
      </c>
      <c r="CD45" s="129">
        <v>0</v>
      </c>
      <c r="CE45" s="129">
        <v>-14521</v>
      </c>
      <c r="CF45" s="129">
        <v>0</v>
      </c>
      <c r="CG45" s="129">
        <v>0</v>
      </c>
      <c r="CH45" s="129">
        <v>0</v>
      </c>
      <c r="CI45" s="129">
        <v>0</v>
      </c>
      <c r="CJ45" s="129">
        <v>0</v>
      </c>
      <c r="CK45" s="129">
        <v>0</v>
      </c>
      <c r="CL45" s="129">
        <v>0</v>
      </c>
      <c r="CM45" s="129">
        <v>0</v>
      </c>
      <c r="CN45" s="129">
        <v>0</v>
      </c>
      <c r="CO45" s="129">
        <v>0</v>
      </c>
      <c r="CP45" s="129">
        <v>-110000</v>
      </c>
      <c r="CQ45" s="129">
        <v>-110000</v>
      </c>
      <c r="CR45" s="129">
        <v>-110000</v>
      </c>
      <c r="CS45" s="129">
        <v>0</v>
      </c>
      <c r="CT45" s="129">
        <v>-84328</v>
      </c>
      <c r="CU45" s="129">
        <v>-110000</v>
      </c>
      <c r="CV45" s="129">
        <v>0</v>
      </c>
      <c r="CW45" s="129">
        <v>0</v>
      </c>
      <c r="CX45" s="129">
        <v>-84328</v>
      </c>
      <c r="CY45" s="129">
        <v>-110000</v>
      </c>
      <c r="CZ45" s="129">
        <v>-194328</v>
      </c>
      <c r="DA45" s="129">
        <v>-2522</v>
      </c>
      <c r="DB45" s="129">
        <v>0</v>
      </c>
      <c r="DC45" s="129">
        <v>-2522</v>
      </c>
      <c r="DD45" s="129">
        <v>-7926</v>
      </c>
      <c r="DE45" s="129">
        <v>0</v>
      </c>
      <c r="DF45" s="129">
        <v>-7926</v>
      </c>
      <c r="DG45" s="129">
        <v>0</v>
      </c>
      <c r="DH45" s="129">
        <v>0</v>
      </c>
      <c r="DI45" s="129">
        <v>0</v>
      </c>
      <c r="DJ45" s="129">
        <v>-10448</v>
      </c>
      <c r="DK45" s="129">
        <v>0</v>
      </c>
      <c r="DL45" s="129">
        <v>0</v>
      </c>
      <c r="DM45" s="129">
        <v>0</v>
      </c>
      <c r="DN45" s="129">
        <v>-10448</v>
      </c>
      <c r="DO45" s="129">
        <v>0</v>
      </c>
      <c r="DP45" s="129">
        <v>-10448</v>
      </c>
      <c r="DQ45" s="129">
        <v>29152485</v>
      </c>
      <c r="DR45" s="129">
        <v>430007</v>
      </c>
      <c r="DS45" s="129">
        <v>29582492</v>
      </c>
      <c r="DT45" s="662" t="s">
        <v>696</v>
      </c>
      <c r="DU45" s="324" t="s">
        <v>559</v>
      </c>
      <c r="DV45" s="663" t="s">
        <v>558</v>
      </c>
      <c r="DW45" s="529" t="s">
        <v>1249</v>
      </c>
    </row>
    <row r="46" spans="1:127" ht="12.75" x14ac:dyDescent="0.2">
      <c r="A46" s="664">
        <v>39</v>
      </c>
      <c r="B46" s="665" t="s">
        <v>1048</v>
      </c>
      <c r="C46" s="666" t="s">
        <v>486</v>
      </c>
      <c r="D46" s="667" t="s">
        <v>1202</v>
      </c>
      <c r="E46" s="668" t="s">
        <v>1250</v>
      </c>
      <c r="F46" s="753" t="s">
        <v>1892</v>
      </c>
      <c r="G46" s="129">
        <v>461730415</v>
      </c>
      <c r="H46" s="129">
        <v>4580400</v>
      </c>
      <c r="I46" s="129">
        <v>466310815</v>
      </c>
      <c r="J46" s="793">
        <v>49.9</v>
      </c>
      <c r="K46" s="129">
        <v>230403477</v>
      </c>
      <c r="L46" s="129">
        <v>2285620</v>
      </c>
      <c r="M46" s="129">
        <v>0</v>
      </c>
      <c r="N46" s="129">
        <v>0</v>
      </c>
      <c r="O46" s="129">
        <v>230403477</v>
      </c>
      <c r="P46" s="129">
        <v>2285620</v>
      </c>
      <c r="Q46" s="129">
        <v>232689097</v>
      </c>
      <c r="R46" s="129">
        <v>-891892</v>
      </c>
      <c r="S46" s="129">
        <v>0</v>
      </c>
      <c r="T46" s="129">
        <v>-891892</v>
      </c>
      <c r="U46" s="129">
        <v>676520</v>
      </c>
      <c r="V46" s="129">
        <v>0</v>
      </c>
      <c r="W46" s="129">
        <v>676520</v>
      </c>
      <c r="X46" s="129">
        <v>-215372</v>
      </c>
      <c r="Y46" s="129">
        <v>0</v>
      </c>
      <c r="Z46" s="129">
        <v>0</v>
      </c>
      <c r="AA46" s="129">
        <v>0</v>
      </c>
      <c r="AB46" s="129">
        <v>-215372</v>
      </c>
      <c r="AC46" s="129">
        <v>0</v>
      </c>
      <c r="AD46" s="129">
        <v>-215372</v>
      </c>
      <c r="AE46" s="129">
        <v>215372</v>
      </c>
      <c r="AF46" s="129">
        <v>0</v>
      </c>
      <c r="AG46" s="129">
        <v>215372</v>
      </c>
      <c r="AH46" s="129">
        <v>-15874472</v>
      </c>
      <c r="AI46" s="129">
        <v>-5289</v>
      </c>
      <c r="AJ46" s="129">
        <v>-15879761</v>
      </c>
      <c r="AK46" s="129">
        <v>-58681</v>
      </c>
      <c r="AL46" s="129">
        <v>0</v>
      </c>
      <c r="AM46" s="129">
        <v>-58681</v>
      </c>
      <c r="AN46" s="129">
        <v>4176096</v>
      </c>
      <c r="AO46" s="129">
        <v>52949</v>
      </c>
      <c r="AP46" s="129">
        <v>4229045</v>
      </c>
      <c r="AQ46" s="129">
        <v>-11698376</v>
      </c>
      <c r="AR46" s="129">
        <v>47660</v>
      </c>
      <c r="AS46" s="129">
        <v>-11650716</v>
      </c>
      <c r="AT46" s="129">
        <v>-16921355</v>
      </c>
      <c r="AU46" s="129">
        <v>0</v>
      </c>
      <c r="AV46" s="129">
        <v>-16921355</v>
      </c>
      <c r="AW46" s="129">
        <v>-215280</v>
      </c>
      <c r="AX46" s="129">
        <v>0</v>
      </c>
      <c r="AY46" s="129">
        <v>-215280</v>
      </c>
      <c r="AZ46" s="129">
        <v>-78752</v>
      </c>
      <c r="BA46" s="129">
        <v>0</v>
      </c>
      <c r="BB46" s="129">
        <v>-78752</v>
      </c>
      <c r="BC46" s="129">
        <v>0</v>
      </c>
      <c r="BD46" s="129">
        <v>0</v>
      </c>
      <c r="BE46" s="129">
        <v>0</v>
      </c>
      <c r="BF46" s="129">
        <v>-28913763</v>
      </c>
      <c r="BG46" s="129">
        <v>47660</v>
      </c>
      <c r="BH46" s="129">
        <v>0</v>
      </c>
      <c r="BI46" s="129">
        <v>0</v>
      </c>
      <c r="BJ46" s="129">
        <v>-28913763</v>
      </c>
      <c r="BK46" s="129">
        <v>47660</v>
      </c>
      <c r="BL46" s="129">
        <v>-28866103</v>
      </c>
      <c r="BM46" s="129">
        <v>-15000</v>
      </c>
      <c r="BN46" s="129">
        <v>0</v>
      </c>
      <c r="BO46" s="129">
        <v>-15000</v>
      </c>
      <c r="BP46" s="129">
        <v>-6303931</v>
      </c>
      <c r="BQ46" s="129">
        <v>-109343</v>
      </c>
      <c r="BR46" s="129">
        <v>-6413274</v>
      </c>
      <c r="BS46" s="129">
        <v>-6318931</v>
      </c>
      <c r="BT46" s="129">
        <v>-109343</v>
      </c>
      <c r="BU46" s="129">
        <v>0</v>
      </c>
      <c r="BV46" s="129">
        <v>0</v>
      </c>
      <c r="BW46" s="129">
        <v>-6318931</v>
      </c>
      <c r="BX46" s="129">
        <v>-109343</v>
      </c>
      <c r="BY46" s="129">
        <v>-6428274</v>
      </c>
      <c r="BZ46" s="129">
        <v>-600000</v>
      </c>
      <c r="CA46" s="129">
        <v>0</v>
      </c>
      <c r="CB46" s="129">
        <v>-600000</v>
      </c>
      <c r="CC46" s="129">
        <v>-110000</v>
      </c>
      <c r="CD46" s="129">
        <v>0</v>
      </c>
      <c r="CE46" s="129">
        <v>-110000</v>
      </c>
      <c r="CF46" s="129">
        <v>-10000</v>
      </c>
      <c r="CG46" s="129">
        <v>0</v>
      </c>
      <c r="CH46" s="129">
        <v>-10000</v>
      </c>
      <c r="CI46" s="129">
        <v>-45000</v>
      </c>
      <c r="CJ46" s="129">
        <v>0</v>
      </c>
      <c r="CK46" s="129">
        <v>-45000</v>
      </c>
      <c r="CL46" s="129">
        <v>-16609</v>
      </c>
      <c r="CM46" s="129">
        <v>0</v>
      </c>
      <c r="CN46" s="129">
        <v>-16609</v>
      </c>
      <c r="CO46" s="129">
        <v>0</v>
      </c>
      <c r="CP46" s="129">
        <v>0</v>
      </c>
      <c r="CQ46" s="129">
        <v>0</v>
      </c>
      <c r="CR46" s="129">
        <v>0</v>
      </c>
      <c r="CS46" s="129">
        <v>0</v>
      </c>
      <c r="CT46" s="129">
        <v>-781609</v>
      </c>
      <c r="CU46" s="129">
        <v>0</v>
      </c>
      <c r="CV46" s="129">
        <v>0</v>
      </c>
      <c r="CW46" s="129">
        <v>0</v>
      </c>
      <c r="CX46" s="129">
        <v>-781609</v>
      </c>
      <c r="CY46" s="129">
        <v>0</v>
      </c>
      <c r="CZ46" s="129">
        <v>-781609</v>
      </c>
      <c r="DA46" s="129">
        <v>-73178</v>
      </c>
      <c r="DB46" s="129">
        <v>0</v>
      </c>
      <c r="DC46" s="129">
        <v>-73178</v>
      </c>
      <c r="DD46" s="129">
        <v>-80843</v>
      </c>
      <c r="DE46" s="129">
        <v>0</v>
      </c>
      <c r="DF46" s="129">
        <v>-80843</v>
      </c>
      <c r="DG46" s="129">
        <v>-1500</v>
      </c>
      <c r="DH46" s="129">
        <v>0</v>
      </c>
      <c r="DI46" s="129">
        <v>-1500</v>
      </c>
      <c r="DJ46" s="129">
        <v>-155521</v>
      </c>
      <c r="DK46" s="129">
        <v>0</v>
      </c>
      <c r="DL46" s="129">
        <v>0</v>
      </c>
      <c r="DM46" s="129">
        <v>0</v>
      </c>
      <c r="DN46" s="129">
        <v>-155521</v>
      </c>
      <c r="DO46" s="129">
        <v>0</v>
      </c>
      <c r="DP46" s="129">
        <v>-155521</v>
      </c>
      <c r="DQ46" s="129">
        <v>194018281</v>
      </c>
      <c r="DR46" s="129">
        <v>2223937</v>
      </c>
      <c r="DS46" s="129">
        <v>196242218</v>
      </c>
      <c r="DT46" s="662" t="s">
        <v>1251</v>
      </c>
      <c r="DU46" s="324" t="s">
        <v>486</v>
      </c>
      <c r="DV46" s="663" t="s">
        <v>500</v>
      </c>
      <c r="DW46" s="529" t="s">
        <v>1252</v>
      </c>
    </row>
    <row r="47" spans="1:127" ht="12.75" x14ac:dyDescent="0.2">
      <c r="A47" s="664">
        <v>40</v>
      </c>
      <c r="B47" s="665" t="s">
        <v>699</v>
      </c>
      <c r="C47" s="666" t="s">
        <v>1201</v>
      </c>
      <c r="D47" s="667" t="s">
        <v>1204</v>
      </c>
      <c r="E47" s="668" t="s">
        <v>698</v>
      </c>
      <c r="F47" s="753" t="s">
        <v>1893</v>
      </c>
      <c r="G47" s="129">
        <v>76531910</v>
      </c>
      <c r="H47" s="129">
        <v>0</v>
      </c>
      <c r="I47" s="129">
        <v>76531910</v>
      </c>
      <c r="J47" s="793">
        <v>49.9</v>
      </c>
      <c r="K47" s="129">
        <v>38189423</v>
      </c>
      <c r="L47" s="129">
        <v>0</v>
      </c>
      <c r="M47" s="129">
        <v>-130000</v>
      </c>
      <c r="N47" s="129">
        <v>0</v>
      </c>
      <c r="O47" s="129">
        <v>38059423</v>
      </c>
      <c r="P47" s="129">
        <v>0</v>
      </c>
      <c r="Q47" s="129">
        <v>38059423</v>
      </c>
      <c r="R47" s="129">
        <v>-83458</v>
      </c>
      <c r="S47" s="129">
        <v>0</v>
      </c>
      <c r="T47" s="129">
        <v>-83458</v>
      </c>
      <c r="U47" s="129">
        <v>150905</v>
      </c>
      <c r="V47" s="129">
        <v>0</v>
      </c>
      <c r="W47" s="129">
        <v>150905</v>
      </c>
      <c r="X47" s="129">
        <v>67447</v>
      </c>
      <c r="Y47" s="129">
        <v>0</v>
      </c>
      <c r="Z47" s="129">
        <v>0</v>
      </c>
      <c r="AA47" s="129">
        <v>0</v>
      </c>
      <c r="AB47" s="129">
        <v>67447</v>
      </c>
      <c r="AC47" s="129">
        <v>0</v>
      </c>
      <c r="AD47" s="129">
        <v>67447</v>
      </c>
      <c r="AE47" s="129">
        <v>-67447</v>
      </c>
      <c r="AF47" s="129">
        <v>0</v>
      </c>
      <c r="AG47" s="129">
        <v>-67447</v>
      </c>
      <c r="AH47" s="129">
        <v>-4325115</v>
      </c>
      <c r="AI47" s="129">
        <v>0</v>
      </c>
      <c r="AJ47" s="129">
        <v>-4325115</v>
      </c>
      <c r="AK47" s="129">
        <v>-17191</v>
      </c>
      <c r="AL47" s="129">
        <v>0</v>
      </c>
      <c r="AM47" s="129">
        <v>-17191</v>
      </c>
      <c r="AN47" s="129">
        <v>687144</v>
      </c>
      <c r="AO47" s="129">
        <v>0</v>
      </c>
      <c r="AP47" s="129">
        <v>687144</v>
      </c>
      <c r="AQ47" s="129">
        <v>-3637971</v>
      </c>
      <c r="AR47" s="129">
        <v>0</v>
      </c>
      <c r="AS47" s="129">
        <v>-3637971</v>
      </c>
      <c r="AT47" s="129">
        <v>-2354601</v>
      </c>
      <c r="AU47" s="129">
        <v>0</v>
      </c>
      <c r="AV47" s="129">
        <v>-2354601</v>
      </c>
      <c r="AW47" s="129">
        <v>-24371</v>
      </c>
      <c r="AX47" s="129">
        <v>0</v>
      </c>
      <c r="AY47" s="129">
        <v>-24371</v>
      </c>
      <c r="AZ47" s="129">
        <v>-1178</v>
      </c>
      <c r="BA47" s="129">
        <v>0</v>
      </c>
      <c r="BB47" s="129">
        <v>-1178</v>
      </c>
      <c r="BC47" s="129">
        <v>0</v>
      </c>
      <c r="BD47" s="129">
        <v>0</v>
      </c>
      <c r="BE47" s="129">
        <v>0</v>
      </c>
      <c r="BF47" s="129">
        <v>-6018121</v>
      </c>
      <c r="BG47" s="129">
        <v>0</v>
      </c>
      <c r="BH47" s="129">
        <v>0</v>
      </c>
      <c r="BI47" s="129">
        <v>0</v>
      </c>
      <c r="BJ47" s="129">
        <v>-6018121</v>
      </c>
      <c r="BK47" s="129">
        <v>0</v>
      </c>
      <c r="BL47" s="129">
        <v>-6018121</v>
      </c>
      <c r="BM47" s="129">
        <v>-50000</v>
      </c>
      <c r="BN47" s="129">
        <v>0</v>
      </c>
      <c r="BO47" s="129">
        <v>-50000</v>
      </c>
      <c r="BP47" s="129">
        <v>-1317418</v>
      </c>
      <c r="BQ47" s="129">
        <v>0</v>
      </c>
      <c r="BR47" s="129">
        <v>-1317418</v>
      </c>
      <c r="BS47" s="129">
        <v>-1367418</v>
      </c>
      <c r="BT47" s="129">
        <v>0</v>
      </c>
      <c r="BU47" s="129">
        <v>0</v>
      </c>
      <c r="BV47" s="129">
        <v>0</v>
      </c>
      <c r="BW47" s="129">
        <v>-1367418</v>
      </c>
      <c r="BX47" s="129">
        <v>0</v>
      </c>
      <c r="BY47" s="129">
        <v>-1367418</v>
      </c>
      <c r="BZ47" s="129">
        <v>-100070</v>
      </c>
      <c r="CA47" s="129">
        <v>0</v>
      </c>
      <c r="CB47" s="129">
        <v>-100070</v>
      </c>
      <c r="CC47" s="129">
        <v>-96994</v>
      </c>
      <c r="CD47" s="129">
        <v>0</v>
      </c>
      <c r="CE47" s="129">
        <v>-96994</v>
      </c>
      <c r="CF47" s="129">
        <v>0</v>
      </c>
      <c r="CG47" s="129">
        <v>0</v>
      </c>
      <c r="CH47" s="129">
        <v>0</v>
      </c>
      <c r="CI47" s="129">
        <v>0</v>
      </c>
      <c r="CJ47" s="129">
        <v>0</v>
      </c>
      <c r="CK47" s="129">
        <v>0</v>
      </c>
      <c r="CL47" s="129">
        <v>0</v>
      </c>
      <c r="CM47" s="129">
        <v>0</v>
      </c>
      <c r="CN47" s="129">
        <v>0</v>
      </c>
      <c r="CO47" s="129">
        <v>-88706</v>
      </c>
      <c r="CP47" s="129">
        <v>0</v>
      </c>
      <c r="CQ47" s="129">
        <v>-88706</v>
      </c>
      <c r="CR47" s="129">
        <v>0</v>
      </c>
      <c r="CS47" s="129">
        <v>0</v>
      </c>
      <c r="CT47" s="129">
        <v>-285770</v>
      </c>
      <c r="CU47" s="129">
        <v>0</v>
      </c>
      <c r="CV47" s="129">
        <v>0</v>
      </c>
      <c r="CW47" s="129">
        <v>0</v>
      </c>
      <c r="CX47" s="129">
        <v>-285770</v>
      </c>
      <c r="CY47" s="129">
        <v>0</v>
      </c>
      <c r="CZ47" s="129">
        <v>-285770</v>
      </c>
      <c r="DA47" s="129">
        <v>-1178</v>
      </c>
      <c r="DB47" s="129">
        <v>0</v>
      </c>
      <c r="DC47" s="129">
        <v>-1178</v>
      </c>
      <c r="DD47" s="129">
        <v>-13975</v>
      </c>
      <c r="DE47" s="129">
        <v>0</v>
      </c>
      <c r="DF47" s="129">
        <v>-13975</v>
      </c>
      <c r="DG47" s="129">
        <v>0</v>
      </c>
      <c r="DH47" s="129">
        <v>0</v>
      </c>
      <c r="DI47" s="129">
        <v>0</v>
      </c>
      <c r="DJ47" s="129">
        <v>-15153</v>
      </c>
      <c r="DK47" s="129">
        <v>0</v>
      </c>
      <c r="DL47" s="129">
        <v>0</v>
      </c>
      <c r="DM47" s="129">
        <v>0</v>
      </c>
      <c r="DN47" s="129">
        <v>-15153</v>
      </c>
      <c r="DO47" s="129">
        <v>0</v>
      </c>
      <c r="DP47" s="129">
        <v>-15153</v>
      </c>
      <c r="DQ47" s="129">
        <v>30440408</v>
      </c>
      <c r="DR47" s="129">
        <v>0</v>
      </c>
      <c r="DS47" s="129">
        <v>30440408</v>
      </c>
      <c r="DT47" s="662" t="s">
        <v>698</v>
      </c>
      <c r="DU47" s="324" t="s">
        <v>547</v>
      </c>
      <c r="DV47" s="663" t="s">
        <v>545</v>
      </c>
      <c r="DW47" s="529" t="s">
        <v>1253</v>
      </c>
    </row>
    <row r="48" spans="1:127" ht="12.75" x14ac:dyDescent="0.2">
      <c r="A48" s="664">
        <v>41</v>
      </c>
      <c r="B48" s="665" t="s">
        <v>701</v>
      </c>
      <c r="C48" s="666" t="s">
        <v>1217</v>
      </c>
      <c r="D48" s="667" t="s">
        <v>1204</v>
      </c>
      <c r="E48" s="668" t="s">
        <v>700</v>
      </c>
      <c r="F48" s="753" t="s">
        <v>1875</v>
      </c>
      <c r="G48" s="129">
        <v>132681624</v>
      </c>
      <c r="H48" s="129">
        <v>0</v>
      </c>
      <c r="I48" s="129">
        <v>132681624</v>
      </c>
      <c r="J48" s="793">
        <v>49.9</v>
      </c>
      <c r="K48" s="129">
        <v>66208130</v>
      </c>
      <c r="L48" s="129">
        <v>0</v>
      </c>
      <c r="M48" s="129">
        <v>0</v>
      </c>
      <c r="N48" s="129">
        <v>0</v>
      </c>
      <c r="O48" s="129">
        <v>66208130</v>
      </c>
      <c r="P48" s="129">
        <v>0</v>
      </c>
      <c r="Q48" s="129">
        <v>66208130</v>
      </c>
      <c r="R48" s="129">
        <v>-85615</v>
      </c>
      <c r="S48" s="129">
        <v>0</v>
      </c>
      <c r="T48" s="129">
        <v>-85615</v>
      </c>
      <c r="U48" s="129">
        <v>353241</v>
      </c>
      <c r="V48" s="129">
        <v>0</v>
      </c>
      <c r="W48" s="129">
        <v>353241</v>
      </c>
      <c r="X48" s="129">
        <v>267626</v>
      </c>
      <c r="Y48" s="129">
        <v>0</v>
      </c>
      <c r="Z48" s="129">
        <v>0</v>
      </c>
      <c r="AA48" s="129">
        <v>0</v>
      </c>
      <c r="AB48" s="129">
        <v>267626</v>
      </c>
      <c r="AC48" s="129">
        <v>0</v>
      </c>
      <c r="AD48" s="129">
        <v>267626</v>
      </c>
      <c r="AE48" s="129">
        <v>-267626</v>
      </c>
      <c r="AF48" s="129">
        <v>0</v>
      </c>
      <c r="AG48" s="129">
        <v>-267626</v>
      </c>
      <c r="AH48" s="129">
        <v>-9030164</v>
      </c>
      <c r="AI48" s="129">
        <v>0</v>
      </c>
      <c r="AJ48" s="129">
        <v>-9030164</v>
      </c>
      <c r="AK48" s="129">
        <v>-3780</v>
      </c>
      <c r="AL48" s="129">
        <v>0</v>
      </c>
      <c r="AM48" s="129">
        <v>-3780</v>
      </c>
      <c r="AN48" s="129">
        <v>1094438</v>
      </c>
      <c r="AO48" s="129">
        <v>0</v>
      </c>
      <c r="AP48" s="129">
        <v>1094438</v>
      </c>
      <c r="AQ48" s="129">
        <v>-7935726</v>
      </c>
      <c r="AR48" s="129">
        <v>0</v>
      </c>
      <c r="AS48" s="129">
        <v>-7935726</v>
      </c>
      <c r="AT48" s="129">
        <v>-3254006</v>
      </c>
      <c r="AU48" s="129">
        <v>0</v>
      </c>
      <c r="AV48" s="129">
        <v>-3254006</v>
      </c>
      <c r="AW48" s="129">
        <v>-117039</v>
      </c>
      <c r="AX48" s="129">
        <v>0</v>
      </c>
      <c r="AY48" s="129">
        <v>-117039</v>
      </c>
      <c r="AZ48" s="129">
        <v>-1613</v>
      </c>
      <c r="BA48" s="129">
        <v>0</v>
      </c>
      <c r="BB48" s="129">
        <v>-1613</v>
      </c>
      <c r="BC48" s="129">
        <v>0</v>
      </c>
      <c r="BD48" s="129">
        <v>0</v>
      </c>
      <c r="BE48" s="129">
        <v>0</v>
      </c>
      <c r="BF48" s="129">
        <v>-11308384</v>
      </c>
      <c r="BG48" s="129">
        <v>0</v>
      </c>
      <c r="BH48" s="129">
        <v>0</v>
      </c>
      <c r="BI48" s="129">
        <v>0</v>
      </c>
      <c r="BJ48" s="129">
        <v>-11308384</v>
      </c>
      <c r="BK48" s="129">
        <v>0</v>
      </c>
      <c r="BL48" s="129">
        <v>-11308384</v>
      </c>
      <c r="BM48" s="129">
        <v>0</v>
      </c>
      <c r="BN48" s="129">
        <v>0</v>
      </c>
      <c r="BO48" s="129">
        <v>0</v>
      </c>
      <c r="BP48" s="129">
        <v>-890924</v>
      </c>
      <c r="BQ48" s="129">
        <v>0</v>
      </c>
      <c r="BR48" s="129">
        <v>-890924</v>
      </c>
      <c r="BS48" s="129">
        <v>-890924</v>
      </c>
      <c r="BT48" s="129">
        <v>0</v>
      </c>
      <c r="BU48" s="129">
        <v>0</v>
      </c>
      <c r="BV48" s="129">
        <v>0</v>
      </c>
      <c r="BW48" s="129">
        <v>-890924</v>
      </c>
      <c r="BX48" s="129">
        <v>0</v>
      </c>
      <c r="BY48" s="129">
        <v>-890924</v>
      </c>
      <c r="BZ48" s="129">
        <v>-382038</v>
      </c>
      <c r="CA48" s="129">
        <v>0</v>
      </c>
      <c r="CB48" s="129">
        <v>-382038</v>
      </c>
      <c r="CC48" s="129">
        <v>-80814</v>
      </c>
      <c r="CD48" s="129">
        <v>0</v>
      </c>
      <c r="CE48" s="129">
        <v>-80814</v>
      </c>
      <c r="CF48" s="129">
        <v>-29260</v>
      </c>
      <c r="CG48" s="129">
        <v>0</v>
      </c>
      <c r="CH48" s="129">
        <v>-29260</v>
      </c>
      <c r="CI48" s="129">
        <v>0</v>
      </c>
      <c r="CJ48" s="129">
        <v>0</v>
      </c>
      <c r="CK48" s="129">
        <v>0</v>
      </c>
      <c r="CL48" s="129">
        <v>0</v>
      </c>
      <c r="CM48" s="129">
        <v>0</v>
      </c>
      <c r="CN48" s="129">
        <v>0</v>
      </c>
      <c r="CO48" s="129">
        <v>0</v>
      </c>
      <c r="CP48" s="129">
        <v>0</v>
      </c>
      <c r="CQ48" s="129">
        <v>0</v>
      </c>
      <c r="CR48" s="129">
        <v>0</v>
      </c>
      <c r="CS48" s="129">
        <v>0</v>
      </c>
      <c r="CT48" s="129">
        <v>-492112</v>
      </c>
      <c r="CU48" s="129">
        <v>0</v>
      </c>
      <c r="CV48" s="129">
        <v>0</v>
      </c>
      <c r="CW48" s="129">
        <v>0</v>
      </c>
      <c r="CX48" s="129">
        <v>-492112</v>
      </c>
      <c r="CY48" s="129">
        <v>0</v>
      </c>
      <c r="CZ48" s="129">
        <v>-492112</v>
      </c>
      <c r="DA48" s="129">
        <v>-1613</v>
      </c>
      <c r="DB48" s="129">
        <v>0</v>
      </c>
      <c r="DC48" s="129">
        <v>-1613</v>
      </c>
      <c r="DD48" s="129">
        <v>-15217</v>
      </c>
      <c r="DE48" s="129">
        <v>0</v>
      </c>
      <c r="DF48" s="129">
        <v>-15217</v>
      </c>
      <c r="DG48" s="129">
        <v>0</v>
      </c>
      <c r="DH48" s="129">
        <v>0</v>
      </c>
      <c r="DI48" s="129">
        <v>0</v>
      </c>
      <c r="DJ48" s="129">
        <v>-16830</v>
      </c>
      <c r="DK48" s="129">
        <v>0</v>
      </c>
      <c r="DL48" s="129">
        <v>0</v>
      </c>
      <c r="DM48" s="129">
        <v>0</v>
      </c>
      <c r="DN48" s="129">
        <v>-16830</v>
      </c>
      <c r="DO48" s="129">
        <v>0</v>
      </c>
      <c r="DP48" s="129">
        <v>-16830</v>
      </c>
      <c r="DQ48" s="129">
        <v>53767506</v>
      </c>
      <c r="DR48" s="129">
        <v>0</v>
      </c>
      <c r="DS48" s="129">
        <v>53767506</v>
      </c>
      <c r="DT48" s="662" t="s">
        <v>700</v>
      </c>
      <c r="DU48" s="324" t="s">
        <v>570</v>
      </c>
      <c r="DV48" s="663" t="s">
        <v>1915</v>
      </c>
      <c r="DW48" s="529" t="s">
        <v>1254</v>
      </c>
    </row>
    <row r="49" spans="1:127" ht="12.75" x14ac:dyDescent="0.2">
      <c r="A49" s="664">
        <v>42</v>
      </c>
      <c r="B49" s="665" t="s">
        <v>703</v>
      </c>
      <c r="C49" s="666" t="s">
        <v>1217</v>
      </c>
      <c r="D49" s="667" t="s">
        <v>1218</v>
      </c>
      <c r="E49" s="668" t="s">
        <v>702</v>
      </c>
      <c r="F49" s="753" t="s">
        <v>1884</v>
      </c>
      <c r="G49" s="129">
        <v>160436272</v>
      </c>
      <c r="H49" s="129">
        <v>0</v>
      </c>
      <c r="I49" s="129">
        <v>160436272</v>
      </c>
      <c r="J49" s="793">
        <v>49.9</v>
      </c>
      <c r="K49" s="129">
        <v>80057700</v>
      </c>
      <c r="L49" s="129">
        <v>0</v>
      </c>
      <c r="M49" s="129">
        <v>-374065</v>
      </c>
      <c r="N49" s="129">
        <v>0</v>
      </c>
      <c r="O49" s="129">
        <v>79683635</v>
      </c>
      <c r="P49" s="129">
        <v>0</v>
      </c>
      <c r="Q49" s="129">
        <v>79683635</v>
      </c>
      <c r="R49" s="129">
        <v>-301085</v>
      </c>
      <c r="S49" s="129">
        <v>0</v>
      </c>
      <c r="T49" s="129">
        <v>-301085</v>
      </c>
      <c r="U49" s="129">
        <v>334393</v>
      </c>
      <c r="V49" s="129">
        <v>0</v>
      </c>
      <c r="W49" s="129">
        <v>334393</v>
      </c>
      <c r="X49" s="129">
        <v>33308</v>
      </c>
      <c r="Y49" s="129">
        <v>0</v>
      </c>
      <c r="Z49" s="129">
        <v>3331</v>
      </c>
      <c r="AA49" s="129">
        <v>0</v>
      </c>
      <c r="AB49" s="129">
        <v>36639</v>
      </c>
      <c r="AC49" s="129">
        <v>0</v>
      </c>
      <c r="AD49" s="129">
        <v>36639</v>
      </c>
      <c r="AE49" s="129">
        <v>-36639</v>
      </c>
      <c r="AF49" s="129">
        <v>0</v>
      </c>
      <c r="AG49" s="129">
        <v>-36639</v>
      </c>
      <c r="AH49" s="129">
        <v>-12097646</v>
      </c>
      <c r="AI49" s="129">
        <v>0</v>
      </c>
      <c r="AJ49" s="129">
        <v>-12097646</v>
      </c>
      <c r="AK49" s="129">
        <v>0</v>
      </c>
      <c r="AL49" s="129">
        <v>0</v>
      </c>
      <c r="AM49" s="129">
        <v>0</v>
      </c>
      <c r="AN49" s="129">
        <v>1229967</v>
      </c>
      <c r="AO49" s="129">
        <v>0</v>
      </c>
      <c r="AP49" s="129">
        <v>1229967</v>
      </c>
      <c r="AQ49" s="129">
        <v>-10867679</v>
      </c>
      <c r="AR49" s="129">
        <v>0</v>
      </c>
      <c r="AS49" s="129">
        <v>-10867679</v>
      </c>
      <c r="AT49" s="129">
        <v>-4344101</v>
      </c>
      <c r="AU49" s="129">
        <v>0</v>
      </c>
      <c r="AV49" s="129">
        <v>-4344101</v>
      </c>
      <c r="AW49" s="129">
        <v>-189450</v>
      </c>
      <c r="AX49" s="129">
        <v>0</v>
      </c>
      <c r="AY49" s="129">
        <v>-189450</v>
      </c>
      <c r="AZ49" s="129">
        <v>-7729</v>
      </c>
      <c r="BA49" s="129">
        <v>0</v>
      </c>
      <c r="BB49" s="129">
        <v>-7729</v>
      </c>
      <c r="BC49" s="129">
        <v>0</v>
      </c>
      <c r="BD49" s="129">
        <v>0</v>
      </c>
      <c r="BE49" s="129">
        <v>0</v>
      </c>
      <c r="BF49" s="129">
        <v>-15408959</v>
      </c>
      <c r="BG49" s="129">
        <v>0</v>
      </c>
      <c r="BH49" s="129">
        <v>-333879</v>
      </c>
      <c r="BI49" s="129">
        <v>0</v>
      </c>
      <c r="BJ49" s="129">
        <v>-15742838</v>
      </c>
      <c r="BK49" s="129">
        <v>0</v>
      </c>
      <c r="BL49" s="129">
        <v>-15742838</v>
      </c>
      <c r="BM49" s="129">
        <v>0</v>
      </c>
      <c r="BN49" s="129">
        <v>0</v>
      </c>
      <c r="BO49" s="129">
        <v>0</v>
      </c>
      <c r="BP49" s="129">
        <v>-2533241</v>
      </c>
      <c r="BQ49" s="129">
        <v>0</v>
      </c>
      <c r="BR49" s="129">
        <v>-2533241</v>
      </c>
      <c r="BS49" s="129">
        <v>-2533241</v>
      </c>
      <c r="BT49" s="129">
        <v>0</v>
      </c>
      <c r="BU49" s="129">
        <v>-253324</v>
      </c>
      <c r="BV49" s="129">
        <v>0</v>
      </c>
      <c r="BW49" s="129">
        <v>-2786565</v>
      </c>
      <c r="BX49" s="129">
        <v>0</v>
      </c>
      <c r="BY49" s="129">
        <v>-2786565</v>
      </c>
      <c r="BZ49" s="129">
        <v>-265080</v>
      </c>
      <c r="CA49" s="129">
        <v>0</v>
      </c>
      <c r="CB49" s="129">
        <v>-265080</v>
      </c>
      <c r="CC49" s="129">
        <v>-259750</v>
      </c>
      <c r="CD49" s="129">
        <v>0</v>
      </c>
      <c r="CE49" s="129">
        <v>-259750</v>
      </c>
      <c r="CF49" s="129">
        <v>0</v>
      </c>
      <c r="CG49" s="129">
        <v>0</v>
      </c>
      <c r="CH49" s="129">
        <v>0</v>
      </c>
      <c r="CI49" s="129">
        <v>0</v>
      </c>
      <c r="CJ49" s="129">
        <v>0</v>
      </c>
      <c r="CK49" s="129">
        <v>0</v>
      </c>
      <c r="CL49" s="129">
        <v>0</v>
      </c>
      <c r="CM49" s="129">
        <v>0</v>
      </c>
      <c r="CN49" s="129">
        <v>0</v>
      </c>
      <c r="CO49" s="129">
        <v>0</v>
      </c>
      <c r="CP49" s="129">
        <v>0</v>
      </c>
      <c r="CQ49" s="129">
        <v>0</v>
      </c>
      <c r="CR49" s="129">
        <v>0</v>
      </c>
      <c r="CS49" s="129">
        <v>0</v>
      </c>
      <c r="CT49" s="129">
        <v>-524830</v>
      </c>
      <c r="CU49" s="129">
        <v>0</v>
      </c>
      <c r="CV49" s="129">
        <v>-45104</v>
      </c>
      <c r="CW49" s="129">
        <v>0</v>
      </c>
      <c r="CX49" s="129">
        <v>-569934</v>
      </c>
      <c r="CY49" s="129">
        <v>0</v>
      </c>
      <c r="CZ49" s="129">
        <v>-569934</v>
      </c>
      <c r="DA49" s="129">
        <v>-7729</v>
      </c>
      <c r="DB49" s="129">
        <v>0</v>
      </c>
      <c r="DC49" s="129">
        <v>-7729</v>
      </c>
      <c r="DD49" s="129">
        <v>-48011</v>
      </c>
      <c r="DE49" s="129">
        <v>0</v>
      </c>
      <c r="DF49" s="129">
        <v>-48011</v>
      </c>
      <c r="DG49" s="129">
        <v>0</v>
      </c>
      <c r="DH49" s="129">
        <v>0</v>
      </c>
      <c r="DI49" s="129">
        <v>0</v>
      </c>
      <c r="DJ49" s="129">
        <v>-55740</v>
      </c>
      <c r="DK49" s="129">
        <v>0</v>
      </c>
      <c r="DL49" s="129">
        <v>-5574</v>
      </c>
      <c r="DM49" s="129">
        <v>0</v>
      </c>
      <c r="DN49" s="129">
        <v>-61314</v>
      </c>
      <c r="DO49" s="129">
        <v>0</v>
      </c>
      <c r="DP49" s="129">
        <v>-61314</v>
      </c>
      <c r="DQ49" s="129">
        <v>60559623</v>
      </c>
      <c r="DR49" s="129">
        <v>0</v>
      </c>
      <c r="DS49" s="129">
        <v>60559623</v>
      </c>
      <c r="DT49" s="662" t="s">
        <v>702</v>
      </c>
      <c r="DU49" s="324" t="s">
        <v>570</v>
      </c>
      <c r="DV49" s="663" t="s">
        <v>575</v>
      </c>
      <c r="DW49" s="529" t="s">
        <v>1255</v>
      </c>
    </row>
    <row r="50" spans="1:127" ht="12.75" x14ac:dyDescent="0.2">
      <c r="A50" s="664">
        <v>43</v>
      </c>
      <c r="B50" s="665" t="s">
        <v>705</v>
      </c>
      <c r="C50" s="666" t="s">
        <v>1201</v>
      </c>
      <c r="D50" s="667" t="s">
        <v>1211</v>
      </c>
      <c r="E50" s="668" t="s">
        <v>704</v>
      </c>
      <c r="F50" s="753" t="s">
        <v>1894</v>
      </c>
      <c r="G50" s="129">
        <v>313195986</v>
      </c>
      <c r="H50" s="129">
        <v>0</v>
      </c>
      <c r="I50" s="129">
        <v>313195986</v>
      </c>
      <c r="J50" s="793">
        <v>49.9</v>
      </c>
      <c r="K50" s="129">
        <v>156284797</v>
      </c>
      <c r="L50" s="129">
        <v>0</v>
      </c>
      <c r="M50" s="129">
        <v>-285536</v>
      </c>
      <c r="N50" s="129">
        <v>0</v>
      </c>
      <c r="O50" s="129">
        <v>155999261</v>
      </c>
      <c r="P50" s="129">
        <v>0</v>
      </c>
      <c r="Q50" s="129">
        <v>155999261</v>
      </c>
      <c r="R50" s="129">
        <v>-263542</v>
      </c>
      <c r="S50" s="129">
        <v>0</v>
      </c>
      <c r="T50" s="129">
        <v>-263542</v>
      </c>
      <c r="U50" s="129">
        <v>335766</v>
      </c>
      <c r="V50" s="129">
        <v>0</v>
      </c>
      <c r="W50" s="129">
        <v>335766</v>
      </c>
      <c r="X50" s="129">
        <v>72224</v>
      </c>
      <c r="Y50" s="129">
        <v>0</v>
      </c>
      <c r="Z50" s="129">
        <v>0</v>
      </c>
      <c r="AA50" s="129">
        <v>0</v>
      </c>
      <c r="AB50" s="129">
        <v>72224</v>
      </c>
      <c r="AC50" s="129">
        <v>0</v>
      </c>
      <c r="AD50" s="129">
        <v>72224</v>
      </c>
      <c r="AE50" s="129">
        <v>-72224</v>
      </c>
      <c r="AF50" s="129">
        <v>0</v>
      </c>
      <c r="AG50" s="129">
        <v>-72224</v>
      </c>
      <c r="AH50" s="129">
        <v>-2884258</v>
      </c>
      <c r="AI50" s="129">
        <v>0</v>
      </c>
      <c r="AJ50" s="129">
        <v>-2884258</v>
      </c>
      <c r="AK50" s="129">
        <v>-5000</v>
      </c>
      <c r="AL50" s="129">
        <v>0</v>
      </c>
      <c r="AM50" s="129">
        <v>-5000</v>
      </c>
      <c r="AN50" s="129">
        <v>3571031</v>
      </c>
      <c r="AO50" s="129">
        <v>0</v>
      </c>
      <c r="AP50" s="129">
        <v>3571031</v>
      </c>
      <c r="AQ50" s="129">
        <v>686773</v>
      </c>
      <c r="AR50" s="129">
        <v>0</v>
      </c>
      <c r="AS50" s="129">
        <v>686773</v>
      </c>
      <c r="AT50" s="129">
        <v>-29764689</v>
      </c>
      <c r="AU50" s="129">
        <v>0</v>
      </c>
      <c r="AV50" s="129">
        <v>-29764689</v>
      </c>
      <c r="AW50" s="129">
        <v>-16865</v>
      </c>
      <c r="AX50" s="129">
        <v>0</v>
      </c>
      <c r="AY50" s="129">
        <v>-16865</v>
      </c>
      <c r="AZ50" s="129">
        <v>0</v>
      </c>
      <c r="BA50" s="129">
        <v>0</v>
      </c>
      <c r="BB50" s="129">
        <v>0</v>
      </c>
      <c r="BC50" s="129">
        <v>0</v>
      </c>
      <c r="BD50" s="129">
        <v>0</v>
      </c>
      <c r="BE50" s="129">
        <v>0</v>
      </c>
      <c r="BF50" s="129">
        <v>-29094781</v>
      </c>
      <c r="BG50" s="129">
        <v>0</v>
      </c>
      <c r="BH50" s="129">
        <v>0</v>
      </c>
      <c r="BI50" s="129">
        <v>0</v>
      </c>
      <c r="BJ50" s="129">
        <v>-29094781</v>
      </c>
      <c r="BK50" s="129">
        <v>0</v>
      </c>
      <c r="BL50" s="129">
        <v>-29094781</v>
      </c>
      <c r="BM50" s="129">
        <v>-20000</v>
      </c>
      <c r="BN50" s="129">
        <v>0</v>
      </c>
      <c r="BO50" s="129">
        <v>-20000</v>
      </c>
      <c r="BP50" s="129">
        <v>-3710776</v>
      </c>
      <c r="BQ50" s="129">
        <v>0</v>
      </c>
      <c r="BR50" s="129">
        <v>-3710776</v>
      </c>
      <c r="BS50" s="129">
        <v>-3730776</v>
      </c>
      <c r="BT50" s="129">
        <v>0</v>
      </c>
      <c r="BU50" s="129">
        <v>-2229095</v>
      </c>
      <c r="BV50" s="129">
        <v>0</v>
      </c>
      <c r="BW50" s="129">
        <v>-5959871</v>
      </c>
      <c r="BX50" s="129">
        <v>0</v>
      </c>
      <c r="BY50" s="129">
        <v>-5959871</v>
      </c>
      <c r="BZ50" s="129">
        <v>-126690</v>
      </c>
      <c r="CA50" s="129">
        <v>0</v>
      </c>
      <c r="CB50" s="129">
        <v>-126690</v>
      </c>
      <c r="CC50" s="129">
        <v>0</v>
      </c>
      <c r="CD50" s="129">
        <v>0</v>
      </c>
      <c r="CE50" s="129">
        <v>0</v>
      </c>
      <c r="CF50" s="129">
        <v>0</v>
      </c>
      <c r="CG50" s="129">
        <v>0</v>
      </c>
      <c r="CH50" s="129">
        <v>0</v>
      </c>
      <c r="CI50" s="129">
        <v>0</v>
      </c>
      <c r="CJ50" s="129">
        <v>0</v>
      </c>
      <c r="CK50" s="129">
        <v>0</v>
      </c>
      <c r="CL50" s="129">
        <v>0</v>
      </c>
      <c r="CM50" s="129">
        <v>0</v>
      </c>
      <c r="CN50" s="129">
        <v>0</v>
      </c>
      <c r="CO50" s="129">
        <v>0</v>
      </c>
      <c r="CP50" s="129">
        <v>0</v>
      </c>
      <c r="CQ50" s="129">
        <v>0</v>
      </c>
      <c r="CR50" s="129">
        <v>0</v>
      </c>
      <c r="CS50" s="129">
        <v>0</v>
      </c>
      <c r="CT50" s="129">
        <v>-126690</v>
      </c>
      <c r="CU50" s="129">
        <v>0</v>
      </c>
      <c r="CV50" s="129">
        <v>0</v>
      </c>
      <c r="CW50" s="129">
        <v>0</v>
      </c>
      <c r="CX50" s="129">
        <v>-126690</v>
      </c>
      <c r="CY50" s="129">
        <v>0</v>
      </c>
      <c r="CZ50" s="129">
        <v>-126690</v>
      </c>
      <c r="DA50" s="129">
        <v>0</v>
      </c>
      <c r="DB50" s="129">
        <v>0</v>
      </c>
      <c r="DC50" s="129">
        <v>0</v>
      </c>
      <c r="DD50" s="129">
        <v>-11000</v>
      </c>
      <c r="DE50" s="129">
        <v>0</v>
      </c>
      <c r="DF50" s="129">
        <v>-11000</v>
      </c>
      <c r="DG50" s="129">
        <v>0</v>
      </c>
      <c r="DH50" s="129">
        <v>0</v>
      </c>
      <c r="DI50" s="129">
        <v>0</v>
      </c>
      <c r="DJ50" s="129">
        <v>-11000</v>
      </c>
      <c r="DK50" s="129">
        <v>0</v>
      </c>
      <c r="DL50" s="129">
        <v>0</v>
      </c>
      <c r="DM50" s="129">
        <v>0</v>
      </c>
      <c r="DN50" s="129">
        <v>-11000</v>
      </c>
      <c r="DO50" s="129">
        <v>0</v>
      </c>
      <c r="DP50" s="129">
        <v>-11000</v>
      </c>
      <c r="DQ50" s="129">
        <v>120879143</v>
      </c>
      <c r="DR50" s="129">
        <v>0</v>
      </c>
      <c r="DS50" s="129">
        <v>120879143</v>
      </c>
      <c r="DT50" s="662" t="s">
        <v>704</v>
      </c>
      <c r="DU50" s="324" t="s">
        <v>503</v>
      </c>
      <c r="DV50" s="663" t="s">
        <v>502</v>
      </c>
      <c r="DW50" s="529" t="s">
        <v>1256</v>
      </c>
    </row>
    <row r="51" spans="1:127" ht="12.75" x14ac:dyDescent="0.2">
      <c r="A51" s="664">
        <v>44</v>
      </c>
      <c r="B51" s="665" t="s">
        <v>707</v>
      </c>
      <c r="C51" s="666" t="s">
        <v>1257</v>
      </c>
      <c r="D51" s="667" t="s">
        <v>1214</v>
      </c>
      <c r="E51" s="668" t="s">
        <v>706</v>
      </c>
      <c r="F51" s="753" t="s">
        <v>1875</v>
      </c>
      <c r="G51" s="129">
        <v>1596202127</v>
      </c>
      <c r="H51" s="129">
        <v>0</v>
      </c>
      <c r="I51" s="129">
        <v>1596202127</v>
      </c>
      <c r="J51" s="793">
        <v>49.9</v>
      </c>
      <c r="K51" s="129">
        <v>796504861</v>
      </c>
      <c r="L51" s="129">
        <v>0</v>
      </c>
      <c r="M51" s="129">
        <v>20000000</v>
      </c>
      <c r="N51" s="129">
        <v>0</v>
      </c>
      <c r="O51" s="129">
        <v>816504861</v>
      </c>
      <c r="P51" s="129">
        <v>0</v>
      </c>
      <c r="Q51" s="129">
        <v>816504861</v>
      </c>
      <c r="R51" s="129">
        <v>-2111719</v>
      </c>
      <c r="S51" s="129">
        <v>0</v>
      </c>
      <c r="T51" s="129">
        <v>-2111719</v>
      </c>
      <c r="U51" s="129">
        <v>217078</v>
      </c>
      <c r="V51" s="129">
        <v>0</v>
      </c>
      <c r="W51" s="129">
        <v>217078</v>
      </c>
      <c r="X51" s="129">
        <v>-1894641</v>
      </c>
      <c r="Y51" s="129">
        <v>0</v>
      </c>
      <c r="Z51" s="129">
        <v>0</v>
      </c>
      <c r="AA51" s="129">
        <v>0</v>
      </c>
      <c r="AB51" s="129">
        <v>-1894641</v>
      </c>
      <c r="AC51" s="129">
        <v>0</v>
      </c>
      <c r="AD51" s="129">
        <v>-1894641</v>
      </c>
      <c r="AE51" s="129">
        <v>1894641</v>
      </c>
      <c r="AF51" s="129">
        <v>0</v>
      </c>
      <c r="AG51" s="129">
        <v>1894641</v>
      </c>
      <c r="AH51" s="129">
        <v>-6627669</v>
      </c>
      <c r="AI51" s="129">
        <v>0</v>
      </c>
      <c r="AJ51" s="129">
        <v>-6627669</v>
      </c>
      <c r="AK51" s="129">
        <v>0</v>
      </c>
      <c r="AL51" s="129">
        <v>0</v>
      </c>
      <c r="AM51" s="129">
        <v>0</v>
      </c>
      <c r="AN51" s="129">
        <v>18548249</v>
      </c>
      <c r="AO51" s="129">
        <v>0</v>
      </c>
      <c r="AP51" s="129">
        <v>18548249</v>
      </c>
      <c r="AQ51" s="129">
        <v>11920580</v>
      </c>
      <c r="AR51" s="129">
        <v>0</v>
      </c>
      <c r="AS51" s="129">
        <v>11920580</v>
      </c>
      <c r="AT51" s="129">
        <v>-83291203</v>
      </c>
      <c r="AU51" s="129">
        <v>0</v>
      </c>
      <c r="AV51" s="129">
        <v>-83291203</v>
      </c>
      <c r="AW51" s="129">
        <v>0</v>
      </c>
      <c r="AX51" s="129">
        <v>0</v>
      </c>
      <c r="AY51" s="129">
        <v>0</v>
      </c>
      <c r="AZ51" s="129">
        <v>0</v>
      </c>
      <c r="BA51" s="129">
        <v>0</v>
      </c>
      <c r="BB51" s="129">
        <v>0</v>
      </c>
      <c r="BC51" s="129">
        <v>0</v>
      </c>
      <c r="BD51" s="129">
        <v>0</v>
      </c>
      <c r="BE51" s="129">
        <v>0</v>
      </c>
      <c r="BF51" s="129">
        <v>-71370623</v>
      </c>
      <c r="BG51" s="129">
        <v>0</v>
      </c>
      <c r="BH51" s="129">
        <v>0</v>
      </c>
      <c r="BI51" s="129">
        <v>0</v>
      </c>
      <c r="BJ51" s="129">
        <v>-71370623</v>
      </c>
      <c r="BK51" s="129">
        <v>0</v>
      </c>
      <c r="BL51" s="129">
        <v>-71370623</v>
      </c>
      <c r="BM51" s="129">
        <v>-8733</v>
      </c>
      <c r="BN51" s="129">
        <v>0</v>
      </c>
      <c r="BO51" s="129">
        <v>-8733</v>
      </c>
      <c r="BP51" s="129">
        <v>-28844834</v>
      </c>
      <c r="BQ51" s="129">
        <v>0</v>
      </c>
      <c r="BR51" s="129">
        <v>-28844834</v>
      </c>
      <c r="BS51" s="129">
        <v>-28853567</v>
      </c>
      <c r="BT51" s="129">
        <v>0</v>
      </c>
      <c r="BU51" s="129">
        <v>0</v>
      </c>
      <c r="BV51" s="129">
        <v>0</v>
      </c>
      <c r="BW51" s="129">
        <v>-28853567</v>
      </c>
      <c r="BX51" s="129">
        <v>0</v>
      </c>
      <c r="BY51" s="129">
        <v>-28853567</v>
      </c>
      <c r="BZ51" s="129">
        <v>-394240</v>
      </c>
      <c r="CA51" s="129">
        <v>0</v>
      </c>
      <c r="CB51" s="129">
        <v>-394240</v>
      </c>
      <c r="CC51" s="129">
        <v>-10000</v>
      </c>
      <c r="CD51" s="129">
        <v>0</v>
      </c>
      <c r="CE51" s="129">
        <v>-10000</v>
      </c>
      <c r="CF51" s="129">
        <v>0</v>
      </c>
      <c r="CG51" s="129">
        <v>0</v>
      </c>
      <c r="CH51" s="129">
        <v>0</v>
      </c>
      <c r="CI51" s="129">
        <v>0</v>
      </c>
      <c r="CJ51" s="129">
        <v>0</v>
      </c>
      <c r="CK51" s="129">
        <v>0</v>
      </c>
      <c r="CL51" s="129">
        <v>0</v>
      </c>
      <c r="CM51" s="129">
        <v>0</v>
      </c>
      <c r="CN51" s="129">
        <v>0</v>
      </c>
      <c r="CO51" s="129">
        <v>0</v>
      </c>
      <c r="CP51" s="129">
        <v>0</v>
      </c>
      <c r="CQ51" s="129">
        <v>0</v>
      </c>
      <c r="CR51" s="129">
        <v>0</v>
      </c>
      <c r="CS51" s="129">
        <v>0</v>
      </c>
      <c r="CT51" s="129">
        <v>-404240</v>
      </c>
      <c r="CU51" s="129">
        <v>0</v>
      </c>
      <c r="CV51" s="129">
        <v>0</v>
      </c>
      <c r="CW51" s="129">
        <v>0</v>
      </c>
      <c r="CX51" s="129">
        <v>-404240</v>
      </c>
      <c r="CY51" s="129">
        <v>0</v>
      </c>
      <c r="CZ51" s="129">
        <v>-404240</v>
      </c>
      <c r="DA51" s="129">
        <v>0</v>
      </c>
      <c r="DB51" s="129">
        <v>0</v>
      </c>
      <c r="DC51" s="129">
        <v>0</v>
      </c>
      <c r="DD51" s="129">
        <v>-126268</v>
      </c>
      <c r="DE51" s="129">
        <v>0</v>
      </c>
      <c r="DF51" s="129">
        <v>-126268</v>
      </c>
      <c r="DG51" s="129">
        <v>-1500</v>
      </c>
      <c r="DH51" s="129">
        <v>0</v>
      </c>
      <c r="DI51" s="129">
        <v>-1500</v>
      </c>
      <c r="DJ51" s="129">
        <v>-127768</v>
      </c>
      <c r="DK51" s="129">
        <v>0</v>
      </c>
      <c r="DL51" s="129">
        <v>0</v>
      </c>
      <c r="DM51" s="129">
        <v>0</v>
      </c>
      <c r="DN51" s="129">
        <v>-127768</v>
      </c>
      <c r="DO51" s="129">
        <v>0</v>
      </c>
      <c r="DP51" s="129">
        <v>-127768</v>
      </c>
      <c r="DQ51" s="129">
        <v>713854022</v>
      </c>
      <c r="DR51" s="129">
        <v>0</v>
      </c>
      <c r="DS51" s="129">
        <v>713854022</v>
      </c>
      <c r="DT51" s="662" t="s">
        <v>706</v>
      </c>
      <c r="DU51" s="324" t="s">
        <v>576</v>
      </c>
      <c r="DV51" s="669" t="s">
        <v>485</v>
      </c>
      <c r="DW51" s="529" t="s">
        <v>1258</v>
      </c>
    </row>
    <row r="52" spans="1:127" ht="12.75" x14ac:dyDescent="0.2">
      <c r="A52" s="664">
        <v>45</v>
      </c>
      <c r="B52" s="665" t="s">
        <v>709</v>
      </c>
      <c r="C52" s="666" t="s">
        <v>1201</v>
      </c>
      <c r="D52" s="667" t="s">
        <v>1228</v>
      </c>
      <c r="E52" s="668" t="s">
        <v>708</v>
      </c>
      <c r="F52" s="753" t="s">
        <v>1875</v>
      </c>
      <c r="G52" s="129">
        <v>85068413</v>
      </c>
      <c r="H52" s="129">
        <v>0</v>
      </c>
      <c r="I52" s="129">
        <v>85068413</v>
      </c>
      <c r="J52" s="793">
        <v>49.9</v>
      </c>
      <c r="K52" s="129">
        <v>42449138</v>
      </c>
      <c r="L52" s="129">
        <v>0</v>
      </c>
      <c r="M52" s="129">
        <v>2324038</v>
      </c>
      <c r="N52" s="129">
        <v>0</v>
      </c>
      <c r="O52" s="129">
        <v>44773176</v>
      </c>
      <c r="P52" s="129">
        <v>0</v>
      </c>
      <c r="Q52" s="129">
        <v>44773176</v>
      </c>
      <c r="R52" s="129">
        <v>-248613</v>
      </c>
      <c r="S52" s="129">
        <v>0</v>
      </c>
      <c r="T52" s="129">
        <v>-248613</v>
      </c>
      <c r="U52" s="129">
        <v>155052</v>
      </c>
      <c r="V52" s="129">
        <v>0</v>
      </c>
      <c r="W52" s="129">
        <v>155052</v>
      </c>
      <c r="X52" s="129">
        <v>-93561</v>
      </c>
      <c r="Y52" s="129">
        <v>0</v>
      </c>
      <c r="Z52" s="129">
        <v>0</v>
      </c>
      <c r="AA52" s="129">
        <v>0</v>
      </c>
      <c r="AB52" s="129">
        <v>-93561</v>
      </c>
      <c r="AC52" s="129">
        <v>0</v>
      </c>
      <c r="AD52" s="129">
        <v>-93561</v>
      </c>
      <c r="AE52" s="129">
        <v>93561</v>
      </c>
      <c r="AF52" s="129">
        <v>0</v>
      </c>
      <c r="AG52" s="129">
        <v>93561</v>
      </c>
      <c r="AH52" s="129">
        <v>-4654991</v>
      </c>
      <c r="AI52" s="129">
        <v>0</v>
      </c>
      <c r="AJ52" s="129">
        <v>-4654991</v>
      </c>
      <c r="AK52" s="129">
        <v>0</v>
      </c>
      <c r="AL52" s="129">
        <v>0</v>
      </c>
      <c r="AM52" s="129">
        <v>0</v>
      </c>
      <c r="AN52" s="129">
        <v>733619</v>
      </c>
      <c r="AO52" s="129">
        <v>0</v>
      </c>
      <c r="AP52" s="129">
        <v>733619</v>
      </c>
      <c r="AQ52" s="129">
        <v>-3921372</v>
      </c>
      <c r="AR52" s="129">
        <v>0</v>
      </c>
      <c r="AS52" s="129">
        <v>-3921372</v>
      </c>
      <c r="AT52" s="129">
        <v>-1845104</v>
      </c>
      <c r="AU52" s="129">
        <v>0</v>
      </c>
      <c r="AV52" s="129">
        <v>-1845104</v>
      </c>
      <c r="AW52" s="129">
        <v>-594</v>
      </c>
      <c r="AX52" s="129">
        <v>0</v>
      </c>
      <c r="AY52" s="129">
        <v>-594</v>
      </c>
      <c r="AZ52" s="129">
        <v>0</v>
      </c>
      <c r="BA52" s="129">
        <v>0</v>
      </c>
      <c r="BB52" s="129">
        <v>0</v>
      </c>
      <c r="BC52" s="129">
        <v>0</v>
      </c>
      <c r="BD52" s="129">
        <v>0</v>
      </c>
      <c r="BE52" s="129">
        <v>0</v>
      </c>
      <c r="BF52" s="129">
        <v>-5767070</v>
      </c>
      <c r="BG52" s="129">
        <v>0</v>
      </c>
      <c r="BH52" s="129">
        <v>0</v>
      </c>
      <c r="BI52" s="129">
        <v>0</v>
      </c>
      <c r="BJ52" s="129">
        <v>-5767070</v>
      </c>
      <c r="BK52" s="129">
        <v>0</v>
      </c>
      <c r="BL52" s="129">
        <v>-5767070</v>
      </c>
      <c r="BM52" s="129">
        <v>0</v>
      </c>
      <c r="BN52" s="129">
        <v>0</v>
      </c>
      <c r="BO52" s="129">
        <v>0</v>
      </c>
      <c r="BP52" s="129">
        <v>-1487108</v>
      </c>
      <c r="BQ52" s="129">
        <v>0</v>
      </c>
      <c r="BR52" s="129">
        <v>-1487108</v>
      </c>
      <c r="BS52" s="129">
        <v>-1487108</v>
      </c>
      <c r="BT52" s="129">
        <v>0</v>
      </c>
      <c r="BU52" s="129">
        <v>0</v>
      </c>
      <c r="BV52" s="129">
        <v>0</v>
      </c>
      <c r="BW52" s="129">
        <v>-1487108</v>
      </c>
      <c r="BX52" s="129">
        <v>0</v>
      </c>
      <c r="BY52" s="129">
        <v>-1487108</v>
      </c>
      <c r="BZ52" s="129">
        <v>-95896</v>
      </c>
      <c r="CA52" s="129">
        <v>0</v>
      </c>
      <c r="CB52" s="129">
        <v>-95896</v>
      </c>
      <c r="CC52" s="129">
        <v>-17884</v>
      </c>
      <c r="CD52" s="129">
        <v>0</v>
      </c>
      <c r="CE52" s="129">
        <v>-17884</v>
      </c>
      <c r="CF52" s="129">
        <v>-37</v>
      </c>
      <c r="CG52" s="129">
        <v>0</v>
      </c>
      <c r="CH52" s="129">
        <v>-37</v>
      </c>
      <c r="CI52" s="129">
        <v>0</v>
      </c>
      <c r="CJ52" s="129">
        <v>0</v>
      </c>
      <c r="CK52" s="129">
        <v>0</v>
      </c>
      <c r="CL52" s="129">
        <v>0</v>
      </c>
      <c r="CM52" s="129">
        <v>0</v>
      </c>
      <c r="CN52" s="129">
        <v>0</v>
      </c>
      <c r="CO52" s="129">
        <v>0</v>
      </c>
      <c r="CP52" s="129">
        <v>0</v>
      </c>
      <c r="CQ52" s="129">
        <v>0</v>
      </c>
      <c r="CR52" s="129">
        <v>0</v>
      </c>
      <c r="CS52" s="129">
        <v>0</v>
      </c>
      <c r="CT52" s="129">
        <v>-113817</v>
      </c>
      <c r="CU52" s="129">
        <v>0</v>
      </c>
      <c r="CV52" s="129">
        <v>0</v>
      </c>
      <c r="CW52" s="129">
        <v>0</v>
      </c>
      <c r="CX52" s="129">
        <v>-113817</v>
      </c>
      <c r="CY52" s="129">
        <v>0</v>
      </c>
      <c r="CZ52" s="129">
        <v>-113817</v>
      </c>
      <c r="DA52" s="129">
        <v>0</v>
      </c>
      <c r="DB52" s="129">
        <v>0</v>
      </c>
      <c r="DC52" s="129">
        <v>0</v>
      </c>
      <c r="DD52" s="129">
        <v>-6176</v>
      </c>
      <c r="DE52" s="129">
        <v>0</v>
      </c>
      <c r="DF52" s="129">
        <v>-6176</v>
      </c>
      <c r="DG52" s="129">
        <v>0</v>
      </c>
      <c r="DH52" s="129">
        <v>0</v>
      </c>
      <c r="DI52" s="129">
        <v>0</v>
      </c>
      <c r="DJ52" s="129">
        <v>-6176</v>
      </c>
      <c r="DK52" s="129">
        <v>0</v>
      </c>
      <c r="DL52" s="129">
        <v>0</v>
      </c>
      <c r="DM52" s="129">
        <v>0</v>
      </c>
      <c r="DN52" s="129">
        <v>-6176</v>
      </c>
      <c r="DO52" s="129">
        <v>0</v>
      </c>
      <c r="DP52" s="129">
        <v>-6176</v>
      </c>
      <c r="DQ52" s="129">
        <v>37305444</v>
      </c>
      <c r="DR52" s="129">
        <v>0</v>
      </c>
      <c r="DS52" s="129">
        <v>37305444</v>
      </c>
      <c r="DT52" s="662" t="s">
        <v>708</v>
      </c>
      <c r="DU52" s="324" t="s">
        <v>564</v>
      </c>
      <c r="DV52" s="663" t="s">
        <v>1917</v>
      </c>
      <c r="DW52" s="529" t="s">
        <v>1259</v>
      </c>
    </row>
    <row r="53" spans="1:127" ht="12.75" x14ac:dyDescent="0.2">
      <c r="A53" s="664">
        <v>46</v>
      </c>
      <c r="B53" s="665" t="s">
        <v>711</v>
      </c>
      <c r="C53" s="666" t="s">
        <v>1201</v>
      </c>
      <c r="D53" s="667" t="s">
        <v>1202</v>
      </c>
      <c r="E53" s="668" t="s">
        <v>710</v>
      </c>
      <c r="F53" s="753" t="s">
        <v>1875</v>
      </c>
      <c r="G53" s="129">
        <v>145134584</v>
      </c>
      <c r="H53" s="129">
        <v>0</v>
      </c>
      <c r="I53" s="129">
        <v>145134584</v>
      </c>
      <c r="J53" s="793">
        <v>49.9</v>
      </c>
      <c r="K53" s="129">
        <v>72422157</v>
      </c>
      <c r="L53" s="129">
        <v>0</v>
      </c>
      <c r="M53" s="129">
        <v>0</v>
      </c>
      <c r="N53" s="129">
        <v>0</v>
      </c>
      <c r="O53" s="129">
        <v>72422157</v>
      </c>
      <c r="P53" s="129">
        <v>0</v>
      </c>
      <c r="Q53" s="129">
        <v>72422157</v>
      </c>
      <c r="R53" s="129">
        <v>-226649</v>
      </c>
      <c r="S53" s="129">
        <v>0</v>
      </c>
      <c r="T53" s="129">
        <v>-226649</v>
      </c>
      <c r="U53" s="129">
        <v>1224922</v>
      </c>
      <c r="V53" s="129">
        <v>0</v>
      </c>
      <c r="W53" s="129">
        <v>1224922</v>
      </c>
      <c r="X53" s="129">
        <v>998273</v>
      </c>
      <c r="Y53" s="129">
        <v>0</v>
      </c>
      <c r="Z53" s="129">
        <v>0</v>
      </c>
      <c r="AA53" s="129">
        <v>0</v>
      </c>
      <c r="AB53" s="129">
        <v>998273</v>
      </c>
      <c r="AC53" s="129">
        <v>0</v>
      </c>
      <c r="AD53" s="129">
        <v>998273</v>
      </c>
      <c r="AE53" s="129">
        <v>-998273</v>
      </c>
      <c r="AF53" s="129">
        <v>0</v>
      </c>
      <c r="AG53" s="129">
        <v>-998273</v>
      </c>
      <c r="AH53" s="129">
        <v>-6285235</v>
      </c>
      <c r="AI53" s="129">
        <v>0</v>
      </c>
      <c r="AJ53" s="129">
        <v>-6285235</v>
      </c>
      <c r="AK53" s="129">
        <v>0</v>
      </c>
      <c r="AL53" s="129">
        <v>0</v>
      </c>
      <c r="AM53" s="129">
        <v>0</v>
      </c>
      <c r="AN53" s="129">
        <v>1340003</v>
      </c>
      <c r="AO53" s="129">
        <v>0</v>
      </c>
      <c r="AP53" s="129">
        <v>1340003</v>
      </c>
      <c r="AQ53" s="129">
        <v>-4945232</v>
      </c>
      <c r="AR53" s="129">
        <v>0</v>
      </c>
      <c r="AS53" s="129">
        <v>-4945232</v>
      </c>
      <c r="AT53" s="129">
        <v>-9292607</v>
      </c>
      <c r="AU53" s="129">
        <v>0</v>
      </c>
      <c r="AV53" s="129">
        <v>-9292607</v>
      </c>
      <c r="AW53" s="129">
        <v>-45567</v>
      </c>
      <c r="AX53" s="129">
        <v>0</v>
      </c>
      <c r="AY53" s="129">
        <v>-45567</v>
      </c>
      <c r="AZ53" s="129">
        <v>-12096</v>
      </c>
      <c r="BA53" s="129">
        <v>0</v>
      </c>
      <c r="BB53" s="129">
        <v>-12096</v>
      </c>
      <c r="BC53" s="129">
        <v>0</v>
      </c>
      <c r="BD53" s="129">
        <v>0</v>
      </c>
      <c r="BE53" s="129">
        <v>0</v>
      </c>
      <c r="BF53" s="129">
        <v>-14295502</v>
      </c>
      <c r="BG53" s="129">
        <v>0</v>
      </c>
      <c r="BH53" s="129">
        <v>0</v>
      </c>
      <c r="BI53" s="129">
        <v>0</v>
      </c>
      <c r="BJ53" s="129">
        <v>-14295502</v>
      </c>
      <c r="BK53" s="129">
        <v>0</v>
      </c>
      <c r="BL53" s="129">
        <v>-14295502</v>
      </c>
      <c r="BM53" s="129">
        <v>0</v>
      </c>
      <c r="BN53" s="129">
        <v>0</v>
      </c>
      <c r="BO53" s="129">
        <v>0</v>
      </c>
      <c r="BP53" s="129">
        <v>-1662420</v>
      </c>
      <c r="BQ53" s="129">
        <v>0</v>
      </c>
      <c r="BR53" s="129">
        <v>-1662420</v>
      </c>
      <c r="BS53" s="129">
        <v>-1662420</v>
      </c>
      <c r="BT53" s="129">
        <v>0</v>
      </c>
      <c r="BU53" s="129">
        <v>0</v>
      </c>
      <c r="BV53" s="129">
        <v>0</v>
      </c>
      <c r="BW53" s="129">
        <v>-1662420</v>
      </c>
      <c r="BX53" s="129">
        <v>0</v>
      </c>
      <c r="BY53" s="129">
        <v>-1662420</v>
      </c>
      <c r="BZ53" s="129">
        <v>-280328</v>
      </c>
      <c r="CA53" s="129">
        <v>0</v>
      </c>
      <c r="CB53" s="129">
        <v>-280328</v>
      </c>
      <c r="CC53" s="129">
        <v>-111571</v>
      </c>
      <c r="CD53" s="129">
        <v>0</v>
      </c>
      <c r="CE53" s="129">
        <v>-111571</v>
      </c>
      <c r="CF53" s="129">
        <v>-753</v>
      </c>
      <c r="CG53" s="129">
        <v>0</v>
      </c>
      <c r="CH53" s="129">
        <v>-753</v>
      </c>
      <c r="CI53" s="129">
        <v>-1040</v>
      </c>
      <c r="CJ53" s="129">
        <v>0</v>
      </c>
      <c r="CK53" s="129">
        <v>-1040</v>
      </c>
      <c r="CL53" s="129">
        <v>0</v>
      </c>
      <c r="CM53" s="129">
        <v>0</v>
      </c>
      <c r="CN53" s="129">
        <v>0</v>
      </c>
      <c r="CO53" s="129">
        <v>0</v>
      </c>
      <c r="CP53" s="129">
        <v>0</v>
      </c>
      <c r="CQ53" s="129">
        <v>0</v>
      </c>
      <c r="CR53" s="129">
        <v>0</v>
      </c>
      <c r="CS53" s="129">
        <v>0</v>
      </c>
      <c r="CT53" s="129">
        <v>-393692</v>
      </c>
      <c r="CU53" s="129">
        <v>0</v>
      </c>
      <c r="CV53" s="129">
        <v>0</v>
      </c>
      <c r="CW53" s="129">
        <v>0</v>
      </c>
      <c r="CX53" s="129">
        <v>-393692</v>
      </c>
      <c r="CY53" s="129">
        <v>0</v>
      </c>
      <c r="CZ53" s="129">
        <v>-393692</v>
      </c>
      <c r="DA53" s="129">
        <v>-12096</v>
      </c>
      <c r="DB53" s="129">
        <v>0</v>
      </c>
      <c r="DC53" s="129">
        <v>-12096</v>
      </c>
      <c r="DD53" s="129">
        <v>-69929</v>
      </c>
      <c r="DE53" s="129">
        <v>0</v>
      </c>
      <c r="DF53" s="129">
        <v>-69929</v>
      </c>
      <c r="DG53" s="129">
        <v>0</v>
      </c>
      <c r="DH53" s="129">
        <v>0</v>
      </c>
      <c r="DI53" s="129">
        <v>0</v>
      </c>
      <c r="DJ53" s="129">
        <v>-82025</v>
      </c>
      <c r="DK53" s="129">
        <v>0</v>
      </c>
      <c r="DL53" s="129">
        <v>0</v>
      </c>
      <c r="DM53" s="129">
        <v>0</v>
      </c>
      <c r="DN53" s="129">
        <v>-82025</v>
      </c>
      <c r="DO53" s="129">
        <v>0</v>
      </c>
      <c r="DP53" s="129">
        <v>-82025</v>
      </c>
      <c r="DQ53" s="129">
        <v>56986791</v>
      </c>
      <c r="DR53" s="129">
        <v>0</v>
      </c>
      <c r="DS53" s="129">
        <v>56986791</v>
      </c>
      <c r="DT53" s="662" t="s">
        <v>710</v>
      </c>
      <c r="DU53" s="324" t="s">
        <v>543</v>
      </c>
      <c r="DV53" s="663" t="s">
        <v>542</v>
      </c>
      <c r="DW53" s="529" t="s">
        <v>1260</v>
      </c>
    </row>
    <row r="54" spans="1:127" ht="14.25" x14ac:dyDescent="0.2">
      <c r="A54" s="664">
        <v>47</v>
      </c>
      <c r="B54" s="665" t="s">
        <v>713</v>
      </c>
      <c r="C54" s="666" t="s">
        <v>1201</v>
      </c>
      <c r="D54" s="667" t="s">
        <v>1204</v>
      </c>
      <c r="E54" s="668" t="s">
        <v>1863</v>
      </c>
      <c r="F54" s="753" t="s">
        <v>1895</v>
      </c>
      <c r="G54" s="129">
        <v>105902783</v>
      </c>
      <c r="H54" s="129">
        <v>4628915</v>
      </c>
      <c r="I54" s="129">
        <v>110531698</v>
      </c>
      <c r="J54" s="793">
        <v>49.9</v>
      </c>
      <c r="K54" s="129">
        <v>52845489</v>
      </c>
      <c r="L54" s="129">
        <v>2309829</v>
      </c>
      <c r="M54" s="129">
        <v>5472</v>
      </c>
      <c r="N54" s="129">
        <v>0</v>
      </c>
      <c r="O54" s="129">
        <v>52850961</v>
      </c>
      <c r="P54" s="129">
        <v>2309829</v>
      </c>
      <c r="Q54" s="129">
        <v>55160790</v>
      </c>
      <c r="R54" s="129">
        <v>-104015</v>
      </c>
      <c r="S54" s="129">
        <v>-228</v>
      </c>
      <c r="T54" s="129">
        <v>-104243</v>
      </c>
      <c r="U54" s="129">
        <v>372467</v>
      </c>
      <c r="V54" s="129">
        <v>0</v>
      </c>
      <c r="W54" s="129">
        <v>372467</v>
      </c>
      <c r="X54" s="129">
        <v>268452</v>
      </c>
      <c r="Y54" s="129">
        <v>-228</v>
      </c>
      <c r="Z54" s="129">
        <v>0</v>
      </c>
      <c r="AA54" s="129">
        <v>0</v>
      </c>
      <c r="AB54" s="129">
        <v>268452</v>
      </c>
      <c r="AC54" s="129">
        <v>-228</v>
      </c>
      <c r="AD54" s="129">
        <v>268224</v>
      </c>
      <c r="AE54" s="129">
        <v>-268452</v>
      </c>
      <c r="AF54" s="129">
        <v>228</v>
      </c>
      <c r="AG54" s="129">
        <v>-268224</v>
      </c>
      <c r="AH54" s="129">
        <v>-4742045</v>
      </c>
      <c r="AI54" s="129">
        <v>-138501</v>
      </c>
      <c r="AJ54" s="129">
        <v>-4880546</v>
      </c>
      <c r="AK54" s="129">
        <v>-26214</v>
      </c>
      <c r="AL54" s="129">
        <v>-3753</v>
      </c>
      <c r="AM54" s="129">
        <v>-29967</v>
      </c>
      <c r="AN54" s="129">
        <v>937625</v>
      </c>
      <c r="AO54" s="129">
        <v>45465</v>
      </c>
      <c r="AP54" s="129">
        <v>983090</v>
      </c>
      <c r="AQ54" s="129">
        <v>-3804420</v>
      </c>
      <c r="AR54" s="129">
        <v>-93036</v>
      </c>
      <c r="AS54" s="129">
        <v>-3897456</v>
      </c>
      <c r="AT54" s="129">
        <v>-3478682</v>
      </c>
      <c r="AU54" s="129">
        <v>-3277</v>
      </c>
      <c r="AV54" s="129">
        <v>-3481959</v>
      </c>
      <c r="AW54" s="129">
        <v>-82422</v>
      </c>
      <c r="AX54" s="129">
        <v>0</v>
      </c>
      <c r="AY54" s="129">
        <v>-82422</v>
      </c>
      <c r="AZ54" s="129">
        <v>-26322</v>
      </c>
      <c r="BA54" s="129">
        <v>0</v>
      </c>
      <c r="BB54" s="129">
        <v>-26322</v>
      </c>
      <c r="BC54" s="129">
        <v>0</v>
      </c>
      <c r="BD54" s="129">
        <v>0</v>
      </c>
      <c r="BE54" s="129">
        <v>0</v>
      </c>
      <c r="BF54" s="129">
        <v>-7391846</v>
      </c>
      <c r="BG54" s="129">
        <v>-96313</v>
      </c>
      <c r="BH54" s="129">
        <v>-4895</v>
      </c>
      <c r="BI54" s="129">
        <v>0</v>
      </c>
      <c r="BJ54" s="129">
        <v>-7396741</v>
      </c>
      <c r="BK54" s="129">
        <v>-96313</v>
      </c>
      <c r="BL54" s="129">
        <v>-7493054</v>
      </c>
      <c r="BM54" s="129">
        <v>0</v>
      </c>
      <c r="BN54" s="129">
        <v>0</v>
      </c>
      <c r="BO54" s="129">
        <v>0</v>
      </c>
      <c r="BP54" s="129">
        <v>-1907228</v>
      </c>
      <c r="BQ54" s="129">
        <v>-51385</v>
      </c>
      <c r="BR54" s="129">
        <v>-1958613</v>
      </c>
      <c r="BS54" s="129">
        <v>-1907228</v>
      </c>
      <c r="BT54" s="129">
        <v>-51385</v>
      </c>
      <c r="BU54" s="129">
        <v>-386665</v>
      </c>
      <c r="BV54" s="129">
        <v>-130000</v>
      </c>
      <c r="BW54" s="129">
        <v>-2293893</v>
      </c>
      <c r="BX54" s="129">
        <v>-181385</v>
      </c>
      <c r="BY54" s="129">
        <v>-2475278</v>
      </c>
      <c r="BZ54" s="129">
        <v>-53913</v>
      </c>
      <c r="CA54" s="129">
        <v>0</v>
      </c>
      <c r="CB54" s="129">
        <v>-53913</v>
      </c>
      <c r="CC54" s="129">
        <v>-33378</v>
      </c>
      <c r="CD54" s="129">
        <v>0</v>
      </c>
      <c r="CE54" s="129">
        <v>-33378</v>
      </c>
      <c r="CF54" s="129">
        <v>-2967</v>
      </c>
      <c r="CG54" s="129">
        <v>0</v>
      </c>
      <c r="CH54" s="129">
        <v>-2967</v>
      </c>
      <c r="CI54" s="129">
        <v>-3844</v>
      </c>
      <c r="CJ54" s="129">
        <v>0</v>
      </c>
      <c r="CK54" s="129">
        <v>-3844</v>
      </c>
      <c r="CL54" s="129">
        <v>-848</v>
      </c>
      <c r="CM54" s="129">
        <v>0</v>
      </c>
      <c r="CN54" s="129">
        <v>-848</v>
      </c>
      <c r="CO54" s="129">
        <v>0</v>
      </c>
      <c r="CP54" s="129">
        <v>-307797</v>
      </c>
      <c r="CQ54" s="129">
        <v>-307797</v>
      </c>
      <c r="CR54" s="129">
        <v>-307797</v>
      </c>
      <c r="CS54" s="129">
        <v>0</v>
      </c>
      <c r="CT54" s="129">
        <v>-94950</v>
      </c>
      <c r="CU54" s="129">
        <v>-307797</v>
      </c>
      <c r="CV54" s="129">
        <v>0</v>
      </c>
      <c r="CW54" s="129">
        <v>0</v>
      </c>
      <c r="CX54" s="129">
        <v>-94950</v>
      </c>
      <c r="CY54" s="129">
        <v>-307797</v>
      </c>
      <c r="CZ54" s="129">
        <v>-402747</v>
      </c>
      <c r="DA54" s="129">
        <v>-22478</v>
      </c>
      <c r="DB54" s="129">
        <v>0</v>
      </c>
      <c r="DC54" s="129">
        <v>-22478</v>
      </c>
      <c r="DD54" s="129">
        <v>-10000</v>
      </c>
      <c r="DE54" s="129">
        <v>0</v>
      </c>
      <c r="DF54" s="129">
        <v>-10000</v>
      </c>
      <c r="DG54" s="129">
        <v>-1500</v>
      </c>
      <c r="DH54" s="129">
        <v>0</v>
      </c>
      <c r="DI54" s="129">
        <v>-1500</v>
      </c>
      <c r="DJ54" s="129">
        <v>-33978</v>
      </c>
      <c r="DK54" s="129">
        <v>0</v>
      </c>
      <c r="DL54" s="129">
        <v>0</v>
      </c>
      <c r="DM54" s="129">
        <v>0</v>
      </c>
      <c r="DN54" s="129">
        <v>-33978</v>
      </c>
      <c r="DO54" s="129">
        <v>0</v>
      </c>
      <c r="DP54" s="129">
        <v>-33978</v>
      </c>
      <c r="DQ54" s="129">
        <v>43299851</v>
      </c>
      <c r="DR54" s="129">
        <v>1724106</v>
      </c>
      <c r="DS54" s="129">
        <v>45023957</v>
      </c>
      <c r="DT54" s="662" t="s">
        <v>712</v>
      </c>
      <c r="DU54" s="324" t="s">
        <v>513</v>
      </c>
      <c r="DV54" s="663" t="s">
        <v>512</v>
      </c>
      <c r="DW54" s="529" t="s">
        <v>1261</v>
      </c>
    </row>
    <row r="55" spans="1:127" ht="12.75" x14ac:dyDescent="0.2">
      <c r="A55" s="664">
        <v>48</v>
      </c>
      <c r="B55" s="665" t="s">
        <v>715</v>
      </c>
      <c r="C55" s="666" t="s">
        <v>1201</v>
      </c>
      <c r="D55" s="667" t="s">
        <v>1211</v>
      </c>
      <c r="E55" s="668" t="s">
        <v>714</v>
      </c>
      <c r="F55" s="753" t="s">
        <v>1875</v>
      </c>
      <c r="G55" s="129">
        <v>42032151</v>
      </c>
      <c r="H55" s="129">
        <v>0</v>
      </c>
      <c r="I55" s="129">
        <v>42032151</v>
      </c>
      <c r="J55" s="793">
        <v>49.9</v>
      </c>
      <c r="K55" s="129">
        <v>20974043</v>
      </c>
      <c r="L55" s="129">
        <v>0</v>
      </c>
      <c r="M55" s="129">
        <v>0</v>
      </c>
      <c r="N55" s="129">
        <v>0</v>
      </c>
      <c r="O55" s="129">
        <v>20974043</v>
      </c>
      <c r="P55" s="129">
        <v>0</v>
      </c>
      <c r="Q55" s="129">
        <v>20974043</v>
      </c>
      <c r="R55" s="129">
        <v>-28960</v>
      </c>
      <c r="S55" s="129">
        <v>0</v>
      </c>
      <c r="T55" s="129">
        <v>-28960</v>
      </c>
      <c r="U55" s="129">
        <v>15893</v>
      </c>
      <c r="V55" s="129">
        <v>0</v>
      </c>
      <c r="W55" s="129">
        <v>15893</v>
      </c>
      <c r="X55" s="129">
        <v>-13067</v>
      </c>
      <c r="Y55" s="129">
        <v>0</v>
      </c>
      <c r="Z55" s="129">
        <v>0</v>
      </c>
      <c r="AA55" s="129">
        <v>0</v>
      </c>
      <c r="AB55" s="129">
        <v>-13067</v>
      </c>
      <c r="AC55" s="129">
        <v>0</v>
      </c>
      <c r="AD55" s="129">
        <v>-13067</v>
      </c>
      <c r="AE55" s="129">
        <v>13067</v>
      </c>
      <c r="AF55" s="129">
        <v>0</v>
      </c>
      <c r="AG55" s="129">
        <v>13067</v>
      </c>
      <c r="AH55" s="129">
        <v>-3494034</v>
      </c>
      <c r="AI55" s="129">
        <v>0</v>
      </c>
      <c r="AJ55" s="129">
        <v>-3494034</v>
      </c>
      <c r="AK55" s="129">
        <v>-11374</v>
      </c>
      <c r="AL55" s="129">
        <v>0</v>
      </c>
      <c r="AM55" s="129">
        <v>-11374</v>
      </c>
      <c r="AN55" s="129">
        <v>328167</v>
      </c>
      <c r="AO55" s="129">
        <v>0</v>
      </c>
      <c r="AP55" s="129">
        <v>328167</v>
      </c>
      <c r="AQ55" s="129">
        <v>-3165867</v>
      </c>
      <c r="AR55" s="129">
        <v>0</v>
      </c>
      <c r="AS55" s="129">
        <v>-3165867</v>
      </c>
      <c r="AT55" s="129">
        <v>-1824026</v>
      </c>
      <c r="AU55" s="129">
        <v>0</v>
      </c>
      <c r="AV55" s="129">
        <v>-1824026</v>
      </c>
      <c r="AW55" s="129">
        <v>-10691</v>
      </c>
      <c r="AX55" s="129">
        <v>0</v>
      </c>
      <c r="AY55" s="129">
        <v>-10691</v>
      </c>
      <c r="AZ55" s="129">
        <v>0</v>
      </c>
      <c r="BA55" s="129">
        <v>0</v>
      </c>
      <c r="BB55" s="129">
        <v>0</v>
      </c>
      <c r="BC55" s="129">
        <v>0</v>
      </c>
      <c r="BD55" s="129">
        <v>0</v>
      </c>
      <c r="BE55" s="129">
        <v>0</v>
      </c>
      <c r="BF55" s="129">
        <v>-5000584</v>
      </c>
      <c r="BG55" s="129">
        <v>0</v>
      </c>
      <c r="BH55" s="129">
        <v>0</v>
      </c>
      <c r="BI55" s="129">
        <v>0</v>
      </c>
      <c r="BJ55" s="129">
        <v>-5000584</v>
      </c>
      <c r="BK55" s="129">
        <v>0</v>
      </c>
      <c r="BL55" s="129">
        <v>-5000584</v>
      </c>
      <c r="BM55" s="129">
        <v>-1000</v>
      </c>
      <c r="BN55" s="129">
        <v>0</v>
      </c>
      <c r="BO55" s="129">
        <v>-1000</v>
      </c>
      <c r="BP55" s="129">
        <v>-199499</v>
      </c>
      <c r="BQ55" s="129">
        <v>0</v>
      </c>
      <c r="BR55" s="129">
        <v>-199499</v>
      </c>
      <c r="BS55" s="129">
        <v>-200499</v>
      </c>
      <c r="BT55" s="129">
        <v>0</v>
      </c>
      <c r="BU55" s="129">
        <v>0</v>
      </c>
      <c r="BV55" s="129">
        <v>0</v>
      </c>
      <c r="BW55" s="129">
        <v>-200499</v>
      </c>
      <c r="BX55" s="129">
        <v>0</v>
      </c>
      <c r="BY55" s="129">
        <v>-200499</v>
      </c>
      <c r="BZ55" s="129">
        <v>-67108</v>
      </c>
      <c r="CA55" s="129">
        <v>0</v>
      </c>
      <c r="CB55" s="129">
        <v>-67108</v>
      </c>
      <c r="CC55" s="129">
        <v>-51267</v>
      </c>
      <c r="CD55" s="129">
        <v>0</v>
      </c>
      <c r="CE55" s="129">
        <v>-51267</v>
      </c>
      <c r="CF55" s="129">
        <v>-2673</v>
      </c>
      <c r="CG55" s="129">
        <v>0</v>
      </c>
      <c r="CH55" s="129">
        <v>-2673</v>
      </c>
      <c r="CI55" s="129">
        <v>0</v>
      </c>
      <c r="CJ55" s="129">
        <v>0</v>
      </c>
      <c r="CK55" s="129">
        <v>0</v>
      </c>
      <c r="CL55" s="129">
        <v>0</v>
      </c>
      <c r="CM55" s="129">
        <v>0</v>
      </c>
      <c r="CN55" s="129">
        <v>0</v>
      </c>
      <c r="CO55" s="129">
        <v>0</v>
      </c>
      <c r="CP55" s="129">
        <v>0</v>
      </c>
      <c r="CQ55" s="129">
        <v>0</v>
      </c>
      <c r="CR55" s="129">
        <v>0</v>
      </c>
      <c r="CS55" s="129">
        <v>0</v>
      </c>
      <c r="CT55" s="129">
        <v>-121048</v>
      </c>
      <c r="CU55" s="129">
        <v>0</v>
      </c>
      <c r="CV55" s="129">
        <v>-1000</v>
      </c>
      <c r="CW55" s="129">
        <v>0</v>
      </c>
      <c r="CX55" s="129">
        <v>-122048</v>
      </c>
      <c r="CY55" s="129">
        <v>0</v>
      </c>
      <c r="CZ55" s="129">
        <v>-122048</v>
      </c>
      <c r="DA55" s="129">
        <v>0</v>
      </c>
      <c r="DB55" s="129">
        <v>0</v>
      </c>
      <c r="DC55" s="129">
        <v>0</v>
      </c>
      <c r="DD55" s="129">
        <v>-3898</v>
      </c>
      <c r="DE55" s="129">
        <v>0</v>
      </c>
      <c r="DF55" s="129">
        <v>-3898</v>
      </c>
      <c r="DG55" s="129">
        <v>0</v>
      </c>
      <c r="DH55" s="129">
        <v>0</v>
      </c>
      <c r="DI55" s="129">
        <v>0</v>
      </c>
      <c r="DJ55" s="129">
        <v>-3898</v>
      </c>
      <c r="DK55" s="129">
        <v>0</v>
      </c>
      <c r="DL55" s="129">
        <v>0</v>
      </c>
      <c r="DM55" s="129">
        <v>0</v>
      </c>
      <c r="DN55" s="129">
        <v>-3898</v>
      </c>
      <c r="DO55" s="129">
        <v>0</v>
      </c>
      <c r="DP55" s="129">
        <v>-3898</v>
      </c>
      <c r="DQ55" s="129">
        <v>15633947</v>
      </c>
      <c r="DR55" s="129">
        <v>0</v>
      </c>
      <c r="DS55" s="129">
        <v>15633947</v>
      </c>
      <c r="DT55" s="662" t="s">
        <v>714</v>
      </c>
      <c r="DU55" s="324" t="s">
        <v>528</v>
      </c>
      <c r="DV55" s="663" t="s">
        <v>1913</v>
      </c>
      <c r="DW55" s="529" t="s">
        <v>1262</v>
      </c>
    </row>
    <row r="56" spans="1:127" ht="14.25" x14ac:dyDescent="0.2">
      <c r="A56" s="664">
        <v>49</v>
      </c>
      <c r="B56" s="665" t="s">
        <v>717</v>
      </c>
      <c r="C56" s="666" t="s">
        <v>486</v>
      </c>
      <c r="D56" s="667" t="s">
        <v>1211</v>
      </c>
      <c r="E56" s="668" t="s">
        <v>1867</v>
      </c>
      <c r="F56" s="753" t="s">
        <v>1873</v>
      </c>
      <c r="G56" s="129">
        <v>231727721</v>
      </c>
      <c r="H56" s="129">
        <v>0</v>
      </c>
      <c r="I56" s="129">
        <v>231727721</v>
      </c>
      <c r="J56" s="793">
        <v>49.9</v>
      </c>
      <c r="K56" s="129">
        <v>115632133</v>
      </c>
      <c r="L56" s="129">
        <v>0</v>
      </c>
      <c r="M56" s="129">
        <v>17870000</v>
      </c>
      <c r="N56" s="129">
        <v>0</v>
      </c>
      <c r="O56" s="129">
        <v>133502133</v>
      </c>
      <c r="P56" s="129">
        <v>0</v>
      </c>
      <c r="Q56" s="129">
        <v>133502133</v>
      </c>
      <c r="R56" s="129">
        <v>-155842</v>
      </c>
      <c r="S56" s="129">
        <v>0</v>
      </c>
      <c r="T56" s="129">
        <v>-155842</v>
      </c>
      <c r="U56" s="129">
        <v>187091</v>
      </c>
      <c r="V56" s="129">
        <v>0</v>
      </c>
      <c r="W56" s="129">
        <v>187091</v>
      </c>
      <c r="X56" s="129">
        <v>31249</v>
      </c>
      <c r="Y56" s="129">
        <v>0</v>
      </c>
      <c r="Z56" s="129">
        <v>-100</v>
      </c>
      <c r="AA56" s="129">
        <v>0</v>
      </c>
      <c r="AB56" s="129">
        <v>31149</v>
      </c>
      <c r="AC56" s="129">
        <v>0</v>
      </c>
      <c r="AD56" s="129">
        <v>31149</v>
      </c>
      <c r="AE56" s="129">
        <v>-31149</v>
      </c>
      <c r="AF56" s="129">
        <v>0</v>
      </c>
      <c r="AG56" s="129">
        <v>-31149</v>
      </c>
      <c r="AH56" s="129">
        <v>-8927328</v>
      </c>
      <c r="AI56" s="129">
        <v>0</v>
      </c>
      <c r="AJ56" s="129">
        <v>-8927328</v>
      </c>
      <c r="AK56" s="129">
        <v>0</v>
      </c>
      <c r="AL56" s="129">
        <v>0</v>
      </c>
      <c r="AM56" s="129">
        <v>0</v>
      </c>
      <c r="AN56" s="129">
        <v>2200072</v>
      </c>
      <c r="AO56" s="129">
        <v>0</v>
      </c>
      <c r="AP56" s="129">
        <v>2200072</v>
      </c>
      <c r="AQ56" s="129">
        <v>-6727256</v>
      </c>
      <c r="AR56" s="129">
        <v>0</v>
      </c>
      <c r="AS56" s="129">
        <v>-6727256</v>
      </c>
      <c r="AT56" s="129">
        <v>-8494815</v>
      </c>
      <c r="AU56" s="129">
        <v>0</v>
      </c>
      <c r="AV56" s="129">
        <v>-8494815</v>
      </c>
      <c r="AW56" s="129">
        <v>-73728</v>
      </c>
      <c r="AX56" s="129">
        <v>0</v>
      </c>
      <c r="AY56" s="129">
        <v>-73728</v>
      </c>
      <c r="AZ56" s="129">
        <v>-18522</v>
      </c>
      <c r="BA56" s="129">
        <v>0</v>
      </c>
      <c r="BB56" s="129">
        <v>-18522</v>
      </c>
      <c r="BC56" s="129">
        <v>0</v>
      </c>
      <c r="BD56" s="129">
        <v>0</v>
      </c>
      <c r="BE56" s="129">
        <v>0</v>
      </c>
      <c r="BF56" s="129">
        <v>-15314321</v>
      </c>
      <c r="BG56" s="129">
        <v>0</v>
      </c>
      <c r="BH56" s="129">
        <v>0</v>
      </c>
      <c r="BI56" s="129">
        <v>0</v>
      </c>
      <c r="BJ56" s="129">
        <v>-15314321</v>
      </c>
      <c r="BK56" s="129">
        <v>0</v>
      </c>
      <c r="BL56" s="129">
        <v>-15314321</v>
      </c>
      <c r="BM56" s="129">
        <v>-50000</v>
      </c>
      <c r="BN56" s="129">
        <v>0</v>
      </c>
      <c r="BO56" s="129">
        <v>-50000</v>
      </c>
      <c r="BP56" s="129">
        <v>-2664586</v>
      </c>
      <c r="BQ56" s="129">
        <v>0</v>
      </c>
      <c r="BR56" s="129">
        <v>-2664586</v>
      </c>
      <c r="BS56" s="129">
        <v>-2714586</v>
      </c>
      <c r="BT56" s="129">
        <v>0</v>
      </c>
      <c r="BU56" s="129">
        <v>0</v>
      </c>
      <c r="BV56" s="129">
        <v>0</v>
      </c>
      <c r="BW56" s="129">
        <v>-2714586</v>
      </c>
      <c r="BX56" s="129">
        <v>0</v>
      </c>
      <c r="BY56" s="129">
        <v>-2714586</v>
      </c>
      <c r="BZ56" s="129">
        <v>-323157</v>
      </c>
      <c r="CA56" s="129">
        <v>0</v>
      </c>
      <c r="CB56" s="129">
        <v>-323157</v>
      </c>
      <c r="CC56" s="129">
        <v>-209980</v>
      </c>
      <c r="CD56" s="129">
        <v>0</v>
      </c>
      <c r="CE56" s="129">
        <v>-209980</v>
      </c>
      <c r="CF56" s="129">
        <v>-5387</v>
      </c>
      <c r="CG56" s="129">
        <v>0</v>
      </c>
      <c r="CH56" s="129">
        <v>-5387</v>
      </c>
      <c r="CI56" s="129">
        <v>0</v>
      </c>
      <c r="CJ56" s="129">
        <v>0</v>
      </c>
      <c r="CK56" s="129">
        <v>0</v>
      </c>
      <c r="CL56" s="129">
        <v>0</v>
      </c>
      <c r="CM56" s="129">
        <v>0</v>
      </c>
      <c r="CN56" s="129">
        <v>0</v>
      </c>
      <c r="CO56" s="129">
        <v>0</v>
      </c>
      <c r="CP56" s="129">
        <v>0</v>
      </c>
      <c r="CQ56" s="129">
        <v>0</v>
      </c>
      <c r="CR56" s="129">
        <v>0</v>
      </c>
      <c r="CS56" s="129">
        <v>0</v>
      </c>
      <c r="CT56" s="129">
        <v>-538524</v>
      </c>
      <c r="CU56" s="129">
        <v>0</v>
      </c>
      <c r="CV56" s="129">
        <v>0</v>
      </c>
      <c r="CW56" s="129">
        <v>0</v>
      </c>
      <c r="CX56" s="129">
        <v>-538524</v>
      </c>
      <c r="CY56" s="129">
        <v>0</v>
      </c>
      <c r="CZ56" s="129">
        <v>-538524</v>
      </c>
      <c r="DA56" s="129">
        <v>-9357</v>
      </c>
      <c r="DB56" s="129">
        <v>0</v>
      </c>
      <c r="DC56" s="129">
        <v>-9357</v>
      </c>
      <c r="DD56" s="129">
        <v>-21076</v>
      </c>
      <c r="DE56" s="129">
        <v>0</v>
      </c>
      <c r="DF56" s="129">
        <v>-21076</v>
      </c>
      <c r="DG56" s="129">
        <v>0</v>
      </c>
      <c r="DH56" s="129">
        <v>0</v>
      </c>
      <c r="DI56" s="129">
        <v>0</v>
      </c>
      <c r="DJ56" s="129">
        <v>-30433</v>
      </c>
      <c r="DK56" s="129">
        <v>0</v>
      </c>
      <c r="DL56" s="129">
        <v>0</v>
      </c>
      <c r="DM56" s="129">
        <v>0</v>
      </c>
      <c r="DN56" s="129">
        <v>-30433</v>
      </c>
      <c r="DO56" s="129">
        <v>0</v>
      </c>
      <c r="DP56" s="129">
        <v>-30433</v>
      </c>
      <c r="DQ56" s="129">
        <v>114935418</v>
      </c>
      <c r="DR56" s="129">
        <v>0</v>
      </c>
      <c r="DS56" s="129">
        <v>114935418</v>
      </c>
      <c r="DT56" s="662" t="s">
        <v>716</v>
      </c>
      <c r="DU56" s="324" t="s">
        <v>486</v>
      </c>
      <c r="DV56" s="663" t="s">
        <v>492</v>
      </c>
      <c r="DW56" s="529" t="s">
        <v>1263</v>
      </c>
    </row>
    <row r="57" spans="1:127" ht="12.75" x14ac:dyDescent="0.2">
      <c r="A57" s="664">
        <v>50</v>
      </c>
      <c r="B57" s="665" t="s">
        <v>719</v>
      </c>
      <c r="C57" s="666" t="s">
        <v>1201</v>
      </c>
      <c r="D57" s="667" t="s">
        <v>1206</v>
      </c>
      <c r="E57" s="668" t="s">
        <v>718</v>
      </c>
      <c r="F57" s="753" t="s">
        <v>1875</v>
      </c>
      <c r="G57" s="129">
        <v>129170516</v>
      </c>
      <c r="H57" s="129">
        <v>1715000</v>
      </c>
      <c r="I57" s="129">
        <v>130885516</v>
      </c>
      <c r="J57" s="793">
        <v>49.9</v>
      </c>
      <c r="K57" s="129">
        <v>64456087</v>
      </c>
      <c r="L57" s="129">
        <v>855785</v>
      </c>
      <c r="M57" s="129">
        <v>0</v>
      </c>
      <c r="N57" s="129">
        <v>341113</v>
      </c>
      <c r="O57" s="129">
        <v>64456087</v>
      </c>
      <c r="P57" s="129">
        <v>1196898</v>
      </c>
      <c r="Q57" s="129">
        <v>65652985</v>
      </c>
      <c r="R57" s="129">
        <v>-203757</v>
      </c>
      <c r="S57" s="129">
        <v>0</v>
      </c>
      <c r="T57" s="129">
        <v>-203757</v>
      </c>
      <c r="U57" s="129">
        <v>89199</v>
      </c>
      <c r="V57" s="129">
        <v>0</v>
      </c>
      <c r="W57" s="129">
        <v>89199</v>
      </c>
      <c r="X57" s="129">
        <v>-114558</v>
      </c>
      <c r="Y57" s="129">
        <v>0</v>
      </c>
      <c r="Z57" s="129">
        <v>0</v>
      </c>
      <c r="AA57" s="129">
        <v>0</v>
      </c>
      <c r="AB57" s="129">
        <v>-114558</v>
      </c>
      <c r="AC57" s="129">
        <v>0</v>
      </c>
      <c r="AD57" s="129">
        <v>-114558</v>
      </c>
      <c r="AE57" s="129">
        <v>114558</v>
      </c>
      <c r="AF57" s="129">
        <v>0</v>
      </c>
      <c r="AG57" s="129">
        <v>114558</v>
      </c>
      <c r="AH57" s="129">
        <v>-6371103</v>
      </c>
      <c r="AI57" s="129">
        <v>0</v>
      </c>
      <c r="AJ57" s="129">
        <v>-6371103</v>
      </c>
      <c r="AK57" s="129">
        <v>-4746</v>
      </c>
      <c r="AL57" s="129">
        <v>0</v>
      </c>
      <c r="AM57" s="129">
        <v>-4746</v>
      </c>
      <c r="AN57" s="129">
        <v>1142035</v>
      </c>
      <c r="AO57" s="129">
        <v>31182</v>
      </c>
      <c r="AP57" s="129">
        <v>1173217</v>
      </c>
      <c r="AQ57" s="129">
        <v>-5229068</v>
      </c>
      <c r="AR57" s="129">
        <v>31182</v>
      </c>
      <c r="AS57" s="129">
        <v>-5197886</v>
      </c>
      <c r="AT57" s="129">
        <v>-7408001</v>
      </c>
      <c r="AU57" s="129">
        <v>0</v>
      </c>
      <c r="AV57" s="129">
        <v>-7408001</v>
      </c>
      <c r="AW57" s="129">
        <v>-27955</v>
      </c>
      <c r="AX57" s="129">
        <v>0</v>
      </c>
      <c r="AY57" s="129">
        <v>-27955</v>
      </c>
      <c r="AZ57" s="129">
        <v>-2692</v>
      </c>
      <c r="BA57" s="129">
        <v>0</v>
      </c>
      <c r="BB57" s="129">
        <v>-2692</v>
      </c>
      <c r="BC57" s="129">
        <v>0</v>
      </c>
      <c r="BD57" s="129">
        <v>0</v>
      </c>
      <c r="BE57" s="129">
        <v>0</v>
      </c>
      <c r="BF57" s="129">
        <v>-12667716</v>
      </c>
      <c r="BG57" s="129">
        <v>31182</v>
      </c>
      <c r="BH57" s="129">
        <v>0</v>
      </c>
      <c r="BI57" s="129">
        <v>0</v>
      </c>
      <c r="BJ57" s="129">
        <v>-12667716</v>
      </c>
      <c r="BK57" s="129">
        <v>31182</v>
      </c>
      <c r="BL57" s="129">
        <v>-12636534</v>
      </c>
      <c r="BM57" s="129">
        <v>-150000</v>
      </c>
      <c r="BN57" s="129">
        <v>0</v>
      </c>
      <c r="BO57" s="129">
        <v>-150000</v>
      </c>
      <c r="BP57" s="129">
        <v>-3000000</v>
      </c>
      <c r="BQ57" s="129">
        <v>0</v>
      </c>
      <c r="BR57" s="129">
        <v>-3000000</v>
      </c>
      <c r="BS57" s="129">
        <v>-3150000</v>
      </c>
      <c r="BT57" s="129">
        <v>0</v>
      </c>
      <c r="BU57" s="129">
        <v>0</v>
      </c>
      <c r="BV57" s="129">
        <v>0</v>
      </c>
      <c r="BW57" s="129">
        <v>-3150000</v>
      </c>
      <c r="BX57" s="129">
        <v>0</v>
      </c>
      <c r="BY57" s="129">
        <v>-3150000</v>
      </c>
      <c r="BZ57" s="129">
        <v>-83277</v>
      </c>
      <c r="CA57" s="129">
        <v>0</v>
      </c>
      <c r="CB57" s="129">
        <v>-83277</v>
      </c>
      <c r="CC57" s="129">
        <v>-74309</v>
      </c>
      <c r="CD57" s="129">
        <v>0</v>
      </c>
      <c r="CE57" s="129">
        <v>-74309</v>
      </c>
      <c r="CF57" s="129">
        <v>-438</v>
      </c>
      <c r="CG57" s="129">
        <v>0</v>
      </c>
      <c r="CH57" s="129">
        <v>-438</v>
      </c>
      <c r="CI57" s="129">
        <v>0</v>
      </c>
      <c r="CJ57" s="129">
        <v>0</v>
      </c>
      <c r="CK57" s="129">
        <v>0</v>
      </c>
      <c r="CL57" s="129">
        <v>0</v>
      </c>
      <c r="CM57" s="129">
        <v>0</v>
      </c>
      <c r="CN57" s="129">
        <v>0</v>
      </c>
      <c r="CO57" s="129">
        <v>-98668</v>
      </c>
      <c r="CP57" s="129">
        <v>-55000</v>
      </c>
      <c r="CQ57" s="129">
        <v>-153668</v>
      </c>
      <c r="CR57" s="129">
        <v>-55000</v>
      </c>
      <c r="CS57" s="129">
        <v>0</v>
      </c>
      <c r="CT57" s="129">
        <v>-256692</v>
      </c>
      <c r="CU57" s="129">
        <v>-55000</v>
      </c>
      <c r="CV57" s="129">
        <v>0</v>
      </c>
      <c r="CW57" s="129">
        <v>0</v>
      </c>
      <c r="CX57" s="129">
        <v>-256692</v>
      </c>
      <c r="CY57" s="129">
        <v>-55000</v>
      </c>
      <c r="CZ57" s="129">
        <v>-311692</v>
      </c>
      <c r="DA57" s="129">
        <v>-2692</v>
      </c>
      <c r="DB57" s="129">
        <v>0</v>
      </c>
      <c r="DC57" s="129">
        <v>-2692</v>
      </c>
      <c r="DD57" s="129">
        <v>-37866</v>
      </c>
      <c r="DE57" s="129">
        <v>0</v>
      </c>
      <c r="DF57" s="129">
        <v>-37866</v>
      </c>
      <c r="DG57" s="129">
        <v>0</v>
      </c>
      <c r="DH57" s="129">
        <v>0</v>
      </c>
      <c r="DI57" s="129">
        <v>0</v>
      </c>
      <c r="DJ57" s="129">
        <v>-40558</v>
      </c>
      <c r="DK57" s="129">
        <v>0</v>
      </c>
      <c r="DL57" s="129">
        <v>0</v>
      </c>
      <c r="DM57" s="129">
        <v>0</v>
      </c>
      <c r="DN57" s="129">
        <v>-40558</v>
      </c>
      <c r="DO57" s="129">
        <v>0</v>
      </c>
      <c r="DP57" s="129">
        <v>-40558</v>
      </c>
      <c r="DQ57" s="129">
        <v>48226563</v>
      </c>
      <c r="DR57" s="129">
        <v>1173080</v>
      </c>
      <c r="DS57" s="129">
        <v>49399643</v>
      </c>
      <c r="DT57" s="662" t="s">
        <v>718</v>
      </c>
      <c r="DU57" s="324" t="s">
        <v>551</v>
      </c>
      <c r="DV57" s="663" t="s">
        <v>549</v>
      </c>
      <c r="DW57" s="529" t="s">
        <v>1264</v>
      </c>
    </row>
    <row r="58" spans="1:127" ht="12.75" x14ac:dyDescent="0.2">
      <c r="A58" s="664">
        <v>51</v>
      </c>
      <c r="B58" s="665" t="s">
        <v>721</v>
      </c>
      <c r="C58" s="666" t="s">
        <v>1201</v>
      </c>
      <c r="D58" s="667" t="s">
        <v>1211</v>
      </c>
      <c r="E58" s="668" t="s">
        <v>720</v>
      </c>
      <c r="F58" s="753" t="s">
        <v>1896</v>
      </c>
      <c r="G58" s="129">
        <v>195308291</v>
      </c>
      <c r="H58" s="129">
        <v>0</v>
      </c>
      <c r="I58" s="129">
        <v>195308291</v>
      </c>
      <c r="J58" s="793">
        <v>49.9</v>
      </c>
      <c r="K58" s="129">
        <v>97458837</v>
      </c>
      <c r="L58" s="129">
        <v>0</v>
      </c>
      <c r="M58" s="129">
        <v>540016</v>
      </c>
      <c r="N58" s="129">
        <v>0</v>
      </c>
      <c r="O58" s="129">
        <v>97998853</v>
      </c>
      <c r="P58" s="129">
        <v>0</v>
      </c>
      <c r="Q58" s="129">
        <v>97998853</v>
      </c>
      <c r="R58" s="129">
        <v>-108936</v>
      </c>
      <c r="S58" s="129">
        <v>0</v>
      </c>
      <c r="T58" s="129">
        <v>-108936</v>
      </c>
      <c r="U58" s="129">
        <v>216364</v>
      </c>
      <c r="V58" s="129">
        <v>0</v>
      </c>
      <c r="W58" s="129">
        <v>216364</v>
      </c>
      <c r="X58" s="129">
        <v>107428</v>
      </c>
      <c r="Y58" s="129">
        <v>0</v>
      </c>
      <c r="Z58" s="129">
        <v>0</v>
      </c>
      <c r="AA58" s="129">
        <v>0</v>
      </c>
      <c r="AB58" s="129">
        <v>107428</v>
      </c>
      <c r="AC58" s="129">
        <v>0</v>
      </c>
      <c r="AD58" s="129">
        <v>107428</v>
      </c>
      <c r="AE58" s="129">
        <v>-107428</v>
      </c>
      <c r="AF58" s="129">
        <v>0</v>
      </c>
      <c r="AG58" s="129">
        <v>-107428</v>
      </c>
      <c r="AH58" s="129">
        <v>-5926319</v>
      </c>
      <c r="AI58" s="129">
        <v>0</v>
      </c>
      <c r="AJ58" s="129">
        <v>-5926319</v>
      </c>
      <c r="AK58" s="129">
        <v>0</v>
      </c>
      <c r="AL58" s="129">
        <v>0</v>
      </c>
      <c r="AM58" s="129">
        <v>0</v>
      </c>
      <c r="AN58" s="129">
        <v>1941267</v>
      </c>
      <c r="AO58" s="129">
        <v>0</v>
      </c>
      <c r="AP58" s="129">
        <v>1941267</v>
      </c>
      <c r="AQ58" s="129">
        <v>-3985052</v>
      </c>
      <c r="AR58" s="129">
        <v>0</v>
      </c>
      <c r="AS58" s="129">
        <v>-3985052</v>
      </c>
      <c r="AT58" s="129">
        <v>-5625997</v>
      </c>
      <c r="AU58" s="129">
        <v>0</v>
      </c>
      <c r="AV58" s="129">
        <v>-5625997</v>
      </c>
      <c r="AW58" s="129">
        <v>-36782</v>
      </c>
      <c r="AX58" s="129">
        <v>0</v>
      </c>
      <c r="AY58" s="129">
        <v>-36782</v>
      </c>
      <c r="AZ58" s="129">
        <v>-3648</v>
      </c>
      <c r="BA58" s="129">
        <v>0</v>
      </c>
      <c r="BB58" s="129">
        <v>-3648</v>
      </c>
      <c r="BC58" s="129">
        <v>0</v>
      </c>
      <c r="BD58" s="129">
        <v>0</v>
      </c>
      <c r="BE58" s="129">
        <v>0</v>
      </c>
      <c r="BF58" s="129">
        <v>-9651479</v>
      </c>
      <c r="BG58" s="129">
        <v>0</v>
      </c>
      <c r="BH58" s="129">
        <v>0</v>
      </c>
      <c r="BI58" s="129">
        <v>0</v>
      </c>
      <c r="BJ58" s="129">
        <v>-9651479</v>
      </c>
      <c r="BK58" s="129">
        <v>0</v>
      </c>
      <c r="BL58" s="129">
        <v>-9651479</v>
      </c>
      <c r="BM58" s="129">
        <v>0</v>
      </c>
      <c r="BN58" s="129">
        <v>0</v>
      </c>
      <c r="BO58" s="129">
        <v>0</v>
      </c>
      <c r="BP58" s="129">
        <v>-3110437</v>
      </c>
      <c r="BQ58" s="129">
        <v>0</v>
      </c>
      <c r="BR58" s="129">
        <v>-3110437</v>
      </c>
      <c r="BS58" s="129">
        <v>-3110437</v>
      </c>
      <c r="BT58" s="129">
        <v>0</v>
      </c>
      <c r="BU58" s="129">
        <v>0</v>
      </c>
      <c r="BV58" s="129">
        <v>0</v>
      </c>
      <c r="BW58" s="129">
        <v>-3110437</v>
      </c>
      <c r="BX58" s="129">
        <v>0</v>
      </c>
      <c r="BY58" s="129">
        <v>-3110437</v>
      </c>
      <c r="BZ58" s="129">
        <v>-9368</v>
      </c>
      <c r="CA58" s="129">
        <v>0</v>
      </c>
      <c r="CB58" s="129">
        <v>-9368</v>
      </c>
      <c r="CC58" s="129">
        <v>-102768</v>
      </c>
      <c r="CD58" s="129">
        <v>0</v>
      </c>
      <c r="CE58" s="129">
        <v>-102768</v>
      </c>
      <c r="CF58" s="129">
        <v>0</v>
      </c>
      <c r="CG58" s="129">
        <v>0</v>
      </c>
      <c r="CH58" s="129">
        <v>0</v>
      </c>
      <c r="CI58" s="129">
        <v>0</v>
      </c>
      <c r="CJ58" s="129">
        <v>0</v>
      </c>
      <c r="CK58" s="129">
        <v>0</v>
      </c>
      <c r="CL58" s="129">
        <v>0</v>
      </c>
      <c r="CM58" s="129">
        <v>0</v>
      </c>
      <c r="CN58" s="129">
        <v>0</v>
      </c>
      <c r="CO58" s="129">
        <v>0</v>
      </c>
      <c r="CP58" s="129">
        <v>0</v>
      </c>
      <c r="CQ58" s="129">
        <v>0</v>
      </c>
      <c r="CR58" s="129">
        <v>0</v>
      </c>
      <c r="CS58" s="129">
        <v>0</v>
      </c>
      <c r="CT58" s="129">
        <v>-112136</v>
      </c>
      <c r="CU58" s="129">
        <v>0</v>
      </c>
      <c r="CV58" s="129">
        <v>0</v>
      </c>
      <c r="CW58" s="129">
        <v>0</v>
      </c>
      <c r="CX58" s="129">
        <v>-112136</v>
      </c>
      <c r="CY58" s="129">
        <v>0</v>
      </c>
      <c r="CZ58" s="129">
        <v>-112136</v>
      </c>
      <c r="DA58" s="129">
        <v>-3648</v>
      </c>
      <c r="DB58" s="129">
        <v>0</v>
      </c>
      <c r="DC58" s="129">
        <v>-3648</v>
      </c>
      <c r="DD58" s="129">
        <v>-21522</v>
      </c>
      <c r="DE58" s="129">
        <v>0</v>
      </c>
      <c r="DF58" s="129">
        <v>-21522</v>
      </c>
      <c r="DG58" s="129">
        <v>0</v>
      </c>
      <c r="DH58" s="129">
        <v>0</v>
      </c>
      <c r="DI58" s="129">
        <v>0</v>
      </c>
      <c r="DJ58" s="129">
        <v>-25170</v>
      </c>
      <c r="DK58" s="129">
        <v>0</v>
      </c>
      <c r="DL58" s="129">
        <v>0</v>
      </c>
      <c r="DM58" s="129">
        <v>0</v>
      </c>
      <c r="DN58" s="129">
        <v>-25170</v>
      </c>
      <c r="DO58" s="129">
        <v>0</v>
      </c>
      <c r="DP58" s="129">
        <v>-25170</v>
      </c>
      <c r="DQ58" s="129">
        <v>85207059</v>
      </c>
      <c r="DR58" s="129">
        <v>0</v>
      </c>
      <c r="DS58" s="129">
        <v>85207059</v>
      </c>
      <c r="DT58" s="662" t="s">
        <v>720</v>
      </c>
      <c r="DU58" s="324" t="s">
        <v>528</v>
      </c>
      <c r="DV58" s="663" t="s">
        <v>1913</v>
      </c>
      <c r="DW58" s="529" t="s">
        <v>1265</v>
      </c>
    </row>
    <row r="59" spans="1:127" ht="12.75" x14ac:dyDescent="0.2">
      <c r="A59" s="664">
        <v>52</v>
      </c>
      <c r="B59" s="665" t="s">
        <v>723</v>
      </c>
      <c r="C59" s="666" t="s">
        <v>1201</v>
      </c>
      <c r="D59" s="667" t="s">
        <v>1224</v>
      </c>
      <c r="E59" s="668" t="s">
        <v>722</v>
      </c>
      <c r="F59" s="753" t="s">
        <v>1897</v>
      </c>
      <c r="G59" s="129">
        <v>134026219</v>
      </c>
      <c r="H59" s="129">
        <v>0</v>
      </c>
      <c r="I59" s="129">
        <v>134026219</v>
      </c>
      <c r="J59" s="793">
        <v>49.9</v>
      </c>
      <c r="K59" s="129">
        <v>66879083</v>
      </c>
      <c r="L59" s="129">
        <v>0</v>
      </c>
      <c r="M59" s="129">
        <v>380000</v>
      </c>
      <c r="N59" s="129">
        <v>0</v>
      </c>
      <c r="O59" s="129">
        <v>67259083</v>
      </c>
      <c r="P59" s="129">
        <v>0</v>
      </c>
      <c r="Q59" s="129">
        <v>67259083</v>
      </c>
      <c r="R59" s="129">
        <v>-48063</v>
      </c>
      <c r="S59" s="129">
        <v>0</v>
      </c>
      <c r="T59" s="129">
        <v>-48063</v>
      </c>
      <c r="U59" s="129">
        <v>172289</v>
      </c>
      <c r="V59" s="129">
        <v>0</v>
      </c>
      <c r="W59" s="129">
        <v>172289</v>
      </c>
      <c r="X59" s="129">
        <v>124226</v>
      </c>
      <c r="Y59" s="129">
        <v>0</v>
      </c>
      <c r="Z59" s="129">
        <v>15000</v>
      </c>
      <c r="AA59" s="129">
        <v>0</v>
      </c>
      <c r="AB59" s="129">
        <v>139226</v>
      </c>
      <c r="AC59" s="129">
        <v>0</v>
      </c>
      <c r="AD59" s="129">
        <v>139226</v>
      </c>
      <c r="AE59" s="129">
        <v>-139226</v>
      </c>
      <c r="AF59" s="129">
        <v>0</v>
      </c>
      <c r="AG59" s="129">
        <v>-139226</v>
      </c>
      <c r="AH59" s="129">
        <v>-4086262</v>
      </c>
      <c r="AI59" s="129">
        <v>0</v>
      </c>
      <c r="AJ59" s="129">
        <v>-4086262</v>
      </c>
      <c r="AK59" s="129">
        <v>0</v>
      </c>
      <c r="AL59" s="129">
        <v>0</v>
      </c>
      <c r="AM59" s="129">
        <v>0</v>
      </c>
      <c r="AN59" s="129">
        <v>1312706</v>
      </c>
      <c r="AO59" s="129">
        <v>0</v>
      </c>
      <c r="AP59" s="129">
        <v>1312706</v>
      </c>
      <c r="AQ59" s="129">
        <v>-2773556</v>
      </c>
      <c r="AR59" s="129">
        <v>0</v>
      </c>
      <c r="AS59" s="129">
        <v>-2773556</v>
      </c>
      <c r="AT59" s="129">
        <v>-4772687</v>
      </c>
      <c r="AU59" s="129">
        <v>0</v>
      </c>
      <c r="AV59" s="129">
        <v>-4772687</v>
      </c>
      <c r="AW59" s="129">
        <v>-53012</v>
      </c>
      <c r="AX59" s="129">
        <v>0</v>
      </c>
      <c r="AY59" s="129">
        <v>-53012</v>
      </c>
      <c r="AZ59" s="129">
        <v>0</v>
      </c>
      <c r="BA59" s="129">
        <v>0</v>
      </c>
      <c r="BB59" s="129">
        <v>0</v>
      </c>
      <c r="BC59" s="129">
        <v>0</v>
      </c>
      <c r="BD59" s="129">
        <v>0</v>
      </c>
      <c r="BE59" s="129">
        <v>0</v>
      </c>
      <c r="BF59" s="129">
        <v>-7599255</v>
      </c>
      <c r="BG59" s="129">
        <v>0</v>
      </c>
      <c r="BH59" s="129">
        <v>-155000</v>
      </c>
      <c r="BI59" s="129">
        <v>0</v>
      </c>
      <c r="BJ59" s="129">
        <v>-7754255</v>
      </c>
      <c r="BK59" s="129">
        <v>0</v>
      </c>
      <c r="BL59" s="129">
        <v>-7754255</v>
      </c>
      <c r="BM59" s="129">
        <v>-20000</v>
      </c>
      <c r="BN59" s="129">
        <v>0</v>
      </c>
      <c r="BO59" s="129">
        <v>-20000</v>
      </c>
      <c r="BP59" s="129">
        <v>-1996414</v>
      </c>
      <c r="BQ59" s="129">
        <v>0</v>
      </c>
      <c r="BR59" s="129">
        <v>-1996414</v>
      </c>
      <c r="BS59" s="129">
        <v>-2016414</v>
      </c>
      <c r="BT59" s="129">
        <v>0</v>
      </c>
      <c r="BU59" s="129">
        <v>-1000000</v>
      </c>
      <c r="BV59" s="129">
        <v>0</v>
      </c>
      <c r="BW59" s="129">
        <v>-3016414</v>
      </c>
      <c r="BX59" s="129">
        <v>0</v>
      </c>
      <c r="BY59" s="129">
        <v>-3016414</v>
      </c>
      <c r="BZ59" s="129">
        <v>-21010</v>
      </c>
      <c r="CA59" s="129">
        <v>0</v>
      </c>
      <c r="CB59" s="129">
        <v>-21010</v>
      </c>
      <c r="CC59" s="129">
        <v>-32560</v>
      </c>
      <c r="CD59" s="129">
        <v>0</v>
      </c>
      <c r="CE59" s="129">
        <v>-32560</v>
      </c>
      <c r="CF59" s="129">
        <v>0</v>
      </c>
      <c r="CG59" s="129">
        <v>0</v>
      </c>
      <c r="CH59" s="129">
        <v>0</v>
      </c>
      <c r="CI59" s="129">
        <v>0</v>
      </c>
      <c r="CJ59" s="129">
        <v>0</v>
      </c>
      <c r="CK59" s="129">
        <v>0</v>
      </c>
      <c r="CL59" s="129">
        <v>0</v>
      </c>
      <c r="CM59" s="129">
        <v>0</v>
      </c>
      <c r="CN59" s="129">
        <v>0</v>
      </c>
      <c r="CO59" s="129">
        <v>0</v>
      </c>
      <c r="CP59" s="129">
        <v>0</v>
      </c>
      <c r="CQ59" s="129">
        <v>0</v>
      </c>
      <c r="CR59" s="129">
        <v>0</v>
      </c>
      <c r="CS59" s="129">
        <v>0</v>
      </c>
      <c r="CT59" s="129">
        <v>-53570</v>
      </c>
      <c r="CU59" s="129">
        <v>0</v>
      </c>
      <c r="CV59" s="129">
        <v>0</v>
      </c>
      <c r="CW59" s="129">
        <v>0</v>
      </c>
      <c r="CX59" s="129">
        <v>-53570</v>
      </c>
      <c r="CY59" s="129">
        <v>0</v>
      </c>
      <c r="CZ59" s="129">
        <v>-53570</v>
      </c>
      <c r="DA59" s="129">
        <v>0</v>
      </c>
      <c r="DB59" s="129">
        <v>0</v>
      </c>
      <c r="DC59" s="129">
        <v>0</v>
      </c>
      <c r="DD59" s="129">
        <v>-7924</v>
      </c>
      <c r="DE59" s="129">
        <v>0</v>
      </c>
      <c r="DF59" s="129">
        <v>-7924</v>
      </c>
      <c r="DG59" s="129">
        <v>0</v>
      </c>
      <c r="DH59" s="129">
        <v>0</v>
      </c>
      <c r="DI59" s="129">
        <v>0</v>
      </c>
      <c r="DJ59" s="129">
        <v>-7924</v>
      </c>
      <c r="DK59" s="129">
        <v>0</v>
      </c>
      <c r="DL59" s="129">
        <v>0</v>
      </c>
      <c r="DM59" s="129">
        <v>0</v>
      </c>
      <c r="DN59" s="129">
        <v>-7924</v>
      </c>
      <c r="DO59" s="129">
        <v>0</v>
      </c>
      <c r="DP59" s="129">
        <v>-7924</v>
      </c>
      <c r="DQ59" s="129">
        <v>56566146</v>
      </c>
      <c r="DR59" s="129">
        <v>0</v>
      </c>
      <c r="DS59" s="129">
        <v>56566146</v>
      </c>
      <c r="DT59" s="662" t="s">
        <v>722</v>
      </c>
      <c r="DU59" s="324" t="s">
        <v>529</v>
      </c>
      <c r="DV59" s="663" t="s">
        <v>512</v>
      </c>
      <c r="DW59" s="529" t="s">
        <v>1266</v>
      </c>
    </row>
    <row r="60" spans="1:127" ht="12.75" x14ac:dyDescent="0.2">
      <c r="A60" s="664">
        <v>53</v>
      </c>
      <c r="B60" s="665" t="s">
        <v>725</v>
      </c>
      <c r="C60" s="666" t="s">
        <v>1201</v>
      </c>
      <c r="D60" s="667" t="s">
        <v>1202</v>
      </c>
      <c r="E60" s="668" t="s">
        <v>724</v>
      </c>
      <c r="F60" s="753" t="s">
        <v>1875</v>
      </c>
      <c r="G60" s="129">
        <v>230739854</v>
      </c>
      <c r="H60" s="129">
        <v>0</v>
      </c>
      <c r="I60" s="129">
        <v>230739854</v>
      </c>
      <c r="J60" s="793">
        <v>49.9</v>
      </c>
      <c r="K60" s="129">
        <v>115139187</v>
      </c>
      <c r="L60" s="129">
        <v>0</v>
      </c>
      <c r="M60" s="129">
        <v>-5177667</v>
      </c>
      <c r="N60" s="129">
        <v>0</v>
      </c>
      <c r="O60" s="129">
        <v>109961520</v>
      </c>
      <c r="P60" s="129">
        <v>0</v>
      </c>
      <c r="Q60" s="129">
        <v>109961520</v>
      </c>
      <c r="R60" s="129">
        <v>-388836</v>
      </c>
      <c r="S60" s="129">
        <v>0</v>
      </c>
      <c r="T60" s="129">
        <v>-388836</v>
      </c>
      <c r="U60" s="129">
        <v>144475</v>
      </c>
      <c r="V60" s="129">
        <v>0</v>
      </c>
      <c r="W60" s="129">
        <v>144475</v>
      </c>
      <c r="X60" s="129">
        <v>-244361</v>
      </c>
      <c r="Y60" s="129">
        <v>0</v>
      </c>
      <c r="Z60" s="129">
        <v>0</v>
      </c>
      <c r="AA60" s="129">
        <v>0</v>
      </c>
      <c r="AB60" s="129">
        <v>-244361</v>
      </c>
      <c r="AC60" s="129">
        <v>0</v>
      </c>
      <c r="AD60" s="129">
        <v>-244361</v>
      </c>
      <c r="AE60" s="129">
        <v>244361</v>
      </c>
      <c r="AF60" s="129">
        <v>0</v>
      </c>
      <c r="AG60" s="129">
        <v>244361</v>
      </c>
      <c r="AH60" s="129">
        <v>-4745394</v>
      </c>
      <c r="AI60" s="129">
        <v>0</v>
      </c>
      <c r="AJ60" s="129">
        <v>-4745394</v>
      </c>
      <c r="AK60" s="129">
        <v>0</v>
      </c>
      <c r="AL60" s="129">
        <v>0</v>
      </c>
      <c r="AM60" s="129">
        <v>0</v>
      </c>
      <c r="AN60" s="129">
        <v>2397706</v>
      </c>
      <c r="AO60" s="129">
        <v>0</v>
      </c>
      <c r="AP60" s="129">
        <v>2397706</v>
      </c>
      <c r="AQ60" s="129">
        <v>-2347688</v>
      </c>
      <c r="AR60" s="129">
        <v>0</v>
      </c>
      <c r="AS60" s="129">
        <v>-2347688</v>
      </c>
      <c r="AT60" s="129">
        <v>-4431562</v>
      </c>
      <c r="AU60" s="129">
        <v>0</v>
      </c>
      <c r="AV60" s="129">
        <v>-4431562</v>
      </c>
      <c r="AW60" s="129">
        <v>-46899</v>
      </c>
      <c r="AX60" s="129">
        <v>0</v>
      </c>
      <c r="AY60" s="129">
        <v>-46899</v>
      </c>
      <c r="AZ60" s="129">
        <v>0</v>
      </c>
      <c r="BA60" s="129">
        <v>0</v>
      </c>
      <c r="BB60" s="129">
        <v>0</v>
      </c>
      <c r="BC60" s="129">
        <v>0</v>
      </c>
      <c r="BD60" s="129">
        <v>0</v>
      </c>
      <c r="BE60" s="129">
        <v>0</v>
      </c>
      <c r="BF60" s="129">
        <v>-6826149</v>
      </c>
      <c r="BG60" s="129">
        <v>0</v>
      </c>
      <c r="BH60" s="129">
        <v>0</v>
      </c>
      <c r="BI60" s="129">
        <v>0</v>
      </c>
      <c r="BJ60" s="129">
        <v>-6826149</v>
      </c>
      <c r="BK60" s="129">
        <v>0</v>
      </c>
      <c r="BL60" s="129">
        <v>-6826149</v>
      </c>
      <c r="BM60" s="129">
        <v>0</v>
      </c>
      <c r="BN60" s="129">
        <v>0</v>
      </c>
      <c r="BO60" s="129">
        <v>0</v>
      </c>
      <c r="BP60" s="129">
        <v>-1102445</v>
      </c>
      <c r="BQ60" s="129">
        <v>0</v>
      </c>
      <c r="BR60" s="129">
        <v>-1102445</v>
      </c>
      <c r="BS60" s="129">
        <v>-1102445</v>
      </c>
      <c r="BT60" s="129">
        <v>0</v>
      </c>
      <c r="BU60" s="129">
        <v>-1193988</v>
      </c>
      <c r="BV60" s="129">
        <v>0</v>
      </c>
      <c r="BW60" s="129">
        <v>-2296433</v>
      </c>
      <c r="BX60" s="129">
        <v>0</v>
      </c>
      <c r="BY60" s="129">
        <v>-2296433</v>
      </c>
      <c r="BZ60" s="129">
        <v>-36055</v>
      </c>
      <c r="CA60" s="129">
        <v>0</v>
      </c>
      <c r="CB60" s="129">
        <v>-36055</v>
      </c>
      <c r="CC60" s="129">
        <v>-8109</v>
      </c>
      <c r="CD60" s="129">
        <v>0</v>
      </c>
      <c r="CE60" s="129">
        <v>-8109</v>
      </c>
      <c r="CF60" s="129">
        <v>0</v>
      </c>
      <c r="CG60" s="129">
        <v>0</v>
      </c>
      <c r="CH60" s="129">
        <v>0</v>
      </c>
      <c r="CI60" s="129">
        <v>0</v>
      </c>
      <c r="CJ60" s="129">
        <v>0</v>
      </c>
      <c r="CK60" s="129">
        <v>0</v>
      </c>
      <c r="CL60" s="129">
        <v>0</v>
      </c>
      <c r="CM60" s="129">
        <v>0</v>
      </c>
      <c r="CN60" s="129">
        <v>0</v>
      </c>
      <c r="CO60" s="129">
        <v>0</v>
      </c>
      <c r="CP60" s="129">
        <v>0</v>
      </c>
      <c r="CQ60" s="129">
        <v>0</v>
      </c>
      <c r="CR60" s="129">
        <v>0</v>
      </c>
      <c r="CS60" s="129">
        <v>0</v>
      </c>
      <c r="CT60" s="129">
        <v>-44164</v>
      </c>
      <c r="CU60" s="129">
        <v>0</v>
      </c>
      <c r="CV60" s="129">
        <v>0</v>
      </c>
      <c r="CW60" s="129">
        <v>0</v>
      </c>
      <c r="CX60" s="129">
        <v>-44164</v>
      </c>
      <c r="CY60" s="129">
        <v>0</v>
      </c>
      <c r="CZ60" s="129">
        <v>-44164</v>
      </c>
      <c r="DA60" s="129">
        <v>-56619</v>
      </c>
      <c r="DB60" s="129">
        <v>0</v>
      </c>
      <c r="DC60" s="129">
        <v>-56619</v>
      </c>
      <c r="DD60" s="129">
        <v>-45225</v>
      </c>
      <c r="DE60" s="129">
        <v>0</v>
      </c>
      <c r="DF60" s="129">
        <v>-45225</v>
      </c>
      <c r="DG60" s="129">
        <v>-886</v>
      </c>
      <c r="DH60" s="129">
        <v>0</v>
      </c>
      <c r="DI60" s="129">
        <v>-886</v>
      </c>
      <c r="DJ60" s="129">
        <v>-102730</v>
      </c>
      <c r="DK60" s="129">
        <v>0</v>
      </c>
      <c r="DL60" s="129">
        <v>0</v>
      </c>
      <c r="DM60" s="129">
        <v>0</v>
      </c>
      <c r="DN60" s="129">
        <v>-102730</v>
      </c>
      <c r="DO60" s="129">
        <v>0</v>
      </c>
      <c r="DP60" s="129">
        <v>-102730</v>
      </c>
      <c r="DQ60" s="129">
        <v>100447683</v>
      </c>
      <c r="DR60" s="129">
        <v>0</v>
      </c>
      <c r="DS60" s="129">
        <v>100447683</v>
      </c>
      <c r="DT60" s="662" t="s">
        <v>724</v>
      </c>
      <c r="DU60" s="324" t="s">
        <v>560</v>
      </c>
      <c r="DV60" s="663" t="s">
        <v>512</v>
      </c>
      <c r="DW60" s="529" t="s">
        <v>1267</v>
      </c>
    </row>
    <row r="61" spans="1:127" ht="12.75" x14ac:dyDescent="0.2">
      <c r="A61" s="664">
        <v>54</v>
      </c>
      <c r="B61" s="665" t="s">
        <v>727</v>
      </c>
      <c r="C61" s="666" t="s">
        <v>486</v>
      </c>
      <c r="D61" s="667" t="s">
        <v>1204</v>
      </c>
      <c r="E61" s="668" t="s">
        <v>726</v>
      </c>
      <c r="F61" s="753" t="s">
        <v>1875</v>
      </c>
      <c r="G61" s="129">
        <v>346750996</v>
      </c>
      <c r="H61" s="129">
        <v>7264906</v>
      </c>
      <c r="I61" s="129">
        <v>354015902</v>
      </c>
      <c r="J61" s="793">
        <v>49.9</v>
      </c>
      <c r="K61" s="129">
        <v>173028747</v>
      </c>
      <c r="L61" s="129">
        <v>3625188</v>
      </c>
      <c r="M61" s="129">
        <v>1493370</v>
      </c>
      <c r="N61" s="129">
        <v>1233920</v>
      </c>
      <c r="O61" s="129">
        <v>174522117</v>
      </c>
      <c r="P61" s="129">
        <v>4859108</v>
      </c>
      <c r="Q61" s="129">
        <v>179381225</v>
      </c>
      <c r="R61" s="129">
        <v>-350628</v>
      </c>
      <c r="S61" s="129">
        <v>-5782</v>
      </c>
      <c r="T61" s="129">
        <v>-356410</v>
      </c>
      <c r="U61" s="129">
        <v>1004216</v>
      </c>
      <c r="V61" s="129">
        <v>0</v>
      </c>
      <c r="W61" s="129">
        <v>1004216</v>
      </c>
      <c r="X61" s="129">
        <v>653588</v>
      </c>
      <c r="Y61" s="129">
        <v>-5782</v>
      </c>
      <c r="Z61" s="129">
        <v>0</v>
      </c>
      <c r="AA61" s="129">
        <v>0</v>
      </c>
      <c r="AB61" s="129">
        <v>653588</v>
      </c>
      <c r="AC61" s="129">
        <v>-5782</v>
      </c>
      <c r="AD61" s="129">
        <v>647806</v>
      </c>
      <c r="AE61" s="129">
        <v>-653588</v>
      </c>
      <c r="AF61" s="129">
        <v>5782</v>
      </c>
      <c r="AG61" s="129">
        <v>-647806</v>
      </c>
      <c r="AH61" s="129">
        <v>-16408247</v>
      </c>
      <c r="AI61" s="129">
        <v>-25265</v>
      </c>
      <c r="AJ61" s="129">
        <v>-16433512</v>
      </c>
      <c r="AK61" s="129">
        <v>-57341</v>
      </c>
      <c r="AL61" s="129">
        <v>0</v>
      </c>
      <c r="AM61" s="129">
        <v>-57341</v>
      </c>
      <c r="AN61" s="129">
        <v>3029974</v>
      </c>
      <c r="AO61" s="129">
        <v>80972</v>
      </c>
      <c r="AP61" s="129">
        <v>3110946</v>
      </c>
      <c r="AQ61" s="129">
        <v>-13378273</v>
      </c>
      <c r="AR61" s="129">
        <v>55707</v>
      </c>
      <c r="AS61" s="129">
        <v>-13322566</v>
      </c>
      <c r="AT61" s="129">
        <v>-9109975</v>
      </c>
      <c r="AU61" s="129">
        <v>-406034</v>
      </c>
      <c r="AV61" s="129">
        <v>-9516009</v>
      </c>
      <c r="AW61" s="129">
        <v>-145128</v>
      </c>
      <c r="AX61" s="129">
        <v>0</v>
      </c>
      <c r="AY61" s="129">
        <v>-145128</v>
      </c>
      <c r="AZ61" s="129">
        <v>-14272</v>
      </c>
      <c r="BA61" s="129">
        <v>0</v>
      </c>
      <c r="BB61" s="129">
        <v>-14272</v>
      </c>
      <c r="BC61" s="129">
        <v>0</v>
      </c>
      <c r="BD61" s="129">
        <v>0</v>
      </c>
      <c r="BE61" s="129">
        <v>0</v>
      </c>
      <c r="BF61" s="129">
        <v>-22647648</v>
      </c>
      <c r="BG61" s="129">
        <v>-350327</v>
      </c>
      <c r="BH61" s="129">
        <v>-922417</v>
      </c>
      <c r="BI61" s="129">
        <v>0</v>
      </c>
      <c r="BJ61" s="129">
        <v>-23570065</v>
      </c>
      <c r="BK61" s="129">
        <v>-350327</v>
      </c>
      <c r="BL61" s="129">
        <v>-23920392</v>
      </c>
      <c r="BM61" s="129">
        <v>-57152</v>
      </c>
      <c r="BN61" s="129">
        <v>0</v>
      </c>
      <c r="BO61" s="129">
        <v>-57152</v>
      </c>
      <c r="BP61" s="129">
        <v>-3778943</v>
      </c>
      <c r="BQ61" s="129">
        <v>-188972</v>
      </c>
      <c r="BR61" s="129">
        <v>-3967915</v>
      </c>
      <c r="BS61" s="129">
        <v>-3836095</v>
      </c>
      <c r="BT61" s="129">
        <v>-188972</v>
      </c>
      <c r="BU61" s="129">
        <v>-612022</v>
      </c>
      <c r="BV61" s="129">
        <v>-12816</v>
      </c>
      <c r="BW61" s="129">
        <v>-4448117</v>
      </c>
      <c r="BX61" s="129">
        <v>-201788</v>
      </c>
      <c r="BY61" s="129">
        <v>-4649905</v>
      </c>
      <c r="BZ61" s="129">
        <v>-245455</v>
      </c>
      <c r="CA61" s="129">
        <v>0</v>
      </c>
      <c r="CB61" s="129">
        <v>-245455</v>
      </c>
      <c r="CC61" s="129">
        <v>-71319</v>
      </c>
      <c r="CD61" s="129">
        <v>0</v>
      </c>
      <c r="CE61" s="129">
        <v>-71319</v>
      </c>
      <c r="CF61" s="129">
        <v>-6450</v>
      </c>
      <c r="CG61" s="129">
        <v>0</v>
      </c>
      <c r="CH61" s="129">
        <v>-6450</v>
      </c>
      <c r="CI61" s="129">
        <v>0</v>
      </c>
      <c r="CJ61" s="129">
        <v>0</v>
      </c>
      <c r="CK61" s="129">
        <v>0</v>
      </c>
      <c r="CL61" s="129">
        <v>-6730</v>
      </c>
      <c r="CM61" s="129">
        <v>0</v>
      </c>
      <c r="CN61" s="129">
        <v>-6730</v>
      </c>
      <c r="CO61" s="129">
        <v>0</v>
      </c>
      <c r="CP61" s="129">
        <v>-431389</v>
      </c>
      <c r="CQ61" s="129">
        <v>-431389</v>
      </c>
      <c r="CR61" s="129">
        <v>-431389</v>
      </c>
      <c r="CS61" s="129">
        <v>0</v>
      </c>
      <c r="CT61" s="129">
        <v>-329954</v>
      </c>
      <c r="CU61" s="129">
        <v>-431389</v>
      </c>
      <c r="CV61" s="129">
        <v>0</v>
      </c>
      <c r="CW61" s="129">
        <v>0</v>
      </c>
      <c r="CX61" s="129">
        <v>-329954</v>
      </c>
      <c r="CY61" s="129">
        <v>-431389</v>
      </c>
      <c r="CZ61" s="129">
        <v>-761343</v>
      </c>
      <c r="DA61" s="129">
        <v>-14272</v>
      </c>
      <c r="DB61" s="129">
        <v>0</v>
      </c>
      <c r="DC61" s="129">
        <v>-14272</v>
      </c>
      <c r="DD61" s="129">
        <v>-81890</v>
      </c>
      <c r="DE61" s="129">
        <v>0</v>
      </c>
      <c r="DF61" s="129">
        <v>-81890</v>
      </c>
      <c r="DG61" s="129">
        <v>0</v>
      </c>
      <c r="DH61" s="129">
        <v>0</v>
      </c>
      <c r="DI61" s="129">
        <v>0</v>
      </c>
      <c r="DJ61" s="129">
        <v>-96162</v>
      </c>
      <c r="DK61" s="129">
        <v>0</v>
      </c>
      <c r="DL61" s="129">
        <v>0</v>
      </c>
      <c r="DM61" s="129">
        <v>0</v>
      </c>
      <c r="DN61" s="129">
        <v>-96162</v>
      </c>
      <c r="DO61" s="129">
        <v>0</v>
      </c>
      <c r="DP61" s="129">
        <v>-96162</v>
      </c>
      <c r="DQ61" s="129">
        <v>146731407</v>
      </c>
      <c r="DR61" s="129">
        <v>3869822</v>
      </c>
      <c r="DS61" s="129">
        <v>150601229</v>
      </c>
      <c r="DT61" s="662" t="s">
        <v>726</v>
      </c>
      <c r="DU61" s="324" t="s">
        <v>486</v>
      </c>
      <c r="DV61" s="663" t="s">
        <v>505</v>
      </c>
      <c r="DW61" s="529" t="s">
        <v>1268</v>
      </c>
    </row>
    <row r="62" spans="1:127" ht="12.75" x14ac:dyDescent="0.2">
      <c r="A62" s="664">
        <v>55</v>
      </c>
      <c r="B62" s="665" t="s">
        <v>728</v>
      </c>
      <c r="C62" s="666" t="s">
        <v>486</v>
      </c>
      <c r="D62" s="667" t="s">
        <v>1204</v>
      </c>
      <c r="E62" s="668" t="s">
        <v>507</v>
      </c>
      <c r="F62" s="753" t="s">
        <v>1898</v>
      </c>
      <c r="G62" s="129">
        <v>384261716</v>
      </c>
      <c r="H62" s="129">
        <v>1180250</v>
      </c>
      <c r="I62" s="129">
        <v>385441966</v>
      </c>
      <c r="J62" s="793">
        <v>49.9</v>
      </c>
      <c r="K62" s="129">
        <v>191746596</v>
      </c>
      <c r="L62" s="129">
        <v>588945</v>
      </c>
      <c r="M62" s="129">
        <v>0</v>
      </c>
      <c r="N62" s="129">
        <v>54141</v>
      </c>
      <c r="O62" s="129">
        <v>191746596</v>
      </c>
      <c r="P62" s="129">
        <v>643086</v>
      </c>
      <c r="Q62" s="129">
        <v>192389682</v>
      </c>
      <c r="R62" s="129">
        <v>-350000</v>
      </c>
      <c r="S62" s="129">
        <v>0</v>
      </c>
      <c r="T62" s="129">
        <v>-350000</v>
      </c>
      <c r="U62" s="129">
        <v>6000000</v>
      </c>
      <c r="V62" s="129">
        <v>0</v>
      </c>
      <c r="W62" s="129">
        <v>6000000</v>
      </c>
      <c r="X62" s="129">
        <v>5650000</v>
      </c>
      <c r="Y62" s="129">
        <v>0</v>
      </c>
      <c r="Z62" s="129">
        <v>0</v>
      </c>
      <c r="AA62" s="129">
        <v>0</v>
      </c>
      <c r="AB62" s="129">
        <v>5650000</v>
      </c>
      <c r="AC62" s="129">
        <v>0</v>
      </c>
      <c r="AD62" s="129">
        <v>5650000</v>
      </c>
      <c r="AE62" s="129">
        <v>-5650000</v>
      </c>
      <c r="AF62" s="129">
        <v>0</v>
      </c>
      <c r="AG62" s="129">
        <v>-5650000</v>
      </c>
      <c r="AH62" s="129">
        <v>-12000000</v>
      </c>
      <c r="AI62" s="129">
        <v>0</v>
      </c>
      <c r="AJ62" s="129">
        <v>-12000000</v>
      </c>
      <c r="AK62" s="129">
        <v>-25000</v>
      </c>
      <c r="AL62" s="129">
        <v>0</v>
      </c>
      <c r="AM62" s="129">
        <v>-25000</v>
      </c>
      <c r="AN62" s="129">
        <v>3880000</v>
      </c>
      <c r="AO62" s="129">
        <v>14755</v>
      </c>
      <c r="AP62" s="129">
        <v>3894755</v>
      </c>
      <c r="AQ62" s="129">
        <v>-8120000</v>
      </c>
      <c r="AR62" s="129">
        <v>14755</v>
      </c>
      <c r="AS62" s="129">
        <v>-8105245</v>
      </c>
      <c r="AT62" s="129">
        <v>-11000000</v>
      </c>
      <c r="AU62" s="129">
        <v>0</v>
      </c>
      <c r="AV62" s="129">
        <v>-11000000</v>
      </c>
      <c r="AW62" s="129">
        <v>-66000</v>
      </c>
      <c r="AX62" s="129">
        <v>0</v>
      </c>
      <c r="AY62" s="129">
        <v>-66000</v>
      </c>
      <c r="AZ62" s="129">
        <v>-5000</v>
      </c>
      <c r="BA62" s="129">
        <v>0</v>
      </c>
      <c r="BB62" s="129">
        <v>-5000</v>
      </c>
      <c r="BC62" s="129">
        <v>0</v>
      </c>
      <c r="BD62" s="129">
        <v>0</v>
      </c>
      <c r="BE62" s="129">
        <v>0</v>
      </c>
      <c r="BF62" s="129">
        <v>-19191000</v>
      </c>
      <c r="BG62" s="129">
        <v>14755</v>
      </c>
      <c r="BH62" s="129">
        <v>0</v>
      </c>
      <c r="BI62" s="129">
        <v>0</v>
      </c>
      <c r="BJ62" s="129">
        <v>-19191000</v>
      </c>
      <c r="BK62" s="129">
        <v>14755</v>
      </c>
      <c r="BL62" s="129">
        <v>-19176245</v>
      </c>
      <c r="BM62" s="129">
        <v>-200000</v>
      </c>
      <c r="BN62" s="129">
        <v>0</v>
      </c>
      <c r="BO62" s="129">
        <v>-200000</v>
      </c>
      <c r="BP62" s="129">
        <v>-8550000</v>
      </c>
      <c r="BQ62" s="129">
        <v>0</v>
      </c>
      <c r="BR62" s="129">
        <v>-8550000</v>
      </c>
      <c r="BS62" s="129">
        <v>-8750000</v>
      </c>
      <c r="BT62" s="129">
        <v>0</v>
      </c>
      <c r="BU62" s="129">
        <v>0</v>
      </c>
      <c r="BV62" s="129">
        <v>0</v>
      </c>
      <c r="BW62" s="129">
        <v>-8750000</v>
      </c>
      <c r="BX62" s="129">
        <v>0</v>
      </c>
      <c r="BY62" s="129">
        <v>-8750000</v>
      </c>
      <c r="BZ62" s="129">
        <v>-1150000</v>
      </c>
      <c r="CA62" s="129">
        <v>0</v>
      </c>
      <c r="CB62" s="129">
        <v>-1150000</v>
      </c>
      <c r="CC62" s="129">
        <v>-1300000</v>
      </c>
      <c r="CD62" s="129">
        <v>0</v>
      </c>
      <c r="CE62" s="129">
        <v>-1300000</v>
      </c>
      <c r="CF62" s="129">
        <v>-16000</v>
      </c>
      <c r="CG62" s="129">
        <v>0</v>
      </c>
      <c r="CH62" s="129">
        <v>-16000</v>
      </c>
      <c r="CI62" s="129">
        <v>0</v>
      </c>
      <c r="CJ62" s="129">
        <v>0</v>
      </c>
      <c r="CK62" s="129">
        <v>0</v>
      </c>
      <c r="CL62" s="129">
        <v>-10000</v>
      </c>
      <c r="CM62" s="129">
        <v>0</v>
      </c>
      <c r="CN62" s="129">
        <v>-10000</v>
      </c>
      <c r="CO62" s="129">
        <v>-250000</v>
      </c>
      <c r="CP62" s="129">
        <v>-260048</v>
      </c>
      <c r="CQ62" s="129">
        <v>-510048</v>
      </c>
      <c r="CR62" s="129">
        <v>-260048</v>
      </c>
      <c r="CS62" s="129">
        <v>0</v>
      </c>
      <c r="CT62" s="129">
        <v>-2726000</v>
      </c>
      <c r="CU62" s="129">
        <v>-260048</v>
      </c>
      <c r="CV62" s="129">
        <v>0</v>
      </c>
      <c r="CW62" s="129">
        <v>0</v>
      </c>
      <c r="CX62" s="129">
        <v>-2726000</v>
      </c>
      <c r="CY62" s="129">
        <v>-260048</v>
      </c>
      <c r="CZ62" s="129">
        <v>-2986048</v>
      </c>
      <c r="DA62" s="129">
        <v>-5000</v>
      </c>
      <c r="DB62" s="129">
        <v>0</v>
      </c>
      <c r="DC62" s="129">
        <v>-5000</v>
      </c>
      <c r="DD62" s="129">
        <v>-50000</v>
      </c>
      <c r="DE62" s="129">
        <v>0</v>
      </c>
      <c r="DF62" s="129">
        <v>-50000</v>
      </c>
      <c r="DG62" s="129">
        <v>0</v>
      </c>
      <c r="DH62" s="129">
        <v>0</v>
      </c>
      <c r="DI62" s="129">
        <v>0</v>
      </c>
      <c r="DJ62" s="129">
        <v>-55000</v>
      </c>
      <c r="DK62" s="129">
        <v>0</v>
      </c>
      <c r="DL62" s="129">
        <v>0</v>
      </c>
      <c r="DM62" s="129">
        <v>0</v>
      </c>
      <c r="DN62" s="129">
        <v>-55000</v>
      </c>
      <c r="DO62" s="129">
        <v>0</v>
      </c>
      <c r="DP62" s="129">
        <v>-55000</v>
      </c>
      <c r="DQ62" s="129">
        <v>166674596</v>
      </c>
      <c r="DR62" s="129">
        <v>397793</v>
      </c>
      <c r="DS62" s="129">
        <v>167072389</v>
      </c>
      <c r="DT62" s="662" t="s">
        <v>507</v>
      </c>
      <c r="DU62" s="324" t="s">
        <v>486</v>
      </c>
      <c r="DV62" s="663" t="s">
        <v>505</v>
      </c>
      <c r="DW62" s="529" t="s">
        <v>1269</v>
      </c>
    </row>
    <row r="63" spans="1:127" ht="12.75" x14ac:dyDescent="0.2">
      <c r="A63" s="664">
        <v>56</v>
      </c>
      <c r="B63" s="665" t="s">
        <v>730</v>
      </c>
      <c r="C63" s="666" t="s">
        <v>1201</v>
      </c>
      <c r="D63" s="667" t="s">
        <v>1206</v>
      </c>
      <c r="E63" s="668" t="s">
        <v>729</v>
      </c>
      <c r="F63" s="753" t="s">
        <v>1899</v>
      </c>
      <c r="G63" s="129">
        <v>98419526</v>
      </c>
      <c r="H63" s="129">
        <v>3739750</v>
      </c>
      <c r="I63" s="129">
        <v>102159276</v>
      </c>
      <c r="J63" s="793">
        <v>49.9</v>
      </c>
      <c r="K63" s="129">
        <v>49111343</v>
      </c>
      <c r="L63" s="129">
        <v>1866135</v>
      </c>
      <c r="M63" s="129">
        <v>348852</v>
      </c>
      <c r="N63" s="129">
        <v>9980</v>
      </c>
      <c r="O63" s="129">
        <v>49460195</v>
      </c>
      <c r="P63" s="129">
        <v>1876115</v>
      </c>
      <c r="Q63" s="129">
        <v>51336310</v>
      </c>
      <c r="R63" s="129">
        <v>-61414</v>
      </c>
      <c r="S63" s="129">
        <v>0</v>
      </c>
      <c r="T63" s="129">
        <v>-61414</v>
      </c>
      <c r="U63" s="129">
        <v>153047</v>
      </c>
      <c r="V63" s="129">
        <v>0</v>
      </c>
      <c r="W63" s="129">
        <v>153047</v>
      </c>
      <c r="X63" s="129">
        <v>91633</v>
      </c>
      <c r="Y63" s="129">
        <v>0</v>
      </c>
      <c r="Z63" s="129">
        <v>0</v>
      </c>
      <c r="AA63" s="129">
        <v>0</v>
      </c>
      <c r="AB63" s="129">
        <v>91633</v>
      </c>
      <c r="AC63" s="129">
        <v>0</v>
      </c>
      <c r="AD63" s="129">
        <v>91633</v>
      </c>
      <c r="AE63" s="129">
        <v>-91633</v>
      </c>
      <c r="AF63" s="129">
        <v>0</v>
      </c>
      <c r="AG63" s="129">
        <v>-91633</v>
      </c>
      <c r="AH63" s="129">
        <v>-4974789</v>
      </c>
      <c r="AI63" s="129">
        <v>0</v>
      </c>
      <c r="AJ63" s="129">
        <v>-4974789</v>
      </c>
      <c r="AK63" s="129">
        <v>-5439</v>
      </c>
      <c r="AL63" s="129">
        <v>0</v>
      </c>
      <c r="AM63" s="129">
        <v>-5439</v>
      </c>
      <c r="AN63" s="129">
        <v>828734</v>
      </c>
      <c r="AO63" s="129">
        <v>48617</v>
      </c>
      <c r="AP63" s="129">
        <v>877351</v>
      </c>
      <c r="AQ63" s="129">
        <v>-4146055</v>
      </c>
      <c r="AR63" s="129">
        <v>48617</v>
      </c>
      <c r="AS63" s="129">
        <v>-4097438</v>
      </c>
      <c r="AT63" s="129">
        <v>-2325217</v>
      </c>
      <c r="AU63" s="129">
        <v>0</v>
      </c>
      <c r="AV63" s="129">
        <v>-2325217</v>
      </c>
      <c r="AW63" s="129">
        <v>-43489</v>
      </c>
      <c r="AX63" s="129">
        <v>0</v>
      </c>
      <c r="AY63" s="129">
        <v>-43489</v>
      </c>
      <c r="AZ63" s="129">
        <v>-2970</v>
      </c>
      <c r="BA63" s="129">
        <v>0</v>
      </c>
      <c r="BB63" s="129">
        <v>-2970</v>
      </c>
      <c r="BC63" s="129">
        <v>0</v>
      </c>
      <c r="BD63" s="129">
        <v>0</v>
      </c>
      <c r="BE63" s="129">
        <v>0</v>
      </c>
      <c r="BF63" s="129">
        <v>-6517731</v>
      </c>
      <c r="BG63" s="129">
        <v>48617</v>
      </c>
      <c r="BH63" s="129">
        <v>-135598</v>
      </c>
      <c r="BI63" s="129">
        <v>260</v>
      </c>
      <c r="BJ63" s="129">
        <v>-6653329</v>
      </c>
      <c r="BK63" s="129">
        <v>48877</v>
      </c>
      <c r="BL63" s="129">
        <v>-6604452</v>
      </c>
      <c r="BM63" s="129">
        <v>0</v>
      </c>
      <c r="BN63" s="129">
        <v>0</v>
      </c>
      <c r="BO63" s="129">
        <v>0</v>
      </c>
      <c r="BP63" s="129">
        <v>-1439640</v>
      </c>
      <c r="BQ63" s="129">
        <v>0</v>
      </c>
      <c r="BR63" s="129">
        <v>-1439640</v>
      </c>
      <c r="BS63" s="129">
        <v>-1439640</v>
      </c>
      <c r="BT63" s="129">
        <v>0</v>
      </c>
      <c r="BU63" s="129">
        <v>-22440</v>
      </c>
      <c r="BV63" s="129">
        <v>0</v>
      </c>
      <c r="BW63" s="129">
        <v>-1462080</v>
      </c>
      <c r="BX63" s="129">
        <v>0</v>
      </c>
      <c r="BY63" s="129">
        <v>-1462080</v>
      </c>
      <c r="BZ63" s="129">
        <v>-53338</v>
      </c>
      <c r="CA63" s="129">
        <v>0</v>
      </c>
      <c r="CB63" s="129">
        <v>-53338</v>
      </c>
      <c r="CC63" s="129">
        <v>-51838</v>
      </c>
      <c r="CD63" s="129">
        <v>0</v>
      </c>
      <c r="CE63" s="129">
        <v>-51838</v>
      </c>
      <c r="CF63" s="129">
        <v>-45</v>
      </c>
      <c r="CG63" s="129">
        <v>0</v>
      </c>
      <c r="CH63" s="129">
        <v>-45</v>
      </c>
      <c r="CI63" s="129">
        <v>0</v>
      </c>
      <c r="CJ63" s="129">
        <v>0</v>
      </c>
      <c r="CK63" s="129">
        <v>0</v>
      </c>
      <c r="CL63" s="129">
        <v>0</v>
      </c>
      <c r="CM63" s="129">
        <v>0</v>
      </c>
      <c r="CN63" s="129">
        <v>0</v>
      </c>
      <c r="CO63" s="129">
        <v>0</v>
      </c>
      <c r="CP63" s="129">
        <v>0</v>
      </c>
      <c r="CQ63" s="129">
        <v>0</v>
      </c>
      <c r="CR63" s="129">
        <v>0</v>
      </c>
      <c r="CS63" s="129">
        <v>0</v>
      </c>
      <c r="CT63" s="129">
        <v>-105221</v>
      </c>
      <c r="CU63" s="129">
        <v>0</v>
      </c>
      <c r="CV63" s="129">
        <v>0</v>
      </c>
      <c r="CW63" s="129">
        <v>0</v>
      </c>
      <c r="CX63" s="129">
        <v>-105221</v>
      </c>
      <c r="CY63" s="129">
        <v>0</v>
      </c>
      <c r="CZ63" s="129">
        <v>-105221</v>
      </c>
      <c r="DA63" s="129">
        <v>-2970</v>
      </c>
      <c r="DB63" s="129">
        <v>0</v>
      </c>
      <c r="DC63" s="129">
        <v>-2970</v>
      </c>
      <c r="DD63" s="129">
        <v>-8667</v>
      </c>
      <c r="DE63" s="129">
        <v>0</v>
      </c>
      <c r="DF63" s="129">
        <v>-8667</v>
      </c>
      <c r="DG63" s="129">
        <v>0</v>
      </c>
      <c r="DH63" s="129">
        <v>0</v>
      </c>
      <c r="DI63" s="129">
        <v>0</v>
      </c>
      <c r="DJ63" s="129">
        <v>-11637</v>
      </c>
      <c r="DK63" s="129">
        <v>0</v>
      </c>
      <c r="DL63" s="129">
        <v>0</v>
      </c>
      <c r="DM63" s="129">
        <v>0</v>
      </c>
      <c r="DN63" s="129">
        <v>-11637</v>
      </c>
      <c r="DO63" s="129">
        <v>0</v>
      </c>
      <c r="DP63" s="129">
        <v>-11637</v>
      </c>
      <c r="DQ63" s="129">
        <v>41319561</v>
      </c>
      <c r="DR63" s="129">
        <v>1924992</v>
      </c>
      <c r="DS63" s="129">
        <v>43244553</v>
      </c>
      <c r="DT63" s="662" t="s">
        <v>729</v>
      </c>
      <c r="DU63" s="324" t="s">
        <v>516</v>
      </c>
      <c r="DV63" s="663" t="s">
        <v>515</v>
      </c>
      <c r="DW63" s="529" t="s">
        <v>1270</v>
      </c>
    </row>
    <row r="64" spans="1:127" ht="12.75" x14ac:dyDescent="0.2">
      <c r="A64" s="664">
        <v>57</v>
      </c>
      <c r="B64" s="665" t="s">
        <v>732</v>
      </c>
      <c r="C64" s="666" t="s">
        <v>1201</v>
      </c>
      <c r="D64" s="667" t="s">
        <v>1202</v>
      </c>
      <c r="E64" s="668" t="s">
        <v>731</v>
      </c>
      <c r="F64" s="753" t="s">
        <v>1886</v>
      </c>
      <c r="G64" s="129">
        <v>130019006</v>
      </c>
      <c r="H64" s="129">
        <v>0</v>
      </c>
      <c r="I64" s="129">
        <v>130019006</v>
      </c>
      <c r="J64" s="793">
        <v>49.9</v>
      </c>
      <c r="K64" s="129">
        <v>64879484</v>
      </c>
      <c r="L64" s="129">
        <v>0</v>
      </c>
      <c r="M64" s="129">
        <v>0</v>
      </c>
      <c r="N64" s="129">
        <v>0</v>
      </c>
      <c r="O64" s="129">
        <v>64879484</v>
      </c>
      <c r="P64" s="129">
        <v>0</v>
      </c>
      <c r="Q64" s="129">
        <v>64879484</v>
      </c>
      <c r="R64" s="129">
        <v>-186941</v>
      </c>
      <c r="S64" s="129">
        <v>0</v>
      </c>
      <c r="T64" s="129">
        <v>-186941</v>
      </c>
      <c r="U64" s="129">
        <v>20158</v>
      </c>
      <c r="V64" s="129">
        <v>0</v>
      </c>
      <c r="W64" s="129">
        <v>20158</v>
      </c>
      <c r="X64" s="129">
        <v>-166783</v>
      </c>
      <c r="Y64" s="129">
        <v>0</v>
      </c>
      <c r="Z64" s="129">
        <v>0</v>
      </c>
      <c r="AA64" s="129">
        <v>0</v>
      </c>
      <c r="AB64" s="129">
        <v>-166783</v>
      </c>
      <c r="AC64" s="129">
        <v>0</v>
      </c>
      <c r="AD64" s="129">
        <v>-166783</v>
      </c>
      <c r="AE64" s="129">
        <v>166783</v>
      </c>
      <c r="AF64" s="129">
        <v>0</v>
      </c>
      <c r="AG64" s="129">
        <v>166783</v>
      </c>
      <c r="AH64" s="129">
        <v>-6815000</v>
      </c>
      <c r="AI64" s="129">
        <v>0</v>
      </c>
      <c r="AJ64" s="129">
        <v>-6815000</v>
      </c>
      <c r="AK64" s="129">
        <v>-55000</v>
      </c>
      <c r="AL64" s="129">
        <v>0</v>
      </c>
      <c r="AM64" s="129">
        <v>-55000</v>
      </c>
      <c r="AN64" s="129">
        <v>1147021</v>
      </c>
      <c r="AO64" s="129">
        <v>0</v>
      </c>
      <c r="AP64" s="129">
        <v>1147021</v>
      </c>
      <c r="AQ64" s="129">
        <v>-5667979</v>
      </c>
      <c r="AR64" s="129">
        <v>0</v>
      </c>
      <c r="AS64" s="129">
        <v>-5667979</v>
      </c>
      <c r="AT64" s="129">
        <v>-5295000</v>
      </c>
      <c r="AU64" s="129">
        <v>0</v>
      </c>
      <c r="AV64" s="129">
        <v>-5295000</v>
      </c>
      <c r="AW64" s="129">
        <v>-38495</v>
      </c>
      <c r="AX64" s="129">
        <v>0</v>
      </c>
      <c r="AY64" s="129">
        <v>-38495</v>
      </c>
      <c r="AZ64" s="129">
        <v>-15206</v>
      </c>
      <c r="BA64" s="129">
        <v>0</v>
      </c>
      <c r="BB64" s="129">
        <v>-15206</v>
      </c>
      <c r="BC64" s="129">
        <v>0</v>
      </c>
      <c r="BD64" s="129">
        <v>0</v>
      </c>
      <c r="BE64" s="129">
        <v>0</v>
      </c>
      <c r="BF64" s="129">
        <v>-11016680</v>
      </c>
      <c r="BG64" s="129">
        <v>0</v>
      </c>
      <c r="BH64" s="129">
        <v>0</v>
      </c>
      <c r="BI64" s="129">
        <v>0</v>
      </c>
      <c r="BJ64" s="129">
        <v>-11016680</v>
      </c>
      <c r="BK64" s="129">
        <v>0</v>
      </c>
      <c r="BL64" s="129">
        <v>-11016680</v>
      </c>
      <c r="BM64" s="129">
        <v>-100000</v>
      </c>
      <c r="BN64" s="129">
        <v>0</v>
      </c>
      <c r="BO64" s="129">
        <v>-100000</v>
      </c>
      <c r="BP64" s="129">
        <v>-1993000</v>
      </c>
      <c r="BQ64" s="129">
        <v>0</v>
      </c>
      <c r="BR64" s="129">
        <v>-1993000</v>
      </c>
      <c r="BS64" s="129">
        <v>-2093000</v>
      </c>
      <c r="BT64" s="129">
        <v>0</v>
      </c>
      <c r="BU64" s="129">
        <v>-400000</v>
      </c>
      <c r="BV64" s="129">
        <v>0</v>
      </c>
      <c r="BW64" s="129">
        <v>-2493000</v>
      </c>
      <c r="BX64" s="129">
        <v>0</v>
      </c>
      <c r="BY64" s="129">
        <v>-2493000</v>
      </c>
      <c r="BZ64" s="129">
        <v>-5000</v>
      </c>
      <c r="CA64" s="129">
        <v>0</v>
      </c>
      <c r="CB64" s="129">
        <v>-5000</v>
      </c>
      <c r="CC64" s="129">
        <v>-5000</v>
      </c>
      <c r="CD64" s="129">
        <v>0</v>
      </c>
      <c r="CE64" s="129">
        <v>-5000</v>
      </c>
      <c r="CF64" s="129">
        <v>-5000</v>
      </c>
      <c r="CG64" s="129">
        <v>0</v>
      </c>
      <c r="CH64" s="129">
        <v>-5000</v>
      </c>
      <c r="CI64" s="129">
        <v>-5000</v>
      </c>
      <c r="CJ64" s="129">
        <v>0</v>
      </c>
      <c r="CK64" s="129">
        <v>-5000</v>
      </c>
      <c r="CL64" s="129">
        <v>-5000</v>
      </c>
      <c r="CM64" s="129">
        <v>0</v>
      </c>
      <c r="CN64" s="129">
        <v>-5000</v>
      </c>
      <c r="CO64" s="129">
        <v>-5000</v>
      </c>
      <c r="CP64" s="129">
        <v>0</v>
      </c>
      <c r="CQ64" s="129">
        <v>-5000</v>
      </c>
      <c r="CR64" s="129">
        <v>0</v>
      </c>
      <c r="CS64" s="129">
        <v>0</v>
      </c>
      <c r="CT64" s="129">
        <v>-30000</v>
      </c>
      <c r="CU64" s="129">
        <v>0</v>
      </c>
      <c r="CV64" s="129">
        <v>0</v>
      </c>
      <c r="CW64" s="129">
        <v>0</v>
      </c>
      <c r="CX64" s="129">
        <v>-30000</v>
      </c>
      <c r="CY64" s="129">
        <v>0</v>
      </c>
      <c r="CZ64" s="129">
        <v>-30000</v>
      </c>
      <c r="DA64" s="129">
        <v>-15206</v>
      </c>
      <c r="DB64" s="129">
        <v>0</v>
      </c>
      <c r="DC64" s="129">
        <v>-15206</v>
      </c>
      <c r="DD64" s="129">
        <v>-46604</v>
      </c>
      <c r="DE64" s="129">
        <v>0</v>
      </c>
      <c r="DF64" s="129">
        <v>-46604</v>
      </c>
      <c r="DG64" s="129">
        <v>0</v>
      </c>
      <c r="DH64" s="129">
        <v>0</v>
      </c>
      <c r="DI64" s="129">
        <v>0</v>
      </c>
      <c r="DJ64" s="129">
        <v>-61810</v>
      </c>
      <c r="DK64" s="129">
        <v>0</v>
      </c>
      <c r="DL64" s="129">
        <v>0</v>
      </c>
      <c r="DM64" s="129">
        <v>0</v>
      </c>
      <c r="DN64" s="129">
        <v>-61810</v>
      </c>
      <c r="DO64" s="129">
        <v>0</v>
      </c>
      <c r="DP64" s="129">
        <v>-61810</v>
      </c>
      <c r="DQ64" s="129">
        <v>51111211</v>
      </c>
      <c r="DR64" s="129">
        <v>0</v>
      </c>
      <c r="DS64" s="129">
        <v>51111211</v>
      </c>
      <c r="DT64" s="662" t="s">
        <v>731</v>
      </c>
      <c r="DU64" s="324" t="s">
        <v>568</v>
      </c>
      <c r="DV64" s="663" t="s">
        <v>512</v>
      </c>
      <c r="DW64" s="529" t="s">
        <v>1271</v>
      </c>
    </row>
    <row r="65" spans="1:127" ht="12.75" x14ac:dyDescent="0.2">
      <c r="A65" s="664">
        <v>58</v>
      </c>
      <c r="B65" s="665" t="s">
        <v>734</v>
      </c>
      <c r="C65" s="666" t="s">
        <v>1201</v>
      </c>
      <c r="D65" s="667" t="s">
        <v>1204</v>
      </c>
      <c r="E65" s="668" t="s">
        <v>733</v>
      </c>
      <c r="F65" s="753" t="s">
        <v>1879</v>
      </c>
      <c r="G65" s="129">
        <v>67648009</v>
      </c>
      <c r="H65" s="129">
        <v>0</v>
      </c>
      <c r="I65" s="129">
        <v>67648009</v>
      </c>
      <c r="J65" s="793">
        <v>49.9</v>
      </c>
      <c r="K65" s="129">
        <v>33756356</v>
      </c>
      <c r="L65" s="129">
        <v>0</v>
      </c>
      <c r="M65" s="129">
        <v>0</v>
      </c>
      <c r="N65" s="129">
        <v>0</v>
      </c>
      <c r="O65" s="129">
        <v>33756356</v>
      </c>
      <c r="P65" s="129">
        <v>0</v>
      </c>
      <c r="Q65" s="129">
        <v>33756356</v>
      </c>
      <c r="R65" s="129">
        <v>-51608</v>
      </c>
      <c r="S65" s="129">
        <v>0</v>
      </c>
      <c r="T65" s="129">
        <v>-51608</v>
      </c>
      <c r="U65" s="129">
        <v>94258</v>
      </c>
      <c r="V65" s="129">
        <v>0</v>
      </c>
      <c r="W65" s="129">
        <v>94258</v>
      </c>
      <c r="X65" s="129">
        <v>42650</v>
      </c>
      <c r="Y65" s="129">
        <v>0</v>
      </c>
      <c r="Z65" s="129">
        <v>0</v>
      </c>
      <c r="AA65" s="129">
        <v>0</v>
      </c>
      <c r="AB65" s="129">
        <v>42650</v>
      </c>
      <c r="AC65" s="129">
        <v>0</v>
      </c>
      <c r="AD65" s="129">
        <v>42650</v>
      </c>
      <c r="AE65" s="129">
        <v>-42650</v>
      </c>
      <c r="AF65" s="129">
        <v>0</v>
      </c>
      <c r="AG65" s="129">
        <v>-42650</v>
      </c>
      <c r="AH65" s="129">
        <v>-3941076</v>
      </c>
      <c r="AI65" s="129">
        <v>0</v>
      </c>
      <c r="AJ65" s="129">
        <v>-3941076</v>
      </c>
      <c r="AK65" s="129">
        <v>-9843</v>
      </c>
      <c r="AL65" s="129">
        <v>0</v>
      </c>
      <c r="AM65" s="129">
        <v>-9843</v>
      </c>
      <c r="AN65" s="129">
        <v>569012</v>
      </c>
      <c r="AO65" s="129">
        <v>0</v>
      </c>
      <c r="AP65" s="129">
        <v>569012</v>
      </c>
      <c r="AQ65" s="129">
        <v>-3372064</v>
      </c>
      <c r="AR65" s="129">
        <v>0</v>
      </c>
      <c r="AS65" s="129">
        <v>-3372064</v>
      </c>
      <c r="AT65" s="129">
        <v>-2342948</v>
      </c>
      <c r="AU65" s="129">
        <v>0</v>
      </c>
      <c r="AV65" s="129">
        <v>-2342948</v>
      </c>
      <c r="AW65" s="129">
        <v>-31451</v>
      </c>
      <c r="AX65" s="129">
        <v>0</v>
      </c>
      <c r="AY65" s="129">
        <v>-31451</v>
      </c>
      <c r="AZ65" s="129">
        <v>-4736</v>
      </c>
      <c r="BA65" s="129">
        <v>0</v>
      </c>
      <c r="BB65" s="129">
        <v>-4736</v>
      </c>
      <c r="BC65" s="129">
        <v>0</v>
      </c>
      <c r="BD65" s="129">
        <v>0</v>
      </c>
      <c r="BE65" s="129">
        <v>0</v>
      </c>
      <c r="BF65" s="129">
        <v>-5751199</v>
      </c>
      <c r="BG65" s="129">
        <v>0</v>
      </c>
      <c r="BH65" s="129">
        <v>0</v>
      </c>
      <c r="BI65" s="129">
        <v>0</v>
      </c>
      <c r="BJ65" s="129">
        <v>-5751199</v>
      </c>
      <c r="BK65" s="129">
        <v>0</v>
      </c>
      <c r="BL65" s="129">
        <v>-5751199</v>
      </c>
      <c r="BM65" s="129">
        <v>0</v>
      </c>
      <c r="BN65" s="129">
        <v>0</v>
      </c>
      <c r="BO65" s="129">
        <v>0</v>
      </c>
      <c r="BP65" s="129">
        <v>-452053</v>
      </c>
      <c r="BQ65" s="129">
        <v>0</v>
      </c>
      <c r="BR65" s="129">
        <v>-452053</v>
      </c>
      <c r="BS65" s="129">
        <v>-452053</v>
      </c>
      <c r="BT65" s="129">
        <v>0</v>
      </c>
      <c r="BU65" s="129">
        <v>0</v>
      </c>
      <c r="BV65" s="129">
        <v>0</v>
      </c>
      <c r="BW65" s="129">
        <v>-452053</v>
      </c>
      <c r="BX65" s="129">
        <v>0</v>
      </c>
      <c r="BY65" s="129">
        <v>-452053</v>
      </c>
      <c r="BZ65" s="129">
        <v>-13289</v>
      </c>
      <c r="CA65" s="129">
        <v>0</v>
      </c>
      <c r="CB65" s="129">
        <v>-13289</v>
      </c>
      <c r="CC65" s="129">
        <v>0</v>
      </c>
      <c r="CD65" s="129">
        <v>0</v>
      </c>
      <c r="CE65" s="129">
        <v>0</v>
      </c>
      <c r="CF65" s="129">
        <v>0</v>
      </c>
      <c r="CG65" s="129">
        <v>0</v>
      </c>
      <c r="CH65" s="129">
        <v>0</v>
      </c>
      <c r="CI65" s="129">
        <v>0</v>
      </c>
      <c r="CJ65" s="129">
        <v>0</v>
      </c>
      <c r="CK65" s="129">
        <v>0</v>
      </c>
      <c r="CL65" s="129">
        <v>0</v>
      </c>
      <c r="CM65" s="129">
        <v>0</v>
      </c>
      <c r="CN65" s="129">
        <v>0</v>
      </c>
      <c r="CO65" s="129">
        <v>0</v>
      </c>
      <c r="CP65" s="129">
        <v>0</v>
      </c>
      <c r="CQ65" s="129">
        <v>0</v>
      </c>
      <c r="CR65" s="129">
        <v>0</v>
      </c>
      <c r="CS65" s="129">
        <v>0</v>
      </c>
      <c r="CT65" s="129">
        <v>-13289</v>
      </c>
      <c r="CU65" s="129">
        <v>0</v>
      </c>
      <c r="CV65" s="129">
        <v>0</v>
      </c>
      <c r="CW65" s="129">
        <v>0</v>
      </c>
      <c r="CX65" s="129">
        <v>-13289</v>
      </c>
      <c r="CY65" s="129">
        <v>0</v>
      </c>
      <c r="CZ65" s="129">
        <v>-13289</v>
      </c>
      <c r="DA65" s="129">
        <v>-4736</v>
      </c>
      <c r="DB65" s="129">
        <v>0</v>
      </c>
      <c r="DC65" s="129">
        <v>-4736</v>
      </c>
      <c r="DD65" s="129">
        <v>-25290</v>
      </c>
      <c r="DE65" s="129">
        <v>0</v>
      </c>
      <c r="DF65" s="129">
        <v>-25290</v>
      </c>
      <c r="DG65" s="129">
        <v>0</v>
      </c>
      <c r="DH65" s="129">
        <v>0</v>
      </c>
      <c r="DI65" s="129">
        <v>0</v>
      </c>
      <c r="DJ65" s="129">
        <v>-30026</v>
      </c>
      <c r="DK65" s="129">
        <v>0</v>
      </c>
      <c r="DL65" s="129">
        <v>0</v>
      </c>
      <c r="DM65" s="129">
        <v>0</v>
      </c>
      <c r="DN65" s="129">
        <v>-30026</v>
      </c>
      <c r="DO65" s="129">
        <v>0</v>
      </c>
      <c r="DP65" s="129">
        <v>-30026</v>
      </c>
      <c r="DQ65" s="129">
        <v>27552439</v>
      </c>
      <c r="DR65" s="129">
        <v>0</v>
      </c>
      <c r="DS65" s="129">
        <v>27552439</v>
      </c>
      <c r="DT65" s="662" t="s">
        <v>733</v>
      </c>
      <c r="DU65" s="324" t="s">
        <v>547</v>
      </c>
      <c r="DV65" s="663" t="s">
        <v>545</v>
      </c>
      <c r="DW65" s="529" t="s">
        <v>1272</v>
      </c>
    </row>
    <row r="66" spans="1:127" ht="12.75" x14ac:dyDescent="0.2">
      <c r="A66" s="664">
        <v>59</v>
      </c>
      <c r="B66" s="665" t="s">
        <v>0</v>
      </c>
      <c r="C66" s="666" t="s">
        <v>1257</v>
      </c>
      <c r="D66" s="667" t="s">
        <v>1214</v>
      </c>
      <c r="E66" s="668" t="s">
        <v>735</v>
      </c>
      <c r="F66" s="753" t="s">
        <v>1879</v>
      </c>
      <c r="G66" s="129">
        <v>2607686889</v>
      </c>
      <c r="H66" s="129">
        <v>0</v>
      </c>
      <c r="I66" s="129">
        <v>2607686889</v>
      </c>
      <c r="J66" s="793">
        <v>49.9</v>
      </c>
      <c r="K66" s="129">
        <v>1301235758</v>
      </c>
      <c r="L66" s="129">
        <v>0</v>
      </c>
      <c r="M66" s="129">
        <v>25126432</v>
      </c>
      <c r="N66" s="129">
        <v>0</v>
      </c>
      <c r="O66" s="129">
        <v>1326362190</v>
      </c>
      <c r="P66" s="129">
        <v>0</v>
      </c>
      <c r="Q66" s="129">
        <v>1326362190</v>
      </c>
      <c r="R66" s="129">
        <v>-446964</v>
      </c>
      <c r="S66" s="129">
        <v>0</v>
      </c>
      <c r="T66" s="129">
        <v>-446964</v>
      </c>
      <c r="U66" s="129">
        <v>89575</v>
      </c>
      <c r="V66" s="129">
        <v>0</v>
      </c>
      <c r="W66" s="129">
        <v>89575</v>
      </c>
      <c r="X66" s="129">
        <v>-357389</v>
      </c>
      <c r="Y66" s="129">
        <v>0</v>
      </c>
      <c r="Z66" s="129">
        <v>0</v>
      </c>
      <c r="AA66" s="129">
        <v>0</v>
      </c>
      <c r="AB66" s="129">
        <v>-357389</v>
      </c>
      <c r="AC66" s="129">
        <v>0</v>
      </c>
      <c r="AD66" s="129">
        <v>-357389</v>
      </c>
      <c r="AE66" s="129">
        <v>357389</v>
      </c>
      <c r="AF66" s="129">
        <v>0</v>
      </c>
      <c r="AG66" s="129">
        <v>357389</v>
      </c>
      <c r="AH66" s="129">
        <v>-2949825</v>
      </c>
      <c r="AI66" s="129">
        <v>0</v>
      </c>
      <c r="AJ66" s="129">
        <v>-2949825</v>
      </c>
      <c r="AK66" s="129">
        <v>0</v>
      </c>
      <c r="AL66" s="129">
        <v>0</v>
      </c>
      <c r="AM66" s="129">
        <v>0</v>
      </c>
      <c r="AN66" s="129">
        <v>31914540</v>
      </c>
      <c r="AO66" s="129">
        <v>0</v>
      </c>
      <c r="AP66" s="129">
        <v>31914540</v>
      </c>
      <c r="AQ66" s="129">
        <v>28964715</v>
      </c>
      <c r="AR66" s="129">
        <v>0</v>
      </c>
      <c r="AS66" s="129">
        <v>28964715</v>
      </c>
      <c r="AT66" s="129">
        <v>-17590443</v>
      </c>
      <c r="AU66" s="129">
        <v>0</v>
      </c>
      <c r="AV66" s="129">
        <v>-17590443</v>
      </c>
      <c r="AW66" s="129">
        <v>0</v>
      </c>
      <c r="AX66" s="129">
        <v>0</v>
      </c>
      <c r="AY66" s="129">
        <v>0</v>
      </c>
      <c r="AZ66" s="129">
        <v>0</v>
      </c>
      <c r="BA66" s="129">
        <v>0</v>
      </c>
      <c r="BB66" s="129">
        <v>0</v>
      </c>
      <c r="BC66" s="129">
        <v>0</v>
      </c>
      <c r="BD66" s="129">
        <v>0</v>
      </c>
      <c r="BE66" s="129">
        <v>0</v>
      </c>
      <c r="BF66" s="129">
        <v>11374272</v>
      </c>
      <c r="BG66" s="129">
        <v>0</v>
      </c>
      <c r="BH66" s="129">
        <v>219523</v>
      </c>
      <c r="BI66" s="129">
        <v>0</v>
      </c>
      <c r="BJ66" s="129">
        <v>11593795</v>
      </c>
      <c r="BK66" s="129">
        <v>0</v>
      </c>
      <c r="BL66" s="129">
        <v>11593795</v>
      </c>
      <c r="BM66" s="129">
        <v>-1200359</v>
      </c>
      <c r="BN66" s="129">
        <v>0</v>
      </c>
      <c r="BO66" s="129">
        <v>-1200359</v>
      </c>
      <c r="BP66" s="129">
        <v>-52836615</v>
      </c>
      <c r="BQ66" s="129">
        <v>0</v>
      </c>
      <c r="BR66" s="129">
        <v>-52836615</v>
      </c>
      <c r="BS66" s="129">
        <v>-54036974</v>
      </c>
      <c r="BT66" s="129">
        <v>0</v>
      </c>
      <c r="BU66" s="129">
        <v>-1042914</v>
      </c>
      <c r="BV66" s="129">
        <v>0</v>
      </c>
      <c r="BW66" s="129">
        <v>-55079888</v>
      </c>
      <c r="BX66" s="129">
        <v>0</v>
      </c>
      <c r="BY66" s="129">
        <v>-55079888</v>
      </c>
      <c r="BZ66" s="129">
        <v>-208704</v>
      </c>
      <c r="CA66" s="129">
        <v>0</v>
      </c>
      <c r="CB66" s="129">
        <v>-208704</v>
      </c>
      <c r="CC66" s="129">
        <v>-60534</v>
      </c>
      <c r="CD66" s="129">
        <v>0</v>
      </c>
      <c r="CE66" s="129">
        <v>-60534</v>
      </c>
      <c r="CF66" s="129">
        <v>0</v>
      </c>
      <c r="CG66" s="129">
        <v>0</v>
      </c>
      <c r="CH66" s="129">
        <v>0</v>
      </c>
      <c r="CI66" s="129">
        <v>0</v>
      </c>
      <c r="CJ66" s="129">
        <v>0</v>
      </c>
      <c r="CK66" s="129">
        <v>0</v>
      </c>
      <c r="CL66" s="129">
        <v>0</v>
      </c>
      <c r="CM66" s="129">
        <v>0</v>
      </c>
      <c r="CN66" s="129">
        <v>0</v>
      </c>
      <c r="CO66" s="129">
        <v>0</v>
      </c>
      <c r="CP66" s="129">
        <v>0</v>
      </c>
      <c r="CQ66" s="129">
        <v>0</v>
      </c>
      <c r="CR66" s="129">
        <v>0</v>
      </c>
      <c r="CS66" s="129">
        <v>0</v>
      </c>
      <c r="CT66" s="129">
        <v>-269238</v>
      </c>
      <c r="CU66" s="129">
        <v>0</v>
      </c>
      <c r="CV66" s="129">
        <v>-5196</v>
      </c>
      <c r="CW66" s="129">
        <v>0</v>
      </c>
      <c r="CX66" s="129">
        <v>-274434</v>
      </c>
      <c r="CY66" s="129">
        <v>0</v>
      </c>
      <c r="CZ66" s="129">
        <v>-274434</v>
      </c>
      <c r="DA66" s="129">
        <v>0</v>
      </c>
      <c r="DB66" s="129">
        <v>0</v>
      </c>
      <c r="DC66" s="129">
        <v>0</v>
      </c>
      <c r="DD66" s="129">
        <v>-14753</v>
      </c>
      <c r="DE66" s="129">
        <v>0</v>
      </c>
      <c r="DF66" s="129">
        <v>-14753</v>
      </c>
      <c r="DG66" s="129">
        <v>-1422</v>
      </c>
      <c r="DH66" s="129">
        <v>0</v>
      </c>
      <c r="DI66" s="129">
        <v>-1422</v>
      </c>
      <c r="DJ66" s="129">
        <v>-16175</v>
      </c>
      <c r="DK66" s="129">
        <v>0</v>
      </c>
      <c r="DL66" s="129">
        <v>0</v>
      </c>
      <c r="DM66" s="129">
        <v>0</v>
      </c>
      <c r="DN66" s="129">
        <v>-16175</v>
      </c>
      <c r="DO66" s="129">
        <v>0</v>
      </c>
      <c r="DP66" s="129">
        <v>-16175</v>
      </c>
      <c r="DQ66" s="129">
        <v>1282228099</v>
      </c>
      <c r="DR66" s="129">
        <v>0</v>
      </c>
      <c r="DS66" s="129">
        <v>1282228099</v>
      </c>
      <c r="DT66" s="662" t="s">
        <v>735</v>
      </c>
      <c r="DU66" s="324" t="s">
        <v>35</v>
      </c>
      <c r="DV66" s="669" t="s">
        <v>485</v>
      </c>
      <c r="DW66" s="529" t="s">
        <v>1273</v>
      </c>
    </row>
    <row r="67" spans="1:127" ht="12.75" x14ac:dyDescent="0.2">
      <c r="A67" s="664">
        <v>60</v>
      </c>
      <c r="B67" s="665" t="s">
        <v>2</v>
      </c>
      <c r="C67" s="666" t="s">
        <v>1201</v>
      </c>
      <c r="D67" s="667" t="s">
        <v>1211</v>
      </c>
      <c r="E67" s="668" t="s">
        <v>1</v>
      </c>
      <c r="F67" s="753" t="s">
        <v>1878</v>
      </c>
      <c r="G67" s="129">
        <v>163614144</v>
      </c>
      <c r="H67" s="129">
        <v>0</v>
      </c>
      <c r="I67" s="129">
        <v>163614144</v>
      </c>
      <c r="J67" s="793">
        <v>49.9</v>
      </c>
      <c r="K67" s="129">
        <v>81643458</v>
      </c>
      <c r="L67" s="129">
        <v>0</v>
      </c>
      <c r="M67" s="129">
        <v>-2000000</v>
      </c>
      <c r="N67" s="129">
        <v>0</v>
      </c>
      <c r="O67" s="129">
        <v>79643458</v>
      </c>
      <c r="P67" s="129">
        <v>0</v>
      </c>
      <c r="Q67" s="129">
        <v>79643458</v>
      </c>
      <c r="R67" s="129">
        <v>-73288</v>
      </c>
      <c r="S67" s="129">
        <v>0</v>
      </c>
      <c r="T67" s="129">
        <v>-73288</v>
      </c>
      <c r="U67" s="129">
        <v>122528</v>
      </c>
      <c r="V67" s="129">
        <v>0</v>
      </c>
      <c r="W67" s="129">
        <v>122528</v>
      </c>
      <c r="X67" s="129">
        <v>49240</v>
      </c>
      <c r="Y67" s="129">
        <v>0</v>
      </c>
      <c r="Z67" s="129">
        <v>0</v>
      </c>
      <c r="AA67" s="129">
        <v>0</v>
      </c>
      <c r="AB67" s="129">
        <v>49240</v>
      </c>
      <c r="AC67" s="129">
        <v>0</v>
      </c>
      <c r="AD67" s="129">
        <v>49240</v>
      </c>
      <c r="AE67" s="129">
        <v>-49240</v>
      </c>
      <c r="AF67" s="129">
        <v>0</v>
      </c>
      <c r="AG67" s="129">
        <v>-49240</v>
      </c>
      <c r="AH67" s="129">
        <v>-6322049</v>
      </c>
      <c r="AI67" s="129">
        <v>0</v>
      </c>
      <c r="AJ67" s="129">
        <v>-6322049</v>
      </c>
      <c r="AK67" s="129">
        <v>0</v>
      </c>
      <c r="AL67" s="129">
        <v>0</v>
      </c>
      <c r="AM67" s="129">
        <v>0</v>
      </c>
      <c r="AN67" s="129">
        <v>1510717</v>
      </c>
      <c r="AO67" s="129">
        <v>0</v>
      </c>
      <c r="AP67" s="129">
        <v>1510717</v>
      </c>
      <c r="AQ67" s="129">
        <v>-4811332</v>
      </c>
      <c r="AR67" s="129">
        <v>0</v>
      </c>
      <c r="AS67" s="129">
        <v>-4811332</v>
      </c>
      <c r="AT67" s="129">
        <v>-6875771</v>
      </c>
      <c r="AU67" s="129">
        <v>0</v>
      </c>
      <c r="AV67" s="129">
        <v>-6875771</v>
      </c>
      <c r="AW67" s="129">
        <v>-53412</v>
      </c>
      <c r="AX67" s="129">
        <v>0</v>
      </c>
      <c r="AY67" s="129">
        <v>-53412</v>
      </c>
      <c r="AZ67" s="129">
        <v>-5122</v>
      </c>
      <c r="BA67" s="129">
        <v>0</v>
      </c>
      <c r="BB67" s="129">
        <v>-5122</v>
      </c>
      <c r="BC67" s="129">
        <v>0</v>
      </c>
      <c r="BD67" s="129">
        <v>0</v>
      </c>
      <c r="BE67" s="129">
        <v>0</v>
      </c>
      <c r="BF67" s="129">
        <v>-11745637</v>
      </c>
      <c r="BG67" s="129">
        <v>0</v>
      </c>
      <c r="BH67" s="129">
        <v>0</v>
      </c>
      <c r="BI67" s="129">
        <v>0</v>
      </c>
      <c r="BJ67" s="129">
        <v>-11745637</v>
      </c>
      <c r="BK67" s="129">
        <v>0</v>
      </c>
      <c r="BL67" s="129">
        <v>-11745637</v>
      </c>
      <c r="BM67" s="129">
        <v>-5000</v>
      </c>
      <c r="BN67" s="129">
        <v>0</v>
      </c>
      <c r="BO67" s="129">
        <v>-5000</v>
      </c>
      <c r="BP67" s="129">
        <v>-1539290</v>
      </c>
      <c r="BQ67" s="129">
        <v>0</v>
      </c>
      <c r="BR67" s="129">
        <v>-1539290</v>
      </c>
      <c r="BS67" s="129">
        <v>-1544290</v>
      </c>
      <c r="BT67" s="129">
        <v>0</v>
      </c>
      <c r="BU67" s="129">
        <v>0</v>
      </c>
      <c r="BV67" s="129">
        <v>0</v>
      </c>
      <c r="BW67" s="129">
        <v>-1544290</v>
      </c>
      <c r="BX67" s="129">
        <v>0</v>
      </c>
      <c r="BY67" s="129">
        <v>-1544290</v>
      </c>
      <c r="BZ67" s="129">
        <v>-80948</v>
      </c>
      <c r="CA67" s="129">
        <v>0</v>
      </c>
      <c r="CB67" s="129">
        <v>-80948</v>
      </c>
      <c r="CC67" s="129">
        <v>0</v>
      </c>
      <c r="CD67" s="129">
        <v>0</v>
      </c>
      <c r="CE67" s="129">
        <v>0</v>
      </c>
      <c r="CF67" s="129">
        <v>-7319</v>
      </c>
      <c r="CG67" s="129">
        <v>0</v>
      </c>
      <c r="CH67" s="129">
        <v>-7319</v>
      </c>
      <c r="CI67" s="129">
        <v>0</v>
      </c>
      <c r="CJ67" s="129">
        <v>0</v>
      </c>
      <c r="CK67" s="129">
        <v>0</v>
      </c>
      <c r="CL67" s="129">
        <v>0</v>
      </c>
      <c r="CM67" s="129">
        <v>0</v>
      </c>
      <c r="CN67" s="129">
        <v>0</v>
      </c>
      <c r="CO67" s="129">
        <v>0</v>
      </c>
      <c r="CP67" s="129">
        <v>0</v>
      </c>
      <c r="CQ67" s="129">
        <v>0</v>
      </c>
      <c r="CR67" s="129">
        <v>0</v>
      </c>
      <c r="CS67" s="129">
        <v>0</v>
      </c>
      <c r="CT67" s="129">
        <v>-88267</v>
      </c>
      <c r="CU67" s="129">
        <v>0</v>
      </c>
      <c r="CV67" s="129">
        <v>0</v>
      </c>
      <c r="CW67" s="129">
        <v>0</v>
      </c>
      <c r="CX67" s="129">
        <v>-88267</v>
      </c>
      <c r="CY67" s="129">
        <v>0</v>
      </c>
      <c r="CZ67" s="129">
        <v>-88267</v>
      </c>
      <c r="DA67" s="129">
        <v>-5122</v>
      </c>
      <c r="DB67" s="129">
        <v>0</v>
      </c>
      <c r="DC67" s="129">
        <v>-5122</v>
      </c>
      <c r="DD67" s="129">
        <v>-7258</v>
      </c>
      <c r="DE67" s="129">
        <v>0</v>
      </c>
      <c r="DF67" s="129">
        <v>-7258</v>
      </c>
      <c r="DG67" s="129">
        <v>-1500</v>
      </c>
      <c r="DH67" s="129">
        <v>0</v>
      </c>
      <c r="DI67" s="129">
        <v>-1500</v>
      </c>
      <c r="DJ67" s="129">
        <v>-13880</v>
      </c>
      <c r="DK67" s="129">
        <v>0</v>
      </c>
      <c r="DL67" s="129">
        <v>0</v>
      </c>
      <c r="DM67" s="129">
        <v>0</v>
      </c>
      <c r="DN67" s="129">
        <v>-13880</v>
      </c>
      <c r="DO67" s="129">
        <v>0</v>
      </c>
      <c r="DP67" s="129">
        <v>-13880</v>
      </c>
      <c r="DQ67" s="129">
        <v>66300624</v>
      </c>
      <c r="DR67" s="129">
        <v>0</v>
      </c>
      <c r="DS67" s="129">
        <v>66300624</v>
      </c>
      <c r="DT67" s="662" t="s">
        <v>1</v>
      </c>
      <c r="DU67" s="324" t="s">
        <v>528</v>
      </c>
      <c r="DV67" s="663" t="s">
        <v>1913</v>
      </c>
      <c r="DW67" s="529" t="s">
        <v>1274</v>
      </c>
    </row>
    <row r="68" spans="1:127" ht="12.75" x14ac:dyDescent="0.2">
      <c r="A68" s="664">
        <v>61</v>
      </c>
      <c r="B68" s="665" t="s">
        <v>4</v>
      </c>
      <c r="C68" s="666" t="s">
        <v>1201</v>
      </c>
      <c r="D68" s="667" t="s">
        <v>1204</v>
      </c>
      <c r="E68" s="668" t="s">
        <v>3</v>
      </c>
      <c r="F68" s="753" t="s">
        <v>1891</v>
      </c>
      <c r="G68" s="129">
        <v>84282656</v>
      </c>
      <c r="H68" s="129">
        <v>0</v>
      </c>
      <c r="I68" s="129">
        <v>84282656</v>
      </c>
      <c r="J68" s="793">
        <v>49.9</v>
      </c>
      <c r="K68" s="129">
        <v>42057045</v>
      </c>
      <c r="L68" s="129">
        <v>0</v>
      </c>
      <c r="M68" s="129">
        <v>34827</v>
      </c>
      <c r="N68" s="129">
        <v>0</v>
      </c>
      <c r="O68" s="129">
        <v>42091872</v>
      </c>
      <c r="P68" s="129">
        <v>0</v>
      </c>
      <c r="Q68" s="129">
        <v>42091872</v>
      </c>
      <c r="R68" s="129">
        <v>-113844</v>
      </c>
      <c r="S68" s="129">
        <v>0</v>
      </c>
      <c r="T68" s="129">
        <v>-113844</v>
      </c>
      <c r="U68" s="129">
        <v>2000232</v>
      </c>
      <c r="V68" s="129">
        <v>0</v>
      </c>
      <c r="W68" s="129">
        <v>2000232</v>
      </c>
      <c r="X68" s="129">
        <v>1886388</v>
      </c>
      <c r="Y68" s="129">
        <v>0</v>
      </c>
      <c r="Z68" s="129">
        <v>0</v>
      </c>
      <c r="AA68" s="129">
        <v>0</v>
      </c>
      <c r="AB68" s="129">
        <v>1886388</v>
      </c>
      <c r="AC68" s="129">
        <v>0</v>
      </c>
      <c r="AD68" s="129">
        <v>1886388</v>
      </c>
      <c r="AE68" s="129">
        <v>-1886388</v>
      </c>
      <c r="AF68" s="129">
        <v>0</v>
      </c>
      <c r="AG68" s="129">
        <v>-1886388</v>
      </c>
      <c r="AH68" s="129">
        <v>-2689063</v>
      </c>
      <c r="AI68" s="129">
        <v>0</v>
      </c>
      <c r="AJ68" s="129">
        <v>-2689063</v>
      </c>
      <c r="AK68" s="129">
        <v>-1347</v>
      </c>
      <c r="AL68" s="129">
        <v>0</v>
      </c>
      <c r="AM68" s="129">
        <v>-1347</v>
      </c>
      <c r="AN68" s="129">
        <v>878450</v>
      </c>
      <c r="AO68" s="129">
        <v>0</v>
      </c>
      <c r="AP68" s="129">
        <v>878450</v>
      </c>
      <c r="AQ68" s="129">
        <v>-1810613</v>
      </c>
      <c r="AR68" s="129">
        <v>0</v>
      </c>
      <c r="AS68" s="129">
        <v>-1810613</v>
      </c>
      <c r="AT68" s="129">
        <v>-1389349</v>
      </c>
      <c r="AU68" s="129">
        <v>0</v>
      </c>
      <c r="AV68" s="129">
        <v>-1389349</v>
      </c>
      <c r="AW68" s="129">
        <v>-61798</v>
      </c>
      <c r="AX68" s="129">
        <v>0</v>
      </c>
      <c r="AY68" s="129">
        <v>-61798</v>
      </c>
      <c r="AZ68" s="129">
        <v>-16268</v>
      </c>
      <c r="BA68" s="129">
        <v>0</v>
      </c>
      <c r="BB68" s="129">
        <v>-16268</v>
      </c>
      <c r="BC68" s="129">
        <v>0</v>
      </c>
      <c r="BD68" s="129">
        <v>0</v>
      </c>
      <c r="BE68" s="129">
        <v>0</v>
      </c>
      <c r="BF68" s="129">
        <v>-3278028</v>
      </c>
      <c r="BG68" s="129">
        <v>0</v>
      </c>
      <c r="BH68" s="129">
        <v>0</v>
      </c>
      <c r="BI68" s="129">
        <v>0</v>
      </c>
      <c r="BJ68" s="129">
        <v>-3278028</v>
      </c>
      <c r="BK68" s="129">
        <v>0</v>
      </c>
      <c r="BL68" s="129">
        <v>-3278028</v>
      </c>
      <c r="BM68" s="129">
        <v>0</v>
      </c>
      <c r="BN68" s="129">
        <v>0</v>
      </c>
      <c r="BO68" s="129">
        <v>0</v>
      </c>
      <c r="BP68" s="129">
        <v>-379838</v>
      </c>
      <c r="BQ68" s="129">
        <v>0</v>
      </c>
      <c r="BR68" s="129">
        <v>-379838</v>
      </c>
      <c r="BS68" s="129">
        <v>-379838</v>
      </c>
      <c r="BT68" s="129">
        <v>0</v>
      </c>
      <c r="BU68" s="129">
        <v>-30000</v>
      </c>
      <c r="BV68" s="129">
        <v>0</v>
      </c>
      <c r="BW68" s="129">
        <v>-409838</v>
      </c>
      <c r="BX68" s="129">
        <v>0</v>
      </c>
      <c r="BY68" s="129">
        <v>-409838</v>
      </c>
      <c r="BZ68" s="129">
        <v>-10058</v>
      </c>
      <c r="CA68" s="129">
        <v>0</v>
      </c>
      <c r="CB68" s="129">
        <v>-10058</v>
      </c>
      <c r="CC68" s="129">
        <v>0</v>
      </c>
      <c r="CD68" s="129">
        <v>0</v>
      </c>
      <c r="CE68" s="129">
        <v>0</v>
      </c>
      <c r="CF68" s="129">
        <v>0</v>
      </c>
      <c r="CG68" s="129">
        <v>0</v>
      </c>
      <c r="CH68" s="129">
        <v>0</v>
      </c>
      <c r="CI68" s="129">
        <v>-1280</v>
      </c>
      <c r="CJ68" s="129">
        <v>0</v>
      </c>
      <c r="CK68" s="129">
        <v>-1280</v>
      </c>
      <c r="CL68" s="129">
        <v>0</v>
      </c>
      <c r="CM68" s="129">
        <v>0</v>
      </c>
      <c r="CN68" s="129">
        <v>0</v>
      </c>
      <c r="CO68" s="129">
        <v>0</v>
      </c>
      <c r="CP68" s="129">
        <v>0</v>
      </c>
      <c r="CQ68" s="129">
        <v>0</v>
      </c>
      <c r="CR68" s="129">
        <v>0</v>
      </c>
      <c r="CS68" s="129">
        <v>0</v>
      </c>
      <c r="CT68" s="129">
        <v>-11338</v>
      </c>
      <c r="CU68" s="129">
        <v>0</v>
      </c>
      <c r="CV68" s="129">
        <v>0</v>
      </c>
      <c r="CW68" s="129">
        <v>0</v>
      </c>
      <c r="CX68" s="129">
        <v>-11338</v>
      </c>
      <c r="CY68" s="129">
        <v>0</v>
      </c>
      <c r="CZ68" s="129">
        <v>-11338</v>
      </c>
      <c r="DA68" s="129">
        <v>-17782</v>
      </c>
      <c r="DB68" s="129">
        <v>0</v>
      </c>
      <c r="DC68" s="129">
        <v>-17782</v>
      </c>
      <c r="DD68" s="129">
        <v>-10000</v>
      </c>
      <c r="DE68" s="129">
        <v>0</v>
      </c>
      <c r="DF68" s="129">
        <v>-10000</v>
      </c>
      <c r="DG68" s="129">
        <v>0</v>
      </c>
      <c r="DH68" s="129">
        <v>0</v>
      </c>
      <c r="DI68" s="129">
        <v>0</v>
      </c>
      <c r="DJ68" s="129">
        <v>-27782</v>
      </c>
      <c r="DK68" s="129">
        <v>0</v>
      </c>
      <c r="DL68" s="129">
        <v>0</v>
      </c>
      <c r="DM68" s="129">
        <v>0</v>
      </c>
      <c r="DN68" s="129">
        <v>-27782</v>
      </c>
      <c r="DO68" s="129">
        <v>0</v>
      </c>
      <c r="DP68" s="129">
        <v>-27782</v>
      </c>
      <c r="DQ68" s="129">
        <v>40251274</v>
      </c>
      <c r="DR68" s="129">
        <v>0</v>
      </c>
      <c r="DS68" s="129">
        <v>40251274</v>
      </c>
      <c r="DT68" s="662" t="s">
        <v>3</v>
      </c>
      <c r="DU68" s="324" t="s">
        <v>513</v>
      </c>
      <c r="DV68" s="663" t="s">
        <v>512</v>
      </c>
      <c r="DW68" s="529" t="s">
        <v>1275</v>
      </c>
    </row>
    <row r="69" spans="1:127" ht="12.75" x14ac:dyDescent="0.2">
      <c r="A69" s="664">
        <v>62</v>
      </c>
      <c r="B69" s="665" t="s">
        <v>6</v>
      </c>
      <c r="C69" s="666" t="s">
        <v>486</v>
      </c>
      <c r="D69" s="667" t="s">
        <v>1224</v>
      </c>
      <c r="E69" s="668" t="s">
        <v>5</v>
      </c>
      <c r="F69" s="753" t="s">
        <v>1879</v>
      </c>
      <c r="G69" s="129">
        <v>479479521</v>
      </c>
      <c r="H69" s="129">
        <v>2973600</v>
      </c>
      <c r="I69" s="129">
        <v>482453121</v>
      </c>
      <c r="J69" s="793">
        <v>49.9</v>
      </c>
      <c r="K69" s="129">
        <v>239260281</v>
      </c>
      <c r="L69" s="129">
        <v>1483826</v>
      </c>
      <c r="M69" s="129">
        <v>-500000</v>
      </c>
      <c r="N69" s="129">
        <v>0</v>
      </c>
      <c r="O69" s="129">
        <v>238760281</v>
      </c>
      <c r="P69" s="129">
        <v>1483826</v>
      </c>
      <c r="Q69" s="129">
        <v>240244107</v>
      </c>
      <c r="R69" s="129">
        <v>-677273</v>
      </c>
      <c r="S69" s="129">
        <v>0</v>
      </c>
      <c r="T69" s="129">
        <v>-677273</v>
      </c>
      <c r="U69" s="129">
        <v>913243</v>
      </c>
      <c r="V69" s="129">
        <v>0</v>
      </c>
      <c r="W69" s="129">
        <v>913243</v>
      </c>
      <c r="X69" s="129">
        <v>235970</v>
      </c>
      <c r="Y69" s="129">
        <v>0</v>
      </c>
      <c r="Z69" s="129">
        <v>0</v>
      </c>
      <c r="AA69" s="129">
        <v>0</v>
      </c>
      <c r="AB69" s="129">
        <v>235970</v>
      </c>
      <c r="AC69" s="129">
        <v>0</v>
      </c>
      <c r="AD69" s="129">
        <v>235970</v>
      </c>
      <c r="AE69" s="129">
        <v>-235970</v>
      </c>
      <c r="AF69" s="129">
        <v>0</v>
      </c>
      <c r="AG69" s="129">
        <v>-235970</v>
      </c>
      <c r="AH69" s="129">
        <v>-46628647</v>
      </c>
      <c r="AI69" s="129">
        <v>-21962</v>
      </c>
      <c r="AJ69" s="129">
        <v>-46650609</v>
      </c>
      <c r="AK69" s="129">
        <v>-45059</v>
      </c>
      <c r="AL69" s="129">
        <v>0</v>
      </c>
      <c r="AM69" s="129">
        <v>-45059</v>
      </c>
      <c r="AN69" s="129">
        <v>3276502</v>
      </c>
      <c r="AO69" s="129">
        <v>29604</v>
      </c>
      <c r="AP69" s="129">
        <v>3306106</v>
      </c>
      <c r="AQ69" s="129">
        <v>-43352145</v>
      </c>
      <c r="AR69" s="129">
        <v>7642</v>
      </c>
      <c r="AS69" s="129">
        <v>-43344503</v>
      </c>
      <c r="AT69" s="129">
        <v>-19497545</v>
      </c>
      <c r="AU69" s="129">
        <v>0</v>
      </c>
      <c r="AV69" s="129">
        <v>-19497545</v>
      </c>
      <c r="AW69" s="129">
        <v>-219392</v>
      </c>
      <c r="AX69" s="129">
        <v>0</v>
      </c>
      <c r="AY69" s="129">
        <v>-219392</v>
      </c>
      <c r="AZ69" s="129">
        <v>-162497</v>
      </c>
      <c r="BA69" s="129">
        <v>0</v>
      </c>
      <c r="BB69" s="129">
        <v>-162497</v>
      </c>
      <c r="BC69" s="129">
        <v>0</v>
      </c>
      <c r="BD69" s="129">
        <v>0</v>
      </c>
      <c r="BE69" s="129">
        <v>0</v>
      </c>
      <c r="BF69" s="129">
        <v>-63231579</v>
      </c>
      <c r="BG69" s="129">
        <v>7642</v>
      </c>
      <c r="BH69" s="129">
        <v>0</v>
      </c>
      <c r="BI69" s="129">
        <v>0</v>
      </c>
      <c r="BJ69" s="129">
        <v>-63231579</v>
      </c>
      <c r="BK69" s="129">
        <v>7642</v>
      </c>
      <c r="BL69" s="129">
        <v>-63223937</v>
      </c>
      <c r="BM69" s="129">
        <v>-5376</v>
      </c>
      <c r="BN69" s="129">
        <v>0</v>
      </c>
      <c r="BO69" s="129">
        <v>-5376</v>
      </c>
      <c r="BP69" s="129">
        <v>-3565377</v>
      </c>
      <c r="BQ69" s="129">
        <v>-674</v>
      </c>
      <c r="BR69" s="129">
        <v>-3566051</v>
      </c>
      <c r="BS69" s="129">
        <v>-3570753</v>
      </c>
      <c r="BT69" s="129">
        <v>-674</v>
      </c>
      <c r="BU69" s="129">
        <v>-1000000</v>
      </c>
      <c r="BV69" s="129">
        <v>0</v>
      </c>
      <c r="BW69" s="129">
        <v>-4570753</v>
      </c>
      <c r="BX69" s="129">
        <v>-674</v>
      </c>
      <c r="BY69" s="129">
        <v>-4571427</v>
      </c>
      <c r="BZ69" s="129">
        <v>-727156</v>
      </c>
      <c r="CA69" s="129">
        <v>0</v>
      </c>
      <c r="CB69" s="129">
        <v>-727156</v>
      </c>
      <c r="CC69" s="129">
        <v>-289079</v>
      </c>
      <c r="CD69" s="129">
        <v>0</v>
      </c>
      <c r="CE69" s="129">
        <v>-289079</v>
      </c>
      <c r="CF69" s="129">
        <v>-9140</v>
      </c>
      <c r="CG69" s="129">
        <v>0</v>
      </c>
      <c r="CH69" s="129">
        <v>-9140</v>
      </c>
      <c r="CI69" s="129">
        <v>0</v>
      </c>
      <c r="CJ69" s="129">
        <v>0</v>
      </c>
      <c r="CK69" s="129">
        <v>0</v>
      </c>
      <c r="CL69" s="129">
        <v>-16540</v>
      </c>
      <c r="CM69" s="129">
        <v>0</v>
      </c>
      <c r="CN69" s="129">
        <v>-16540</v>
      </c>
      <c r="CO69" s="129">
        <v>0</v>
      </c>
      <c r="CP69" s="129">
        <v>-222636</v>
      </c>
      <c r="CQ69" s="129">
        <v>-222636</v>
      </c>
      <c r="CR69" s="129">
        <v>-222636</v>
      </c>
      <c r="CS69" s="129">
        <v>0</v>
      </c>
      <c r="CT69" s="129">
        <v>-1041915</v>
      </c>
      <c r="CU69" s="129">
        <v>-222636</v>
      </c>
      <c r="CV69" s="129">
        <v>0</v>
      </c>
      <c r="CW69" s="129">
        <v>0</v>
      </c>
      <c r="CX69" s="129">
        <v>-1041915</v>
      </c>
      <c r="CY69" s="129">
        <v>-222636</v>
      </c>
      <c r="CZ69" s="129">
        <v>-1264551</v>
      </c>
      <c r="DA69" s="129">
        <v>-161443</v>
      </c>
      <c r="DB69" s="129">
        <v>0</v>
      </c>
      <c r="DC69" s="129">
        <v>-161443</v>
      </c>
      <c r="DD69" s="129">
        <v>-218249</v>
      </c>
      <c r="DE69" s="129">
        <v>0</v>
      </c>
      <c r="DF69" s="129">
        <v>-218249</v>
      </c>
      <c r="DG69" s="129">
        <v>-6000</v>
      </c>
      <c r="DH69" s="129">
        <v>0</v>
      </c>
      <c r="DI69" s="129">
        <v>-6000</v>
      </c>
      <c r="DJ69" s="129">
        <v>-385692</v>
      </c>
      <c r="DK69" s="129">
        <v>0</v>
      </c>
      <c r="DL69" s="129">
        <v>0</v>
      </c>
      <c r="DM69" s="129">
        <v>0</v>
      </c>
      <c r="DN69" s="129">
        <v>-385692</v>
      </c>
      <c r="DO69" s="129">
        <v>0</v>
      </c>
      <c r="DP69" s="129">
        <v>-385692</v>
      </c>
      <c r="DQ69" s="129">
        <v>169766312</v>
      </c>
      <c r="DR69" s="129">
        <v>1268158</v>
      </c>
      <c r="DS69" s="129">
        <v>171034470</v>
      </c>
      <c r="DT69" s="662" t="s">
        <v>5</v>
      </c>
      <c r="DU69" s="324" t="s">
        <v>486</v>
      </c>
      <c r="DV69" s="663" t="s">
        <v>512</v>
      </c>
      <c r="DW69" s="529" t="s">
        <v>1276</v>
      </c>
    </row>
    <row r="70" spans="1:127" ht="12.75" x14ac:dyDescent="0.2">
      <c r="A70" s="664">
        <v>63</v>
      </c>
      <c r="B70" s="665" t="s">
        <v>8</v>
      </c>
      <c r="C70" s="666" t="s">
        <v>1201</v>
      </c>
      <c r="D70" s="667" t="s">
        <v>1224</v>
      </c>
      <c r="E70" s="668" t="s">
        <v>7</v>
      </c>
      <c r="F70" s="753" t="s">
        <v>1886</v>
      </c>
      <c r="G70" s="129">
        <v>89706064</v>
      </c>
      <c r="H70" s="129">
        <v>0</v>
      </c>
      <c r="I70" s="129">
        <v>89706064</v>
      </c>
      <c r="J70" s="793">
        <v>49.9</v>
      </c>
      <c r="K70" s="129">
        <v>44763326</v>
      </c>
      <c r="L70" s="129">
        <v>0</v>
      </c>
      <c r="M70" s="129">
        <v>-37876</v>
      </c>
      <c r="N70" s="129">
        <v>0</v>
      </c>
      <c r="O70" s="129">
        <v>44725450</v>
      </c>
      <c r="P70" s="129">
        <v>0</v>
      </c>
      <c r="Q70" s="129">
        <v>44725450</v>
      </c>
      <c r="R70" s="129">
        <v>-158202</v>
      </c>
      <c r="S70" s="129">
        <v>0</v>
      </c>
      <c r="T70" s="129">
        <v>-158202</v>
      </c>
      <c r="U70" s="129">
        <v>8075</v>
      </c>
      <c r="V70" s="129">
        <v>0</v>
      </c>
      <c r="W70" s="129">
        <v>8075</v>
      </c>
      <c r="X70" s="129">
        <v>-150127</v>
      </c>
      <c r="Y70" s="129">
        <v>0</v>
      </c>
      <c r="Z70" s="129">
        <v>0</v>
      </c>
      <c r="AA70" s="129">
        <v>0</v>
      </c>
      <c r="AB70" s="129">
        <v>-150127</v>
      </c>
      <c r="AC70" s="129">
        <v>0</v>
      </c>
      <c r="AD70" s="129">
        <v>-150127</v>
      </c>
      <c r="AE70" s="129">
        <v>150127</v>
      </c>
      <c r="AF70" s="129">
        <v>0</v>
      </c>
      <c r="AG70" s="129">
        <v>150127</v>
      </c>
      <c r="AH70" s="129">
        <v>-6387181</v>
      </c>
      <c r="AI70" s="129">
        <v>0</v>
      </c>
      <c r="AJ70" s="129">
        <v>-6387181</v>
      </c>
      <c r="AK70" s="129">
        <v>-2844</v>
      </c>
      <c r="AL70" s="129">
        <v>0</v>
      </c>
      <c r="AM70" s="129">
        <v>-2844</v>
      </c>
      <c r="AN70" s="129">
        <v>634744</v>
      </c>
      <c r="AO70" s="129">
        <v>0</v>
      </c>
      <c r="AP70" s="129">
        <v>634744</v>
      </c>
      <c r="AQ70" s="129">
        <v>-5752437</v>
      </c>
      <c r="AR70" s="129">
        <v>0</v>
      </c>
      <c r="AS70" s="129">
        <v>-5752437</v>
      </c>
      <c r="AT70" s="129">
        <v>-2581985</v>
      </c>
      <c r="AU70" s="129">
        <v>0</v>
      </c>
      <c r="AV70" s="129">
        <v>-2581985</v>
      </c>
      <c r="AW70" s="129">
        <v>-55830</v>
      </c>
      <c r="AX70" s="129">
        <v>0</v>
      </c>
      <c r="AY70" s="129">
        <v>-55830</v>
      </c>
      <c r="AZ70" s="129">
        <v>-29242</v>
      </c>
      <c r="BA70" s="129">
        <v>0</v>
      </c>
      <c r="BB70" s="129">
        <v>-29242</v>
      </c>
      <c r="BC70" s="129">
        <v>0</v>
      </c>
      <c r="BD70" s="129">
        <v>0</v>
      </c>
      <c r="BE70" s="129">
        <v>0</v>
      </c>
      <c r="BF70" s="129">
        <v>-8419494</v>
      </c>
      <c r="BG70" s="129">
        <v>0</v>
      </c>
      <c r="BH70" s="129">
        <v>0</v>
      </c>
      <c r="BI70" s="129">
        <v>0</v>
      </c>
      <c r="BJ70" s="129">
        <v>-8419494</v>
      </c>
      <c r="BK70" s="129">
        <v>0</v>
      </c>
      <c r="BL70" s="129">
        <v>-8419494</v>
      </c>
      <c r="BM70" s="129">
        <v>0</v>
      </c>
      <c r="BN70" s="129">
        <v>0</v>
      </c>
      <c r="BO70" s="129">
        <v>0</v>
      </c>
      <c r="BP70" s="129">
        <v>-932751</v>
      </c>
      <c r="BQ70" s="129">
        <v>0</v>
      </c>
      <c r="BR70" s="129">
        <v>-932751</v>
      </c>
      <c r="BS70" s="129">
        <v>-932751</v>
      </c>
      <c r="BT70" s="129">
        <v>0</v>
      </c>
      <c r="BU70" s="129">
        <v>0</v>
      </c>
      <c r="BV70" s="129">
        <v>0</v>
      </c>
      <c r="BW70" s="129">
        <v>-932751</v>
      </c>
      <c r="BX70" s="129">
        <v>0</v>
      </c>
      <c r="BY70" s="129">
        <v>-932751</v>
      </c>
      <c r="BZ70" s="129">
        <v>-114068</v>
      </c>
      <c r="CA70" s="129">
        <v>0</v>
      </c>
      <c r="CB70" s="129">
        <v>-114068</v>
      </c>
      <c r="CC70" s="129">
        <v>-4803</v>
      </c>
      <c r="CD70" s="129">
        <v>0</v>
      </c>
      <c r="CE70" s="129">
        <v>-4803</v>
      </c>
      <c r="CF70" s="129">
        <v>-558</v>
      </c>
      <c r="CG70" s="129">
        <v>0</v>
      </c>
      <c r="CH70" s="129">
        <v>-558</v>
      </c>
      <c r="CI70" s="129">
        <v>0</v>
      </c>
      <c r="CJ70" s="129">
        <v>0</v>
      </c>
      <c r="CK70" s="129">
        <v>0</v>
      </c>
      <c r="CL70" s="129">
        <v>0</v>
      </c>
      <c r="CM70" s="129">
        <v>0</v>
      </c>
      <c r="CN70" s="129">
        <v>0</v>
      </c>
      <c r="CO70" s="129">
        <v>0</v>
      </c>
      <c r="CP70" s="129">
        <v>0</v>
      </c>
      <c r="CQ70" s="129">
        <v>0</v>
      </c>
      <c r="CR70" s="129">
        <v>0</v>
      </c>
      <c r="CS70" s="129">
        <v>0</v>
      </c>
      <c r="CT70" s="129">
        <v>-119429</v>
      </c>
      <c r="CU70" s="129">
        <v>0</v>
      </c>
      <c r="CV70" s="129">
        <v>0</v>
      </c>
      <c r="CW70" s="129">
        <v>0</v>
      </c>
      <c r="CX70" s="129">
        <v>-119429</v>
      </c>
      <c r="CY70" s="129">
        <v>0</v>
      </c>
      <c r="CZ70" s="129">
        <v>-119429</v>
      </c>
      <c r="DA70" s="129">
        <v>-29242</v>
      </c>
      <c r="DB70" s="129">
        <v>0</v>
      </c>
      <c r="DC70" s="129">
        <v>-29242</v>
      </c>
      <c r="DD70" s="129">
        <v>-8994</v>
      </c>
      <c r="DE70" s="129">
        <v>0</v>
      </c>
      <c r="DF70" s="129">
        <v>-8994</v>
      </c>
      <c r="DG70" s="129">
        <v>0</v>
      </c>
      <c r="DH70" s="129">
        <v>0</v>
      </c>
      <c r="DI70" s="129">
        <v>0</v>
      </c>
      <c r="DJ70" s="129">
        <v>-38236</v>
      </c>
      <c r="DK70" s="129">
        <v>0</v>
      </c>
      <c r="DL70" s="129">
        <v>0</v>
      </c>
      <c r="DM70" s="129">
        <v>0</v>
      </c>
      <c r="DN70" s="129">
        <v>-38236</v>
      </c>
      <c r="DO70" s="129">
        <v>0</v>
      </c>
      <c r="DP70" s="129">
        <v>-38236</v>
      </c>
      <c r="DQ70" s="129">
        <v>35065413</v>
      </c>
      <c r="DR70" s="129">
        <v>0</v>
      </c>
      <c r="DS70" s="129">
        <v>35065413</v>
      </c>
      <c r="DT70" s="662" t="s">
        <v>7</v>
      </c>
      <c r="DU70" s="324" t="s">
        <v>529</v>
      </c>
      <c r="DV70" s="663" t="s">
        <v>512</v>
      </c>
      <c r="DW70" s="529" t="s">
        <v>1277</v>
      </c>
    </row>
    <row r="71" spans="1:127" ht="12.75" x14ac:dyDescent="0.2">
      <c r="A71" s="664">
        <v>64</v>
      </c>
      <c r="B71" s="665" t="s">
        <v>10</v>
      </c>
      <c r="C71" s="666" t="s">
        <v>1217</v>
      </c>
      <c r="D71" s="667" t="s">
        <v>1228</v>
      </c>
      <c r="E71" s="668" t="s">
        <v>9</v>
      </c>
      <c r="F71" s="753" t="s">
        <v>1886</v>
      </c>
      <c r="G71" s="129">
        <v>318806594</v>
      </c>
      <c r="H71" s="129">
        <v>0</v>
      </c>
      <c r="I71" s="129">
        <v>318806594</v>
      </c>
      <c r="J71" s="793">
        <v>49.9</v>
      </c>
      <c r="K71" s="129">
        <v>159084490</v>
      </c>
      <c r="L71" s="129">
        <v>0</v>
      </c>
      <c r="M71" s="129">
        <v>0</v>
      </c>
      <c r="N71" s="129">
        <v>0</v>
      </c>
      <c r="O71" s="129">
        <v>159084490</v>
      </c>
      <c r="P71" s="129">
        <v>0</v>
      </c>
      <c r="Q71" s="129">
        <v>159084490</v>
      </c>
      <c r="R71" s="129">
        <v>-213785</v>
      </c>
      <c r="S71" s="129">
        <v>0</v>
      </c>
      <c r="T71" s="129">
        <v>-213785</v>
      </c>
      <c r="U71" s="129">
        <v>1395568</v>
      </c>
      <c r="V71" s="129">
        <v>0</v>
      </c>
      <c r="W71" s="129">
        <v>1395568</v>
      </c>
      <c r="X71" s="129">
        <v>1181783</v>
      </c>
      <c r="Y71" s="129">
        <v>0</v>
      </c>
      <c r="Z71" s="129">
        <v>0</v>
      </c>
      <c r="AA71" s="129">
        <v>0</v>
      </c>
      <c r="AB71" s="129">
        <v>1181783</v>
      </c>
      <c r="AC71" s="129">
        <v>0</v>
      </c>
      <c r="AD71" s="129">
        <v>1181783</v>
      </c>
      <c r="AE71" s="129">
        <v>-1181783</v>
      </c>
      <c r="AF71" s="129">
        <v>0</v>
      </c>
      <c r="AG71" s="129">
        <v>-1181783</v>
      </c>
      <c r="AH71" s="129">
        <v>-9672140</v>
      </c>
      <c r="AI71" s="129">
        <v>0</v>
      </c>
      <c r="AJ71" s="129">
        <v>-9672140</v>
      </c>
      <c r="AK71" s="129">
        <v>0</v>
      </c>
      <c r="AL71" s="129">
        <v>0</v>
      </c>
      <c r="AM71" s="129">
        <v>0</v>
      </c>
      <c r="AN71" s="129">
        <v>3480816</v>
      </c>
      <c r="AO71" s="129">
        <v>0</v>
      </c>
      <c r="AP71" s="129">
        <v>3480816</v>
      </c>
      <c r="AQ71" s="129">
        <v>-6191324</v>
      </c>
      <c r="AR71" s="129">
        <v>0</v>
      </c>
      <c r="AS71" s="129">
        <v>-6191324</v>
      </c>
      <c r="AT71" s="129">
        <v>-17185205</v>
      </c>
      <c r="AU71" s="129">
        <v>0</v>
      </c>
      <c r="AV71" s="129">
        <v>-17185205</v>
      </c>
      <c r="AW71" s="129">
        <v>-65000</v>
      </c>
      <c r="AX71" s="129">
        <v>0</v>
      </c>
      <c r="AY71" s="129">
        <v>-65000</v>
      </c>
      <c r="AZ71" s="129">
        <v>0</v>
      </c>
      <c r="BA71" s="129">
        <v>0</v>
      </c>
      <c r="BB71" s="129">
        <v>0</v>
      </c>
      <c r="BC71" s="129">
        <v>0</v>
      </c>
      <c r="BD71" s="129">
        <v>0</v>
      </c>
      <c r="BE71" s="129">
        <v>0</v>
      </c>
      <c r="BF71" s="129">
        <v>-23441529</v>
      </c>
      <c r="BG71" s="129">
        <v>0</v>
      </c>
      <c r="BH71" s="129">
        <v>0</v>
      </c>
      <c r="BI71" s="129">
        <v>0</v>
      </c>
      <c r="BJ71" s="129">
        <v>-23441529</v>
      </c>
      <c r="BK71" s="129">
        <v>0</v>
      </c>
      <c r="BL71" s="129">
        <v>-23441529</v>
      </c>
      <c r="BM71" s="129">
        <v>0</v>
      </c>
      <c r="BN71" s="129">
        <v>0</v>
      </c>
      <c r="BO71" s="129">
        <v>0</v>
      </c>
      <c r="BP71" s="129">
        <v>-4042323</v>
      </c>
      <c r="BQ71" s="129">
        <v>0</v>
      </c>
      <c r="BR71" s="129">
        <v>-4042323</v>
      </c>
      <c r="BS71" s="129">
        <v>-4042323</v>
      </c>
      <c r="BT71" s="129">
        <v>0</v>
      </c>
      <c r="BU71" s="129">
        <v>0</v>
      </c>
      <c r="BV71" s="129">
        <v>0</v>
      </c>
      <c r="BW71" s="129">
        <v>-4042323</v>
      </c>
      <c r="BX71" s="129">
        <v>0</v>
      </c>
      <c r="BY71" s="129">
        <v>-4042323</v>
      </c>
      <c r="BZ71" s="129">
        <v>-410732</v>
      </c>
      <c r="CA71" s="129">
        <v>0</v>
      </c>
      <c r="CB71" s="129">
        <v>-410732</v>
      </c>
      <c r="CC71" s="129">
        <v>0</v>
      </c>
      <c r="CD71" s="129">
        <v>0</v>
      </c>
      <c r="CE71" s="129">
        <v>0</v>
      </c>
      <c r="CF71" s="129">
        <v>0</v>
      </c>
      <c r="CG71" s="129">
        <v>0</v>
      </c>
      <c r="CH71" s="129">
        <v>0</v>
      </c>
      <c r="CI71" s="129">
        <v>0</v>
      </c>
      <c r="CJ71" s="129">
        <v>0</v>
      </c>
      <c r="CK71" s="129">
        <v>0</v>
      </c>
      <c r="CL71" s="129">
        <v>0</v>
      </c>
      <c r="CM71" s="129">
        <v>0</v>
      </c>
      <c r="CN71" s="129">
        <v>0</v>
      </c>
      <c r="CO71" s="129">
        <v>0</v>
      </c>
      <c r="CP71" s="129">
        <v>0</v>
      </c>
      <c r="CQ71" s="129">
        <v>0</v>
      </c>
      <c r="CR71" s="129">
        <v>0</v>
      </c>
      <c r="CS71" s="129">
        <v>0</v>
      </c>
      <c r="CT71" s="129">
        <v>-410732</v>
      </c>
      <c r="CU71" s="129">
        <v>0</v>
      </c>
      <c r="CV71" s="129">
        <v>0</v>
      </c>
      <c r="CW71" s="129">
        <v>0</v>
      </c>
      <c r="CX71" s="129">
        <v>-410732</v>
      </c>
      <c r="CY71" s="129">
        <v>0</v>
      </c>
      <c r="CZ71" s="129">
        <v>-410732</v>
      </c>
      <c r="DA71" s="129">
        <v>0</v>
      </c>
      <c r="DB71" s="129">
        <v>0</v>
      </c>
      <c r="DC71" s="129">
        <v>0</v>
      </c>
      <c r="DD71" s="129">
        <v>-67387</v>
      </c>
      <c r="DE71" s="129">
        <v>0</v>
      </c>
      <c r="DF71" s="129">
        <v>-67387</v>
      </c>
      <c r="DG71" s="129">
        <v>-1500</v>
      </c>
      <c r="DH71" s="129">
        <v>0</v>
      </c>
      <c r="DI71" s="129">
        <v>-1500</v>
      </c>
      <c r="DJ71" s="129">
        <v>-68887</v>
      </c>
      <c r="DK71" s="129">
        <v>0</v>
      </c>
      <c r="DL71" s="129">
        <v>0</v>
      </c>
      <c r="DM71" s="129">
        <v>0</v>
      </c>
      <c r="DN71" s="129">
        <v>-68887</v>
      </c>
      <c r="DO71" s="129">
        <v>0</v>
      </c>
      <c r="DP71" s="129">
        <v>-68887</v>
      </c>
      <c r="DQ71" s="129">
        <v>132302802</v>
      </c>
      <c r="DR71" s="129">
        <v>0</v>
      </c>
      <c r="DS71" s="129">
        <v>132302802</v>
      </c>
      <c r="DT71" s="662" t="s">
        <v>9</v>
      </c>
      <c r="DU71" s="324" t="s">
        <v>570</v>
      </c>
      <c r="DV71" s="663" t="s">
        <v>574</v>
      </c>
      <c r="DW71" s="529" t="s">
        <v>1278</v>
      </c>
    </row>
    <row r="72" spans="1:127" ht="12.75" x14ac:dyDescent="0.2">
      <c r="A72" s="664">
        <v>65</v>
      </c>
      <c r="B72" s="665" t="s">
        <v>12</v>
      </c>
      <c r="C72" s="666" t="s">
        <v>1201</v>
      </c>
      <c r="D72" s="667" t="s">
        <v>1218</v>
      </c>
      <c r="E72" s="668" t="s">
        <v>11</v>
      </c>
      <c r="F72" s="753" t="s">
        <v>1891</v>
      </c>
      <c r="G72" s="129">
        <v>50845036</v>
      </c>
      <c r="H72" s="129">
        <v>0</v>
      </c>
      <c r="I72" s="129">
        <v>50845036</v>
      </c>
      <c r="J72" s="793">
        <v>49.9</v>
      </c>
      <c r="K72" s="129">
        <v>25371673</v>
      </c>
      <c r="L72" s="129">
        <v>0</v>
      </c>
      <c r="M72" s="129">
        <v>0</v>
      </c>
      <c r="N72" s="129">
        <v>0</v>
      </c>
      <c r="O72" s="129">
        <v>25371673</v>
      </c>
      <c r="P72" s="129">
        <v>0</v>
      </c>
      <c r="Q72" s="129">
        <v>25371673</v>
      </c>
      <c r="R72" s="129">
        <v>-117427</v>
      </c>
      <c r="S72" s="129">
        <v>0</v>
      </c>
      <c r="T72" s="129">
        <v>-117427</v>
      </c>
      <c r="U72" s="129">
        <v>7109</v>
      </c>
      <c r="V72" s="129">
        <v>0</v>
      </c>
      <c r="W72" s="129">
        <v>7109</v>
      </c>
      <c r="X72" s="129">
        <v>-110318</v>
      </c>
      <c r="Y72" s="129">
        <v>0</v>
      </c>
      <c r="Z72" s="129">
        <v>0</v>
      </c>
      <c r="AA72" s="129">
        <v>0</v>
      </c>
      <c r="AB72" s="129">
        <v>-110318</v>
      </c>
      <c r="AC72" s="129">
        <v>0</v>
      </c>
      <c r="AD72" s="129">
        <v>-110318</v>
      </c>
      <c r="AE72" s="129">
        <v>110318</v>
      </c>
      <c r="AF72" s="129">
        <v>0</v>
      </c>
      <c r="AG72" s="129">
        <v>110318</v>
      </c>
      <c r="AH72" s="129">
        <v>-4137661</v>
      </c>
      <c r="AI72" s="129">
        <v>0</v>
      </c>
      <c r="AJ72" s="129">
        <v>-4137661</v>
      </c>
      <c r="AK72" s="129">
        <v>-8046</v>
      </c>
      <c r="AL72" s="129">
        <v>0</v>
      </c>
      <c r="AM72" s="129">
        <v>-8046</v>
      </c>
      <c r="AN72" s="129">
        <v>338201</v>
      </c>
      <c r="AO72" s="129">
        <v>0</v>
      </c>
      <c r="AP72" s="129">
        <v>338201</v>
      </c>
      <c r="AQ72" s="129">
        <v>-3799460</v>
      </c>
      <c r="AR72" s="129">
        <v>0</v>
      </c>
      <c r="AS72" s="129">
        <v>-3799460</v>
      </c>
      <c r="AT72" s="129">
        <v>-1283540</v>
      </c>
      <c r="AU72" s="129">
        <v>0</v>
      </c>
      <c r="AV72" s="129">
        <v>-1283540</v>
      </c>
      <c r="AW72" s="129">
        <v>-24166</v>
      </c>
      <c r="AX72" s="129">
        <v>0</v>
      </c>
      <c r="AY72" s="129">
        <v>-24166</v>
      </c>
      <c r="AZ72" s="129">
        <v>-16830</v>
      </c>
      <c r="BA72" s="129">
        <v>0</v>
      </c>
      <c r="BB72" s="129">
        <v>-16830</v>
      </c>
      <c r="BC72" s="129">
        <v>0</v>
      </c>
      <c r="BD72" s="129">
        <v>0</v>
      </c>
      <c r="BE72" s="129">
        <v>0</v>
      </c>
      <c r="BF72" s="129">
        <v>-5123996</v>
      </c>
      <c r="BG72" s="129">
        <v>0</v>
      </c>
      <c r="BH72" s="129">
        <v>0</v>
      </c>
      <c r="BI72" s="129">
        <v>0</v>
      </c>
      <c r="BJ72" s="129">
        <v>-5123996</v>
      </c>
      <c r="BK72" s="129">
        <v>0</v>
      </c>
      <c r="BL72" s="129">
        <v>-5123996</v>
      </c>
      <c r="BM72" s="129">
        <v>0</v>
      </c>
      <c r="BN72" s="129">
        <v>0</v>
      </c>
      <c r="BO72" s="129">
        <v>0</v>
      </c>
      <c r="BP72" s="129">
        <v>-649022</v>
      </c>
      <c r="BQ72" s="129">
        <v>0</v>
      </c>
      <c r="BR72" s="129">
        <v>-649022</v>
      </c>
      <c r="BS72" s="129">
        <v>-649022</v>
      </c>
      <c r="BT72" s="129">
        <v>0</v>
      </c>
      <c r="BU72" s="129">
        <v>0</v>
      </c>
      <c r="BV72" s="129">
        <v>0</v>
      </c>
      <c r="BW72" s="129">
        <v>-649022</v>
      </c>
      <c r="BX72" s="129">
        <v>0</v>
      </c>
      <c r="BY72" s="129">
        <v>-649022</v>
      </c>
      <c r="BZ72" s="129">
        <v>-28929</v>
      </c>
      <c r="CA72" s="129">
        <v>0</v>
      </c>
      <c r="CB72" s="129">
        <v>-28929</v>
      </c>
      <c r="CC72" s="129">
        <v>-2324</v>
      </c>
      <c r="CD72" s="129">
        <v>0</v>
      </c>
      <c r="CE72" s="129">
        <v>-2324</v>
      </c>
      <c r="CF72" s="129">
        <v>0</v>
      </c>
      <c r="CG72" s="129">
        <v>0</v>
      </c>
      <c r="CH72" s="129">
        <v>0</v>
      </c>
      <c r="CI72" s="129">
        <v>0</v>
      </c>
      <c r="CJ72" s="129">
        <v>0</v>
      </c>
      <c r="CK72" s="129">
        <v>0</v>
      </c>
      <c r="CL72" s="129">
        <v>0</v>
      </c>
      <c r="CM72" s="129">
        <v>0</v>
      </c>
      <c r="CN72" s="129">
        <v>0</v>
      </c>
      <c r="CO72" s="129">
        <v>0</v>
      </c>
      <c r="CP72" s="129">
        <v>0</v>
      </c>
      <c r="CQ72" s="129">
        <v>0</v>
      </c>
      <c r="CR72" s="129">
        <v>0</v>
      </c>
      <c r="CS72" s="129">
        <v>0</v>
      </c>
      <c r="CT72" s="129">
        <v>-31253</v>
      </c>
      <c r="CU72" s="129">
        <v>0</v>
      </c>
      <c r="CV72" s="129">
        <v>0</v>
      </c>
      <c r="CW72" s="129">
        <v>0</v>
      </c>
      <c r="CX72" s="129">
        <v>-31253</v>
      </c>
      <c r="CY72" s="129">
        <v>0</v>
      </c>
      <c r="CZ72" s="129">
        <v>-31253</v>
      </c>
      <c r="DA72" s="129">
        <v>-10801</v>
      </c>
      <c r="DB72" s="129">
        <v>0</v>
      </c>
      <c r="DC72" s="129">
        <v>-10801</v>
      </c>
      <c r="DD72" s="129">
        <v>-8046</v>
      </c>
      <c r="DE72" s="129">
        <v>0</v>
      </c>
      <c r="DF72" s="129">
        <v>-8046</v>
      </c>
      <c r="DG72" s="129">
        <v>0</v>
      </c>
      <c r="DH72" s="129">
        <v>0</v>
      </c>
      <c r="DI72" s="129">
        <v>0</v>
      </c>
      <c r="DJ72" s="129">
        <v>-18847</v>
      </c>
      <c r="DK72" s="129">
        <v>0</v>
      </c>
      <c r="DL72" s="129">
        <v>0</v>
      </c>
      <c r="DM72" s="129">
        <v>0</v>
      </c>
      <c r="DN72" s="129">
        <v>-18847</v>
      </c>
      <c r="DO72" s="129">
        <v>0</v>
      </c>
      <c r="DP72" s="129">
        <v>-18847</v>
      </c>
      <c r="DQ72" s="129">
        <v>19438237</v>
      </c>
      <c r="DR72" s="129">
        <v>0</v>
      </c>
      <c r="DS72" s="129">
        <v>19438237</v>
      </c>
      <c r="DT72" s="662" t="s">
        <v>11</v>
      </c>
      <c r="DU72" s="324" t="s">
        <v>556</v>
      </c>
      <c r="DV72" s="663" t="s">
        <v>555</v>
      </c>
      <c r="DW72" s="529" t="s">
        <v>1279</v>
      </c>
    </row>
    <row r="73" spans="1:127" ht="12.75" x14ac:dyDescent="0.2">
      <c r="A73" s="664">
        <v>66</v>
      </c>
      <c r="B73" s="665" t="s">
        <v>14</v>
      </c>
      <c r="C73" s="666" t="s">
        <v>1201</v>
      </c>
      <c r="D73" s="667" t="s">
        <v>1202</v>
      </c>
      <c r="E73" s="668" t="s">
        <v>13</v>
      </c>
      <c r="F73" s="753" t="s">
        <v>1875</v>
      </c>
      <c r="G73" s="129">
        <v>270209185</v>
      </c>
      <c r="H73" s="129">
        <v>0</v>
      </c>
      <c r="I73" s="129">
        <v>270209185</v>
      </c>
      <c r="J73" s="793">
        <v>49.9</v>
      </c>
      <c r="K73" s="129">
        <v>134834383</v>
      </c>
      <c r="L73" s="129">
        <v>0</v>
      </c>
      <c r="M73" s="129">
        <v>376708</v>
      </c>
      <c r="N73" s="129">
        <v>0</v>
      </c>
      <c r="O73" s="129">
        <v>135211091</v>
      </c>
      <c r="P73" s="129">
        <v>0</v>
      </c>
      <c r="Q73" s="129">
        <v>135211091</v>
      </c>
      <c r="R73" s="129">
        <v>-126228</v>
      </c>
      <c r="S73" s="129">
        <v>0</v>
      </c>
      <c r="T73" s="129">
        <v>-126228</v>
      </c>
      <c r="U73" s="129">
        <v>616178</v>
      </c>
      <c r="V73" s="129">
        <v>0</v>
      </c>
      <c r="W73" s="129">
        <v>616178</v>
      </c>
      <c r="X73" s="129">
        <v>489950</v>
      </c>
      <c r="Y73" s="129">
        <v>0</v>
      </c>
      <c r="Z73" s="129">
        <v>0</v>
      </c>
      <c r="AA73" s="129">
        <v>0</v>
      </c>
      <c r="AB73" s="129">
        <v>489950</v>
      </c>
      <c r="AC73" s="129">
        <v>0</v>
      </c>
      <c r="AD73" s="129">
        <v>489950</v>
      </c>
      <c r="AE73" s="129">
        <v>-489950</v>
      </c>
      <c r="AF73" s="129">
        <v>0</v>
      </c>
      <c r="AG73" s="129">
        <v>-489950</v>
      </c>
      <c r="AH73" s="129">
        <v>-1930892</v>
      </c>
      <c r="AI73" s="129">
        <v>0</v>
      </c>
      <c r="AJ73" s="129">
        <v>-1930892</v>
      </c>
      <c r="AK73" s="129">
        <v>-23000</v>
      </c>
      <c r="AL73" s="129">
        <v>0</v>
      </c>
      <c r="AM73" s="129">
        <v>-23000</v>
      </c>
      <c r="AN73" s="129">
        <v>3128883</v>
      </c>
      <c r="AO73" s="129">
        <v>0</v>
      </c>
      <c r="AP73" s="129">
        <v>3128883</v>
      </c>
      <c r="AQ73" s="129">
        <v>1197991</v>
      </c>
      <c r="AR73" s="129">
        <v>0</v>
      </c>
      <c r="AS73" s="129">
        <v>1197991</v>
      </c>
      <c r="AT73" s="129">
        <v>-3286353</v>
      </c>
      <c r="AU73" s="129">
        <v>0</v>
      </c>
      <c r="AV73" s="129">
        <v>-3286353</v>
      </c>
      <c r="AW73" s="129">
        <v>-33307</v>
      </c>
      <c r="AX73" s="129">
        <v>0</v>
      </c>
      <c r="AY73" s="129">
        <v>-33307</v>
      </c>
      <c r="AZ73" s="129">
        <v>0</v>
      </c>
      <c r="BA73" s="129">
        <v>0</v>
      </c>
      <c r="BB73" s="129">
        <v>0</v>
      </c>
      <c r="BC73" s="129">
        <v>0</v>
      </c>
      <c r="BD73" s="129">
        <v>0</v>
      </c>
      <c r="BE73" s="129">
        <v>0</v>
      </c>
      <c r="BF73" s="129">
        <v>-2121669</v>
      </c>
      <c r="BG73" s="129">
        <v>0</v>
      </c>
      <c r="BH73" s="129">
        <v>0</v>
      </c>
      <c r="BI73" s="129">
        <v>0</v>
      </c>
      <c r="BJ73" s="129">
        <v>-2121669</v>
      </c>
      <c r="BK73" s="129">
        <v>0</v>
      </c>
      <c r="BL73" s="129">
        <v>-2121669</v>
      </c>
      <c r="BM73" s="129">
        <v>-50000</v>
      </c>
      <c r="BN73" s="129">
        <v>0</v>
      </c>
      <c r="BO73" s="129">
        <v>-50000</v>
      </c>
      <c r="BP73" s="129">
        <v>-7207438</v>
      </c>
      <c r="BQ73" s="129">
        <v>0</v>
      </c>
      <c r="BR73" s="129">
        <v>-7207438</v>
      </c>
      <c r="BS73" s="129">
        <v>-7257438</v>
      </c>
      <c r="BT73" s="129">
        <v>0</v>
      </c>
      <c r="BU73" s="129">
        <v>0</v>
      </c>
      <c r="BV73" s="129">
        <v>0</v>
      </c>
      <c r="BW73" s="129">
        <v>-7257438</v>
      </c>
      <c r="BX73" s="129">
        <v>0</v>
      </c>
      <c r="BY73" s="129">
        <v>-7257438</v>
      </c>
      <c r="BZ73" s="129">
        <v>-262953</v>
      </c>
      <c r="CA73" s="129">
        <v>0</v>
      </c>
      <c r="CB73" s="129">
        <v>-262953</v>
      </c>
      <c r="CC73" s="129">
        <v>-163548</v>
      </c>
      <c r="CD73" s="129">
        <v>0</v>
      </c>
      <c r="CE73" s="129">
        <v>-163548</v>
      </c>
      <c r="CF73" s="129">
        <v>-2228</v>
      </c>
      <c r="CG73" s="129">
        <v>0</v>
      </c>
      <c r="CH73" s="129">
        <v>-2228</v>
      </c>
      <c r="CI73" s="129">
        <v>0</v>
      </c>
      <c r="CJ73" s="129">
        <v>0</v>
      </c>
      <c r="CK73" s="129">
        <v>0</v>
      </c>
      <c r="CL73" s="129">
        <v>0</v>
      </c>
      <c r="CM73" s="129">
        <v>0</v>
      </c>
      <c r="CN73" s="129">
        <v>0</v>
      </c>
      <c r="CO73" s="129">
        <v>0</v>
      </c>
      <c r="CP73" s="129">
        <v>0</v>
      </c>
      <c r="CQ73" s="129">
        <v>0</v>
      </c>
      <c r="CR73" s="129">
        <v>0</v>
      </c>
      <c r="CS73" s="129">
        <v>0</v>
      </c>
      <c r="CT73" s="129">
        <v>-428729</v>
      </c>
      <c r="CU73" s="129">
        <v>0</v>
      </c>
      <c r="CV73" s="129">
        <v>0</v>
      </c>
      <c r="CW73" s="129">
        <v>0</v>
      </c>
      <c r="CX73" s="129">
        <v>-428729</v>
      </c>
      <c r="CY73" s="129">
        <v>0</v>
      </c>
      <c r="CZ73" s="129">
        <v>-428729</v>
      </c>
      <c r="DA73" s="129">
        <v>0</v>
      </c>
      <c r="DB73" s="129">
        <v>0</v>
      </c>
      <c r="DC73" s="129">
        <v>0</v>
      </c>
      <c r="DD73" s="129">
        <v>-17792</v>
      </c>
      <c r="DE73" s="129">
        <v>0</v>
      </c>
      <c r="DF73" s="129">
        <v>-17792</v>
      </c>
      <c r="DG73" s="129">
        <v>0</v>
      </c>
      <c r="DH73" s="129">
        <v>0</v>
      </c>
      <c r="DI73" s="129">
        <v>0</v>
      </c>
      <c r="DJ73" s="129">
        <v>-17792</v>
      </c>
      <c r="DK73" s="129">
        <v>0</v>
      </c>
      <c r="DL73" s="129">
        <v>0</v>
      </c>
      <c r="DM73" s="129">
        <v>0</v>
      </c>
      <c r="DN73" s="129">
        <v>-17792</v>
      </c>
      <c r="DO73" s="129">
        <v>0</v>
      </c>
      <c r="DP73" s="129">
        <v>-17792</v>
      </c>
      <c r="DQ73" s="129">
        <v>125875413</v>
      </c>
      <c r="DR73" s="129">
        <v>0</v>
      </c>
      <c r="DS73" s="129">
        <v>125875413</v>
      </c>
      <c r="DT73" s="662" t="s">
        <v>13</v>
      </c>
      <c r="DU73" s="324" t="s">
        <v>568</v>
      </c>
      <c r="DV73" s="663" t="s">
        <v>512</v>
      </c>
      <c r="DW73" s="529" t="s">
        <v>1280</v>
      </c>
    </row>
    <row r="74" spans="1:127" ht="12.75" x14ac:dyDescent="0.2">
      <c r="A74" s="664">
        <v>67</v>
      </c>
      <c r="B74" s="665" t="s">
        <v>16</v>
      </c>
      <c r="C74" s="666" t="s">
        <v>1213</v>
      </c>
      <c r="D74" s="667" t="s">
        <v>1214</v>
      </c>
      <c r="E74" s="668" t="s">
        <v>15</v>
      </c>
      <c r="F74" s="753"/>
      <c r="G74" s="129">
        <v>261563506</v>
      </c>
      <c r="H74" s="129">
        <v>56148000</v>
      </c>
      <c r="I74" s="129">
        <v>317711506</v>
      </c>
      <c r="J74" s="793">
        <v>49.9</v>
      </c>
      <c r="K74" s="129">
        <v>130520189</v>
      </c>
      <c r="L74" s="129">
        <v>28017852</v>
      </c>
      <c r="M74" s="129">
        <v>0</v>
      </c>
      <c r="N74" s="129">
        <v>0</v>
      </c>
      <c r="O74" s="129">
        <v>130520189</v>
      </c>
      <c r="P74" s="129">
        <v>28017852</v>
      </c>
      <c r="Q74" s="129">
        <v>158538041</v>
      </c>
      <c r="R74" s="129">
        <v>-540549</v>
      </c>
      <c r="S74" s="129">
        <v>-64331</v>
      </c>
      <c r="T74" s="129">
        <v>-604880</v>
      </c>
      <c r="U74" s="129">
        <v>411778</v>
      </c>
      <c r="V74" s="129">
        <v>472580</v>
      </c>
      <c r="W74" s="129">
        <v>884358</v>
      </c>
      <c r="X74" s="129">
        <v>-128771</v>
      </c>
      <c r="Y74" s="129">
        <v>408249</v>
      </c>
      <c r="Z74" s="129">
        <v>0</v>
      </c>
      <c r="AA74" s="129">
        <v>0</v>
      </c>
      <c r="AB74" s="129">
        <v>-128771</v>
      </c>
      <c r="AC74" s="129">
        <v>408249</v>
      </c>
      <c r="AD74" s="129">
        <v>279478</v>
      </c>
      <c r="AE74" s="129">
        <v>128771</v>
      </c>
      <c r="AF74" s="129">
        <v>-408249</v>
      </c>
      <c r="AG74" s="129">
        <v>-279478</v>
      </c>
      <c r="AH74" s="129">
        <v>-9774899</v>
      </c>
      <c r="AI74" s="129">
        <v>-397790</v>
      </c>
      <c r="AJ74" s="129">
        <v>-10172689</v>
      </c>
      <c r="AK74" s="129">
        <v>0</v>
      </c>
      <c r="AL74" s="129">
        <v>0</v>
      </c>
      <c r="AM74" s="129">
        <v>0</v>
      </c>
      <c r="AN74" s="129">
        <v>2472054</v>
      </c>
      <c r="AO74" s="129">
        <v>643300</v>
      </c>
      <c r="AP74" s="129">
        <v>3115354</v>
      </c>
      <c r="AQ74" s="129">
        <v>-7302845</v>
      </c>
      <c r="AR74" s="129">
        <v>245510</v>
      </c>
      <c r="AS74" s="129">
        <v>-7057335</v>
      </c>
      <c r="AT74" s="129">
        <v>-12453041</v>
      </c>
      <c r="AU74" s="129">
        <v>0</v>
      </c>
      <c r="AV74" s="129">
        <v>-12453041</v>
      </c>
      <c r="AW74" s="129">
        <v>-184859</v>
      </c>
      <c r="AX74" s="129">
        <v>0</v>
      </c>
      <c r="AY74" s="129">
        <v>-184859</v>
      </c>
      <c r="AZ74" s="129">
        <v>0</v>
      </c>
      <c r="BA74" s="129">
        <v>0</v>
      </c>
      <c r="BB74" s="129">
        <v>0</v>
      </c>
      <c r="BC74" s="129">
        <v>0</v>
      </c>
      <c r="BD74" s="129">
        <v>0</v>
      </c>
      <c r="BE74" s="129">
        <v>0</v>
      </c>
      <c r="BF74" s="129">
        <v>-19940745</v>
      </c>
      <c r="BG74" s="129">
        <v>245510</v>
      </c>
      <c r="BH74" s="129">
        <v>0</v>
      </c>
      <c r="BI74" s="129">
        <v>0</v>
      </c>
      <c r="BJ74" s="129">
        <v>-19940745</v>
      </c>
      <c r="BK74" s="129">
        <v>245510</v>
      </c>
      <c r="BL74" s="129">
        <v>-19695235</v>
      </c>
      <c r="BM74" s="129">
        <v>0</v>
      </c>
      <c r="BN74" s="129">
        <v>0</v>
      </c>
      <c r="BO74" s="129">
        <v>0</v>
      </c>
      <c r="BP74" s="129">
        <v>-1880154</v>
      </c>
      <c r="BQ74" s="129">
        <v>-4140512</v>
      </c>
      <c r="BR74" s="129">
        <v>-6020666</v>
      </c>
      <c r="BS74" s="129">
        <v>-1880154</v>
      </c>
      <c r="BT74" s="129">
        <v>-4140512</v>
      </c>
      <c r="BU74" s="129">
        <v>0</v>
      </c>
      <c r="BV74" s="129">
        <v>0</v>
      </c>
      <c r="BW74" s="129">
        <v>-1880154</v>
      </c>
      <c r="BX74" s="129">
        <v>-4140512</v>
      </c>
      <c r="BY74" s="129">
        <v>-6020666</v>
      </c>
      <c r="BZ74" s="129">
        <v>0</v>
      </c>
      <c r="CA74" s="129">
        <v>0</v>
      </c>
      <c r="CB74" s="129">
        <v>0</v>
      </c>
      <c r="CC74" s="129">
        <v>-50000</v>
      </c>
      <c r="CD74" s="129">
        <v>-300000</v>
      </c>
      <c r="CE74" s="129">
        <v>-350000</v>
      </c>
      <c r="CF74" s="129">
        <v>0</v>
      </c>
      <c r="CG74" s="129">
        <v>0</v>
      </c>
      <c r="CH74" s="129">
        <v>0</v>
      </c>
      <c r="CI74" s="129">
        <v>0</v>
      </c>
      <c r="CJ74" s="129">
        <v>0</v>
      </c>
      <c r="CK74" s="129">
        <v>0</v>
      </c>
      <c r="CL74" s="129">
        <v>0</v>
      </c>
      <c r="CM74" s="129">
        <v>0</v>
      </c>
      <c r="CN74" s="129">
        <v>0</v>
      </c>
      <c r="CO74" s="129">
        <v>0</v>
      </c>
      <c r="CP74" s="129">
        <v>0</v>
      </c>
      <c r="CQ74" s="129">
        <v>0</v>
      </c>
      <c r="CR74" s="129">
        <v>0</v>
      </c>
      <c r="CS74" s="129">
        <v>0</v>
      </c>
      <c r="CT74" s="129">
        <v>-50000</v>
      </c>
      <c r="CU74" s="129">
        <v>-300000</v>
      </c>
      <c r="CV74" s="129">
        <v>0</v>
      </c>
      <c r="CW74" s="129">
        <v>0</v>
      </c>
      <c r="CX74" s="129">
        <v>-50000</v>
      </c>
      <c r="CY74" s="129">
        <v>-300000</v>
      </c>
      <c r="CZ74" s="129">
        <v>-350000</v>
      </c>
      <c r="DA74" s="129">
        <v>0</v>
      </c>
      <c r="DB74" s="129">
        <v>0</v>
      </c>
      <c r="DC74" s="129">
        <v>0</v>
      </c>
      <c r="DD74" s="129">
        <v>-228367</v>
      </c>
      <c r="DE74" s="129">
        <v>-1307</v>
      </c>
      <c r="DF74" s="129">
        <v>-229674</v>
      </c>
      <c r="DG74" s="129">
        <v>0</v>
      </c>
      <c r="DH74" s="129">
        <v>0</v>
      </c>
      <c r="DI74" s="129">
        <v>0</v>
      </c>
      <c r="DJ74" s="129">
        <v>-228367</v>
      </c>
      <c r="DK74" s="129">
        <v>-1307</v>
      </c>
      <c r="DL74" s="129">
        <v>0</v>
      </c>
      <c r="DM74" s="129">
        <v>0</v>
      </c>
      <c r="DN74" s="129">
        <v>-228367</v>
      </c>
      <c r="DO74" s="129">
        <v>-1307</v>
      </c>
      <c r="DP74" s="129">
        <v>-229674</v>
      </c>
      <c r="DQ74" s="129">
        <v>108292152</v>
      </c>
      <c r="DR74" s="129">
        <v>24229792</v>
      </c>
      <c r="DS74" s="129">
        <v>132521944</v>
      </c>
      <c r="DT74" s="662" t="s">
        <v>15</v>
      </c>
      <c r="DU74" s="324" t="s">
        <v>576</v>
      </c>
      <c r="DV74" s="669" t="s">
        <v>485</v>
      </c>
      <c r="DW74" s="529" t="s">
        <v>1281</v>
      </c>
    </row>
    <row r="75" spans="1:127" ht="12.75" x14ac:dyDescent="0.2">
      <c r="A75" s="664">
        <v>68</v>
      </c>
      <c r="B75" s="665" t="s">
        <v>18</v>
      </c>
      <c r="C75" s="666" t="s">
        <v>1201</v>
      </c>
      <c r="D75" s="667" t="s">
        <v>1211</v>
      </c>
      <c r="E75" s="668" t="s">
        <v>17</v>
      </c>
      <c r="F75" s="753" t="s">
        <v>1890</v>
      </c>
      <c r="G75" s="129">
        <v>158918080</v>
      </c>
      <c r="H75" s="129">
        <v>2954900</v>
      </c>
      <c r="I75" s="129">
        <v>161872980</v>
      </c>
      <c r="J75" s="793">
        <v>49.9</v>
      </c>
      <c r="K75" s="129">
        <v>79300122</v>
      </c>
      <c r="L75" s="129">
        <v>1474495</v>
      </c>
      <c r="M75" s="129">
        <v>0</v>
      </c>
      <c r="N75" s="129">
        <v>0</v>
      </c>
      <c r="O75" s="129">
        <v>79300122</v>
      </c>
      <c r="P75" s="129">
        <v>1474495</v>
      </c>
      <c r="Q75" s="129">
        <v>80774617</v>
      </c>
      <c r="R75" s="129">
        <v>-131417</v>
      </c>
      <c r="S75" s="129">
        <v>0</v>
      </c>
      <c r="T75" s="129">
        <v>-131417</v>
      </c>
      <c r="U75" s="129">
        <v>186541</v>
      </c>
      <c r="V75" s="129">
        <v>0</v>
      </c>
      <c r="W75" s="129">
        <v>186541</v>
      </c>
      <c r="X75" s="129">
        <v>55124</v>
      </c>
      <c r="Y75" s="129">
        <v>0</v>
      </c>
      <c r="Z75" s="129">
        <v>0</v>
      </c>
      <c r="AA75" s="129">
        <v>0</v>
      </c>
      <c r="AB75" s="129">
        <v>55124</v>
      </c>
      <c r="AC75" s="129">
        <v>0</v>
      </c>
      <c r="AD75" s="129">
        <v>55124</v>
      </c>
      <c r="AE75" s="129">
        <v>-55124</v>
      </c>
      <c r="AF75" s="129">
        <v>0</v>
      </c>
      <c r="AG75" s="129">
        <v>-55124</v>
      </c>
      <c r="AH75" s="129">
        <v>-4188238</v>
      </c>
      <c r="AI75" s="129">
        <v>0</v>
      </c>
      <c r="AJ75" s="129">
        <v>-4188238</v>
      </c>
      <c r="AK75" s="129">
        <v>0</v>
      </c>
      <c r="AL75" s="129">
        <v>0</v>
      </c>
      <c r="AM75" s="129">
        <v>0</v>
      </c>
      <c r="AN75" s="129">
        <v>1537361</v>
      </c>
      <c r="AO75" s="129">
        <v>38414</v>
      </c>
      <c r="AP75" s="129">
        <v>1575775</v>
      </c>
      <c r="AQ75" s="129">
        <v>-2650877</v>
      </c>
      <c r="AR75" s="129">
        <v>38414</v>
      </c>
      <c r="AS75" s="129">
        <v>-2612463</v>
      </c>
      <c r="AT75" s="129">
        <v>-4799246</v>
      </c>
      <c r="AU75" s="129">
        <v>0</v>
      </c>
      <c r="AV75" s="129">
        <v>-4799246</v>
      </c>
      <c r="AW75" s="129">
        <v>-93092</v>
      </c>
      <c r="AX75" s="129">
        <v>0</v>
      </c>
      <c r="AY75" s="129">
        <v>-93092</v>
      </c>
      <c r="AZ75" s="129">
        <v>-4429</v>
      </c>
      <c r="BA75" s="129">
        <v>0</v>
      </c>
      <c r="BB75" s="129">
        <v>-4429</v>
      </c>
      <c r="BC75" s="129">
        <v>0</v>
      </c>
      <c r="BD75" s="129">
        <v>0</v>
      </c>
      <c r="BE75" s="129">
        <v>0</v>
      </c>
      <c r="BF75" s="129">
        <v>-7547644</v>
      </c>
      <c r="BG75" s="129">
        <v>38414</v>
      </c>
      <c r="BH75" s="129">
        <v>0</v>
      </c>
      <c r="BI75" s="129">
        <v>0</v>
      </c>
      <c r="BJ75" s="129">
        <v>-7547644</v>
      </c>
      <c r="BK75" s="129">
        <v>38414</v>
      </c>
      <c r="BL75" s="129">
        <v>-7509230</v>
      </c>
      <c r="BM75" s="129">
        <v>-151806</v>
      </c>
      <c r="BN75" s="129">
        <v>0</v>
      </c>
      <c r="BO75" s="129">
        <v>-151806</v>
      </c>
      <c r="BP75" s="129">
        <v>-884813</v>
      </c>
      <c r="BQ75" s="129">
        <v>-3533</v>
      </c>
      <c r="BR75" s="129">
        <v>-888346</v>
      </c>
      <c r="BS75" s="129">
        <v>-1036619</v>
      </c>
      <c r="BT75" s="129">
        <v>-3533</v>
      </c>
      <c r="BU75" s="129">
        <v>0</v>
      </c>
      <c r="BV75" s="129">
        <v>0</v>
      </c>
      <c r="BW75" s="129">
        <v>-1036619</v>
      </c>
      <c r="BX75" s="129">
        <v>-3533</v>
      </c>
      <c r="BY75" s="129">
        <v>-1040152</v>
      </c>
      <c r="BZ75" s="129">
        <v>-257704</v>
      </c>
      <c r="CA75" s="129">
        <v>0</v>
      </c>
      <c r="CB75" s="129">
        <v>-257704</v>
      </c>
      <c r="CC75" s="129">
        <v>-1772</v>
      </c>
      <c r="CD75" s="129">
        <v>0</v>
      </c>
      <c r="CE75" s="129">
        <v>-1772</v>
      </c>
      <c r="CF75" s="129">
        <v>0</v>
      </c>
      <c r="CG75" s="129">
        <v>0</v>
      </c>
      <c r="CH75" s="129">
        <v>0</v>
      </c>
      <c r="CI75" s="129">
        <v>0</v>
      </c>
      <c r="CJ75" s="129">
        <v>0</v>
      </c>
      <c r="CK75" s="129">
        <v>0</v>
      </c>
      <c r="CL75" s="129">
        <v>0</v>
      </c>
      <c r="CM75" s="129">
        <v>0</v>
      </c>
      <c r="CN75" s="129">
        <v>0</v>
      </c>
      <c r="CO75" s="129">
        <v>0</v>
      </c>
      <c r="CP75" s="129">
        <v>-73536</v>
      </c>
      <c r="CQ75" s="129">
        <v>-73536</v>
      </c>
      <c r="CR75" s="129">
        <v>-73536</v>
      </c>
      <c r="CS75" s="129">
        <v>0</v>
      </c>
      <c r="CT75" s="129">
        <v>-259476</v>
      </c>
      <c r="CU75" s="129">
        <v>-73536</v>
      </c>
      <c r="CV75" s="129">
        <v>0</v>
      </c>
      <c r="CW75" s="129">
        <v>0</v>
      </c>
      <c r="CX75" s="129">
        <v>-259476</v>
      </c>
      <c r="CY75" s="129">
        <v>-73536</v>
      </c>
      <c r="CZ75" s="129">
        <v>-333012</v>
      </c>
      <c r="DA75" s="129">
        <v>-4429</v>
      </c>
      <c r="DB75" s="129">
        <v>0</v>
      </c>
      <c r="DC75" s="129">
        <v>-4429</v>
      </c>
      <c r="DD75" s="129">
        <v>-12664</v>
      </c>
      <c r="DE75" s="129">
        <v>0</v>
      </c>
      <c r="DF75" s="129">
        <v>-12664</v>
      </c>
      <c r="DG75" s="129">
        <v>0</v>
      </c>
      <c r="DH75" s="129">
        <v>0</v>
      </c>
      <c r="DI75" s="129">
        <v>0</v>
      </c>
      <c r="DJ75" s="129">
        <v>-17093</v>
      </c>
      <c r="DK75" s="129">
        <v>0</v>
      </c>
      <c r="DL75" s="129">
        <v>0</v>
      </c>
      <c r="DM75" s="129">
        <v>0</v>
      </c>
      <c r="DN75" s="129">
        <v>-17093</v>
      </c>
      <c r="DO75" s="129">
        <v>0</v>
      </c>
      <c r="DP75" s="129">
        <v>-17093</v>
      </c>
      <c r="DQ75" s="129">
        <v>70494414</v>
      </c>
      <c r="DR75" s="129">
        <v>1435840</v>
      </c>
      <c r="DS75" s="129">
        <v>71930254</v>
      </c>
      <c r="DT75" s="662" t="s">
        <v>17</v>
      </c>
      <c r="DU75" s="324" t="s">
        <v>536</v>
      </c>
      <c r="DV75" s="663" t="s">
        <v>512</v>
      </c>
      <c r="DW75" s="529" t="s">
        <v>1282</v>
      </c>
    </row>
    <row r="76" spans="1:127" ht="12.75" x14ac:dyDescent="0.2">
      <c r="A76" s="664">
        <v>69</v>
      </c>
      <c r="B76" s="665" t="s">
        <v>20</v>
      </c>
      <c r="C76" s="666" t="s">
        <v>486</v>
      </c>
      <c r="D76" s="667" t="s">
        <v>1283</v>
      </c>
      <c r="E76" s="668" t="s">
        <v>522</v>
      </c>
      <c r="F76" s="753" t="s">
        <v>1876</v>
      </c>
      <c r="G76" s="129">
        <v>84841925</v>
      </c>
      <c r="H76" s="129">
        <v>685375</v>
      </c>
      <c r="I76" s="129">
        <v>85527300</v>
      </c>
      <c r="J76" s="793">
        <v>49.9</v>
      </c>
      <c r="K76" s="129">
        <v>42336121</v>
      </c>
      <c r="L76" s="129">
        <v>342002</v>
      </c>
      <c r="M76" s="129">
        <v>2550000</v>
      </c>
      <c r="N76" s="129">
        <v>0</v>
      </c>
      <c r="O76" s="129">
        <v>44886121</v>
      </c>
      <c r="P76" s="129">
        <v>342002</v>
      </c>
      <c r="Q76" s="129">
        <v>45228123</v>
      </c>
      <c r="R76" s="129">
        <v>-109904</v>
      </c>
      <c r="S76" s="129">
        <v>0</v>
      </c>
      <c r="T76" s="129">
        <v>-109904</v>
      </c>
      <c r="U76" s="129">
        <v>652129</v>
      </c>
      <c r="V76" s="129">
        <v>0</v>
      </c>
      <c r="W76" s="129">
        <v>652129</v>
      </c>
      <c r="X76" s="129">
        <v>542225</v>
      </c>
      <c r="Y76" s="129">
        <v>0</v>
      </c>
      <c r="Z76" s="129">
        <v>0</v>
      </c>
      <c r="AA76" s="129">
        <v>0</v>
      </c>
      <c r="AB76" s="129">
        <v>542225</v>
      </c>
      <c r="AC76" s="129">
        <v>0</v>
      </c>
      <c r="AD76" s="129">
        <v>542225</v>
      </c>
      <c r="AE76" s="129">
        <v>-542225</v>
      </c>
      <c r="AF76" s="129">
        <v>0</v>
      </c>
      <c r="AG76" s="129">
        <v>-542225</v>
      </c>
      <c r="AH76" s="129">
        <v>-4729008</v>
      </c>
      <c r="AI76" s="129">
        <v>-75885</v>
      </c>
      <c r="AJ76" s="129">
        <v>-4804893</v>
      </c>
      <c r="AK76" s="129">
        <v>-38406</v>
      </c>
      <c r="AL76" s="129">
        <v>0</v>
      </c>
      <c r="AM76" s="129">
        <v>-38406</v>
      </c>
      <c r="AN76" s="129">
        <v>762926</v>
      </c>
      <c r="AO76" s="129">
        <v>4706</v>
      </c>
      <c r="AP76" s="129">
        <v>767632</v>
      </c>
      <c r="AQ76" s="129">
        <v>-3966082</v>
      </c>
      <c r="AR76" s="129">
        <v>-71179</v>
      </c>
      <c r="AS76" s="129">
        <v>-4037261</v>
      </c>
      <c r="AT76" s="129">
        <v>-3030288</v>
      </c>
      <c r="AU76" s="129">
        <v>-2949</v>
      </c>
      <c r="AV76" s="129">
        <v>-3033237</v>
      </c>
      <c r="AW76" s="129">
        <v>-55122</v>
      </c>
      <c r="AX76" s="129">
        <v>0</v>
      </c>
      <c r="AY76" s="129">
        <v>-55122</v>
      </c>
      <c r="AZ76" s="129">
        <v>0</v>
      </c>
      <c r="BA76" s="129">
        <v>0</v>
      </c>
      <c r="BB76" s="129">
        <v>0</v>
      </c>
      <c r="BC76" s="129">
        <v>0</v>
      </c>
      <c r="BD76" s="129">
        <v>0</v>
      </c>
      <c r="BE76" s="129">
        <v>0</v>
      </c>
      <c r="BF76" s="129">
        <v>-7051492</v>
      </c>
      <c r="BG76" s="129">
        <v>-74128</v>
      </c>
      <c r="BH76" s="129">
        <v>0</v>
      </c>
      <c r="BI76" s="129">
        <v>0</v>
      </c>
      <c r="BJ76" s="129">
        <v>-7051492</v>
      </c>
      <c r="BK76" s="129">
        <v>-74128</v>
      </c>
      <c r="BL76" s="129">
        <v>-7125620</v>
      </c>
      <c r="BM76" s="129">
        <v>0</v>
      </c>
      <c r="BN76" s="129">
        <v>0</v>
      </c>
      <c r="BO76" s="129">
        <v>0</v>
      </c>
      <c r="BP76" s="129">
        <v>-695912</v>
      </c>
      <c r="BQ76" s="129">
        <v>0</v>
      </c>
      <c r="BR76" s="129">
        <v>-695912</v>
      </c>
      <c r="BS76" s="129">
        <v>-695912</v>
      </c>
      <c r="BT76" s="129">
        <v>0</v>
      </c>
      <c r="BU76" s="129">
        <v>0</v>
      </c>
      <c r="BV76" s="129">
        <v>0</v>
      </c>
      <c r="BW76" s="129">
        <v>-695912</v>
      </c>
      <c r="BX76" s="129">
        <v>0</v>
      </c>
      <c r="BY76" s="129">
        <v>-695912</v>
      </c>
      <c r="BZ76" s="129">
        <v>0</v>
      </c>
      <c r="CA76" s="129">
        <v>0</v>
      </c>
      <c r="CB76" s="129">
        <v>0</v>
      </c>
      <c r="CC76" s="129">
        <v>0</v>
      </c>
      <c r="CD76" s="129">
        <v>0</v>
      </c>
      <c r="CE76" s="129">
        <v>0</v>
      </c>
      <c r="CF76" s="129">
        <v>0</v>
      </c>
      <c r="CG76" s="129">
        <v>0</v>
      </c>
      <c r="CH76" s="129">
        <v>0</v>
      </c>
      <c r="CI76" s="129">
        <v>0</v>
      </c>
      <c r="CJ76" s="129">
        <v>0</v>
      </c>
      <c r="CK76" s="129">
        <v>0</v>
      </c>
      <c r="CL76" s="129">
        <v>0</v>
      </c>
      <c r="CM76" s="129">
        <v>0</v>
      </c>
      <c r="CN76" s="129">
        <v>0</v>
      </c>
      <c r="CO76" s="129">
        <v>0</v>
      </c>
      <c r="CP76" s="129">
        <v>-30264</v>
      </c>
      <c r="CQ76" s="129">
        <v>-30264</v>
      </c>
      <c r="CR76" s="129">
        <v>-30264</v>
      </c>
      <c r="CS76" s="129">
        <v>0</v>
      </c>
      <c r="CT76" s="129">
        <v>0</v>
      </c>
      <c r="CU76" s="129">
        <v>-30264</v>
      </c>
      <c r="CV76" s="129">
        <v>0</v>
      </c>
      <c r="CW76" s="129">
        <v>0</v>
      </c>
      <c r="CX76" s="129">
        <v>0</v>
      </c>
      <c r="CY76" s="129">
        <v>-30264</v>
      </c>
      <c r="CZ76" s="129">
        <v>-30264</v>
      </c>
      <c r="DA76" s="129">
        <v>0</v>
      </c>
      <c r="DB76" s="129">
        <v>0</v>
      </c>
      <c r="DC76" s="129">
        <v>0</v>
      </c>
      <c r="DD76" s="129">
        <v>-15767</v>
      </c>
      <c r="DE76" s="129">
        <v>0</v>
      </c>
      <c r="DF76" s="129">
        <v>-15767</v>
      </c>
      <c r="DG76" s="129">
        <v>0</v>
      </c>
      <c r="DH76" s="129">
        <v>0</v>
      </c>
      <c r="DI76" s="129">
        <v>0</v>
      </c>
      <c r="DJ76" s="129">
        <v>-15767</v>
      </c>
      <c r="DK76" s="129">
        <v>0</v>
      </c>
      <c r="DL76" s="129">
        <v>0</v>
      </c>
      <c r="DM76" s="129">
        <v>0</v>
      </c>
      <c r="DN76" s="129">
        <v>-15767</v>
      </c>
      <c r="DO76" s="129">
        <v>0</v>
      </c>
      <c r="DP76" s="129">
        <v>-15767</v>
      </c>
      <c r="DQ76" s="129">
        <v>37665175</v>
      </c>
      <c r="DR76" s="129">
        <v>237610</v>
      </c>
      <c r="DS76" s="129">
        <v>37902785</v>
      </c>
      <c r="DT76" s="662" t="s">
        <v>522</v>
      </c>
      <c r="DU76" s="324" t="s">
        <v>486</v>
      </c>
      <c r="DV76" s="663" t="s">
        <v>523</v>
      </c>
      <c r="DW76" s="529" t="s">
        <v>1284</v>
      </c>
    </row>
    <row r="77" spans="1:127" ht="12.75" x14ac:dyDescent="0.2">
      <c r="A77" s="664">
        <v>70</v>
      </c>
      <c r="B77" s="665" t="s">
        <v>22</v>
      </c>
      <c r="C77" s="666" t="s">
        <v>1201</v>
      </c>
      <c r="D77" s="667" t="s">
        <v>1202</v>
      </c>
      <c r="E77" s="668" t="s">
        <v>21</v>
      </c>
      <c r="F77" s="753" t="s">
        <v>1886</v>
      </c>
      <c r="G77" s="129">
        <v>203753291</v>
      </c>
      <c r="H77" s="129">
        <v>0</v>
      </c>
      <c r="I77" s="129">
        <v>203753291</v>
      </c>
      <c r="J77" s="793">
        <v>49.9</v>
      </c>
      <c r="K77" s="129">
        <v>101672892</v>
      </c>
      <c r="L77" s="129">
        <v>0</v>
      </c>
      <c r="M77" s="129">
        <v>0</v>
      </c>
      <c r="N77" s="129">
        <v>0</v>
      </c>
      <c r="O77" s="129">
        <v>101672892</v>
      </c>
      <c r="P77" s="129">
        <v>0</v>
      </c>
      <c r="Q77" s="129">
        <v>101672892</v>
      </c>
      <c r="R77" s="129">
        <v>-76534</v>
      </c>
      <c r="S77" s="129">
        <v>0</v>
      </c>
      <c r="T77" s="129">
        <v>-76534</v>
      </c>
      <c r="U77" s="129">
        <v>1113273</v>
      </c>
      <c r="V77" s="129">
        <v>0</v>
      </c>
      <c r="W77" s="129">
        <v>1113273</v>
      </c>
      <c r="X77" s="129">
        <v>1036739</v>
      </c>
      <c r="Y77" s="129">
        <v>0</v>
      </c>
      <c r="Z77" s="129">
        <v>0</v>
      </c>
      <c r="AA77" s="129">
        <v>0</v>
      </c>
      <c r="AB77" s="129">
        <v>1036739</v>
      </c>
      <c r="AC77" s="129">
        <v>0</v>
      </c>
      <c r="AD77" s="129">
        <v>1036739</v>
      </c>
      <c r="AE77" s="129">
        <v>-1036739</v>
      </c>
      <c r="AF77" s="129">
        <v>0</v>
      </c>
      <c r="AG77" s="129">
        <v>-1036739</v>
      </c>
      <c r="AH77" s="129">
        <v>-2767766</v>
      </c>
      <c r="AI77" s="129">
        <v>0</v>
      </c>
      <c r="AJ77" s="129">
        <v>-2767766</v>
      </c>
      <c r="AK77" s="129">
        <v>-4940</v>
      </c>
      <c r="AL77" s="129">
        <v>0</v>
      </c>
      <c r="AM77" s="129">
        <v>-4940</v>
      </c>
      <c r="AN77" s="129">
        <v>2314057</v>
      </c>
      <c r="AO77" s="129">
        <v>0</v>
      </c>
      <c r="AP77" s="129">
        <v>2314057</v>
      </c>
      <c r="AQ77" s="129">
        <v>-453709</v>
      </c>
      <c r="AR77" s="129">
        <v>0</v>
      </c>
      <c r="AS77" s="129">
        <v>-453709</v>
      </c>
      <c r="AT77" s="129">
        <v>-3476869</v>
      </c>
      <c r="AU77" s="129">
        <v>0</v>
      </c>
      <c r="AV77" s="129">
        <v>-3476869</v>
      </c>
      <c r="AW77" s="129">
        <v>-102765</v>
      </c>
      <c r="AX77" s="129">
        <v>0</v>
      </c>
      <c r="AY77" s="129">
        <v>-102765</v>
      </c>
      <c r="AZ77" s="129">
        <v>0</v>
      </c>
      <c r="BA77" s="129">
        <v>0</v>
      </c>
      <c r="BB77" s="129">
        <v>0</v>
      </c>
      <c r="BC77" s="129">
        <v>0</v>
      </c>
      <c r="BD77" s="129">
        <v>0</v>
      </c>
      <c r="BE77" s="129">
        <v>0</v>
      </c>
      <c r="BF77" s="129">
        <v>-4033343</v>
      </c>
      <c r="BG77" s="129">
        <v>0</v>
      </c>
      <c r="BH77" s="129">
        <v>0</v>
      </c>
      <c r="BI77" s="129">
        <v>0</v>
      </c>
      <c r="BJ77" s="129">
        <v>-4033343</v>
      </c>
      <c r="BK77" s="129">
        <v>0</v>
      </c>
      <c r="BL77" s="129">
        <v>-4033343</v>
      </c>
      <c r="BM77" s="129">
        <v>0</v>
      </c>
      <c r="BN77" s="129">
        <v>0</v>
      </c>
      <c r="BO77" s="129">
        <v>0</v>
      </c>
      <c r="BP77" s="129">
        <v>-3701510</v>
      </c>
      <c r="BQ77" s="129">
        <v>0</v>
      </c>
      <c r="BR77" s="129">
        <v>-3701510</v>
      </c>
      <c r="BS77" s="129">
        <v>-3701510</v>
      </c>
      <c r="BT77" s="129">
        <v>0</v>
      </c>
      <c r="BU77" s="129">
        <v>0</v>
      </c>
      <c r="BV77" s="129">
        <v>0</v>
      </c>
      <c r="BW77" s="129">
        <v>-3701510</v>
      </c>
      <c r="BX77" s="129">
        <v>0</v>
      </c>
      <c r="BY77" s="129">
        <v>-3701510</v>
      </c>
      <c r="BZ77" s="129">
        <v>-26150</v>
      </c>
      <c r="CA77" s="129">
        <v>0</v>
      </c>
      <c r="CB77" s="129">
        <v>-26150</v>
      </c>
      <c r="CC77" s="129">
        <v>-5898</v>
      </c>
      <c r="CD77" s="129">
        <v>0</v>
      </c>
      <c r="CE77" s="129">
        <v>-5898</v>
      </c>
      <c r="CF77" s="129">
        <v>-8294</v>
      </c>
      <c r="CG77" s="129">
        <v>0</v>
      </c>
      <c r="CH77" s="129">
        <v>-8294</v>
      </c>
      <c r="CI77" s="129">
        <v>0</v>
      </c>
      <c r="CJ77" s="129">
        <v>0</v>
      </c>
      <c r="CK77" s="129">
        <v>0</v>
      </c>
      <c r="CL77" s="129">
        <v>-2162</v>
      </c>
      <c r="CM77" s="129">
        <v>0</v>
      </c>
      <c r="CN77" s="129">
        <v>-2162</v>
      </c>
      <c r="CO77" s="129">
        <v>0</v>
      </c>
      <c r="CP77" s="129">
        <v>0</v>
      </c>
      <c r="CQ77" s="129">
        <v>0</v>
      </c>
      <c r="CR77" s="129">
        <v>0</v>
      </c>
      <c r="CS77" s="129">
        <v>0</v>
      </c>
      <c r="CT77" s="129">
        <v>-42504</v>
      </c>
      <c r="CU77" s="129">
        <v>0</v>
      </c>
      <c r="CV77" s="129">
        <v>0</v>
      </c>
      <c r="CW77" s="129">
        <v>0</v>
      </c>
      <c r="CX77" s="129">
        <v>-42504</v>
      </c>
      <c r="CY77" s="129">
        <v>0</v>
      </c>
      <c r="CZ77" s="129">
        <v>-42504</v>
      </c>
      <c r="DA77" s="129">
        <v>0</v>
      </c>
      <c r="DB77" s="129">
        <v>0</v>
      </c>
      <c r="DC77" s="129">
        <v>0</v>
      </c>
      <c r="DD77" s="129">
        <v>-5296</v>
      </c>
      <c r="DE77" s="129">
        <v>0</v>
      </c>
      <c r="DF77" s="129">
        <v>-5296</v>
      </c>
      <c r="DG77" s="129">
        <v>0</v>
      </c>
      <c r="DH77" s="129">
        <v>0</v>
      </c>
      <c r="DI77" s="129">
        <v>0</v>
      </c>
      <c r="DJ77" s="129">
        <v>-5296</v>
      </c>
      <c r="DK77" s="129">
        <v>0</v>
      </c>
      <c r="DL77" s="129">
        <v>0</v>
      </c>
      <c r="DM77" s="129">
        <v>0</v>
      </c>
      <c r="DN77" s="129">
        <v>-5296</v>
      </c>
      <c r="DO77" s="129">
        <v>0</v>
      </c>
      <c r="DP77" s="129">
        <v>-5296</v>
      </c>
      <c r="DQ77" s="129">
        <v>94926978</v>
      </c>
      <c r="DR77" s="129">
        <v>0</v>
      </c>
      <c r="DS77" s="129">
        <v>94926978</v>
      </c>
      <c r="DT77" s="662" t="s">
        <v>21</v>
      </c>
      <c r="DU77" s="324" t="s">
        <v>543</v>
      </c>
      <c r="DV77" s="663" t="s">
        <v>542</v>
      </c>
      <c r="DW77" s="529" t="s">
        <v>1285</v>
      </c>
    </row>
    <row r="78" spans="1:127" ht="14.25" x14ac:dyDescent="0.2">
      <c r="A78" s="664">
        <v>71</v>
      </c>
      <c r="B78" s="665" t="s">
        <v>24</v>
      </c>
      <c r="C78" s="666" t="s">
        <v>486</v>
      </c>
      <c r="D78" s="667" t="s">
        <v>1206</v>
      </c>
      <c r="E78" s="668" t="s">
        <v>1864</v>
      </c>
      <c r="F78" s="753" t="s">
        <v>1875</v>
      </c>
      <c r="G78" s="129">
        <v>227835384</v>
      </c>
      <c r="H78" s="129">
        <v>348675</v>
      </c>
      <c r="I78" s="129">
        <v>228184059</v>
      </c>
      <c r="J78" s="793">
        <v>49.9</v>
      </c>
      <c r="K78" s="129">
        <v>113689857</v>
      </c>
      <c r="L78" s="129">
        <v>173989</v>
      </c>
      <c r="M78" s="129">
        <v>0</v>
      </c>
      <c r="N78" s="129">
        <v>0</v>
      </c>
      <c r="O78" s="129">
        <v>113689857</v>
      </c>
      <c r="P78" s="129">
        <v>173989</v>
      </c>
      <c r="Q78" s="129">
        <v>113863846</v>
      </c>
      <c r="R78" s="129">
        <v>-530005</v>
      </c>
      <c r="S78" s="129">
        <v>0</v>
      </c>
      <c r="T78" s="129">
        <v>-530005</v>
      </c>
      <c r="U78" s="129">
        <v>38809</v>
      </c>
      <c r="V78" s="129">
        <v>0</v>
      </c>
      <c r="W78" s="129">
        <v>38809</v>
      </c>
      <c r="X78" s="129">
        <v>-491196</v>
      </c>
      <c r="Y78" s="129">
        <v>0</v>
      </c>
      <c r="Z78" s="129">
        <v>0</v>
      </c>
      <c r="AA78" s="129">
        <v>0</v>
      </c>
      <c r="AB78" s="129">
        <v>-491196</v>
      </c>
      <c r="AC78" s="129">
        <v>0</v>
      </c>
      <c r="AD78" s="129">
        <v>-491196</v>
      </c>
      <c r="AE78" s="129">
        <v>491196</v>
      </c>
      <c r="AF78" s="129">
        <v>0</v>
      </c>
      <c r="AG78" s="129">
        <v>491196</v>
      </c>
      <c r="AH78" s="129">
        <v>-7762179</v>
      </c>
      <c r="AI78" s="129">
        <v>-8907</v>
      </c>
      <c r="AJ78" s="129">
        <v>-7771086</v>
      </c>
      <c r="AK78" s="129">
        <v>0</v>
      </c>
      <c r="AL78" s="129">
        <v>0</v>
      </c>
      <c r="AM78" s="129">
        <v>0</v>
      </c>
      <c r="AN78" s="129">
        <v>2154007</v>
      </c>
      <c r="AO78" s="129">
        <v>2863</v>
      </c>
      <c r="AP78" s="129">
        <v>2156870</v>
      </c>
      <c r="AQ78" s="129">
        <v>-5608172</v>
      </c>
      <c r="AR78" s="129">
        <v>-6044</v>
      </c>
      <c r="AS78" s="129">
        <v>-5614216</v>
      </c>
      <c r="AT78" s="129">
        <v>-7768272</v>
      </c>
      <c r="AU78" s="129">
        <v>-31539</v>
      </c>
      <c r="AV78" s="129">
        <v>-7799811</v>
      </c>
      <c r="AW78" s="129">
        <v>-8540</v>
      </c>
      <c r="AX78" s="129">
        <v>0</v>
      </c>
      <c r="AY78" s="129">
        <v>-8540</v>
      </c>
      <c r="AZ78" s="129">
        <v>0</v>
      </c>
      <c r="BA78" s="129">
        <v>0</v>
      </c>
      <c r="BB78" s="129">
        <v>0</v>
      </c>
      <c r="BC78" s="129">
        <v>0</v>
      </c>
      <c r="BD78" s="129">
        <v>0</v>
      </c>
      <c r="BE78" s="129">
        <v>0</v>
      </c>
      <c r="BF78" s="129">
        <v>-13384984</v>
      </c>
      <c r="BG78" s="129">
        <v>-37583</v>
      </c>
      <c r="BH78" s="129">
        <v>0</v>
      </c>
      <c r="BI78" s="129">
        <v>0</v>
      </c>
      <c r="BJ78" s="129">
        <v>-13384984</v>
      </c>
      <c r="BK78" s="129">
        <v>-37583</v>
      </c>
      <c r="BL78" s="129">
        <v>-13422567</v>
      </c>
      <c r="BM78" s="129">
        <v>0</v>
      </c>
      <c r="BN78" s="129">
        <v>0</v>
      </c>
      <c r="BO78" s="129">
        <v>0</v>
      </c>
      <c r="BP78" s="129">
        <v>-3015267</v>
      </c>
      <c r="BQ78" s="129">
        <v>-2150</v>
      </c>
      <c r="BR78" s="129">
        <v>-3017417</v>
      </c>
      <c r="BS78" s="129">
        <v>-3015267</v>
      </c>
      <c r="BT78" s="129">
        <v>-2150</v>
      </c>
      <c r="BU78" s="129">
        <v>0</v>
      </c>
      <c r="BV78" s="129">
        <v>0</v>
      </c>
      <c r="BW78" s="129">
        <v>-3015267</v>
      </c>
      <c r="BX78" s="129">
        <v>-2150</v>
      </c>
      <c r="BY78" s="129">
        <v>-3017417</v>
      </c>
      <c r="BZ78" s="129">
        <v>-159930</v>
      </c>
      <c r="CA78" s="129">
        <v>0</v>
      </c>
      <c r="CB78" s="129">
        <v>-159930</v>
      </c>
      <c r="CC78" s="129">
        <v>-148774</v>
      </c>
      <c r="CD78" s="129">
        <v>0</v>
      </c>
      <c r="CE78" s="129">
        <v>-148774</v>
      </c>
      <c r="CF78" s="129">
        <v>-1541</v>
      </c>
      <c r="CG78" s="129">
        <v>0</v>
      </c>
      <c r="CH78" s="129">
        <v>-1541</v>
      </c>
      <c r="CI78" s="129">
        <v>0</v>
      </c>
      <c r="CJ78" s="129">
        <v>0</v>
      </c>
      <c r="CK78" s="129">
        <v>0</v>
      </c>
      <c r="CL78" s="129">
        <v>0</v>
      </c>
      <c r="CM78" s="129">
        <v>0</v>
      </c>
      <c r="CN78" s="129">
        <v>0</v>
      </c>
      <c r="CO78" s="129">
        <v>0</v>
      </c>
      <c r="CP78" s="129">
        <v>-29067</v>
      </c>
      <c r="CQ78" s="129">
        <v>-29067</v>
      </c>
      <c r="CR78" s="129">
        <v>-29067</v>
      </c>
      <c r="CS78" s="129">
        <v>0</v>
      </c>
      <c r="CT78" s="129">
        <v>-310245</v>
      </c>
      <c r="CU78" s="129">
        <v>-29067</v>
      </c>
      <c r="CV78" s="129">
        <v>0</v>
      </c>
      <c r="CW78" s="129">
        <v>0</v>
      </c>
      <c r="CX78" s="129">
        <v>-310245</v>
      </c>
      <c r="CY78" s="129">
        <v>-29067</v>
      </c>
      <c r="CZ78" s="129">
        <v>-339312</v>
      </c>
      <c r="DA78" s="129">
        <v>0</v>
      </c>
      <c r="DB78" s="129">
        <v>0</v>
      </c>
      <c r="DC78" s="129">
        <v>0</v>
      </c>
      <c r="DD78" s="129">
        <v>-71503</v>
      </c>
      <c r="DE78" s="129">
        <v>0</v>
      </c>
      <c r="DF78" s="129">
        <v>-71503</v>
      </c>
      <c r="DG78" s="129">
        <v>-1500</v>
      </c>
      <c r="DH78" s="129">
        <v>0</v>
      </c>
      <c r="DI78" s="129">
        <v>-1500</v>
      </c>
      <c r="DJ78" s="129">
        <v>-73003</v>
      </c>
      <c r="DK78" s="129">
        <v>0</v>
      </c>
      <c r="DL78" s="129">
        <v>0</v>
      </c>
      <c r="DM78" s="129">
        <v>0</v>
      </c>
      <c r="DN78" s="129">
        <v>-73003</v>
      </c>
      <c r="DO78" s="129">
        <v>0</v>
      </c>
      <c r="DP78" s="129">
        <v>-73003</v>
      </c>
      <c r="DQ78" s="129">
        <v>96415162</v>
      </c>
      <c r="DR78" s="129">
        <v>105189</v>
      </c>
      <c r="DS78" s="129">
        <v>96520351</v>
      </c>
      <c r="DT78" s="662" t="s">
        <v>514</v>
      </c>
      <c r="DU78" s="324" t="s">
        <v>486</v>
      </c>
      <c r="DV78" s="663" t="s">
        <v>515</v>
      </c>
      <c r="DW78" s="529" t="s">
        <v>1286</v>
      </c>
    </row>
    <row r="79" spans="1:127" ht="12.75" x14ac:dyDescent="0.2">
      <c r="A79" s="664">
        <v>72</v>
      </c>
      <c r="B79" s="665" t="s">
        <v>26</v>
      </c>
      <c r="C79" s="666" t="s">
        <v>1201</v>
      </c>
      <c r="D79" s="667" t="s">
        <v>1206</v>
      </c>
      <c r="E79" s="668" t="s">
        <v>25</v>
      </c>
      <c r="F79" s="753" t="s">
        <v>1879</v>
      </c>
      <c r="G79" s="129">
        <v>57767035</v>
      </c>
      <c r="H79" s="129">
        <v>0</v>
      </c>
      <c r="I79" s="129">
        <v>57767035</v>
      </c>
      <c r="J79" s="793">
        <v>49.9</v>
      </c>
      <c r="K79" s="129">
        <v>28825750</v>
      </c>
      <c r="L79" s="129">
        <v>0</v>
      </c>
      <c r="M79" s="129">
        <v>251111</v>
      </c>
      <c r="N79" s="129">
        <v>0</v>
      </c>
      <c r="O79" s="129">
        <v>29076861</v>
      </c>
      <c r="P79" s="129">
        <v>0</v>
      </c>
      <c r="Q79" s="129">
        <v>29076861</v>
      </c>
      <c r="R79" s="129">
        <v>-394203</v>
      </c>
      <c r="S79" s="129">
        <v>0</v>
      </c>
      <c r="T79" s="129">
        <v>-394203</v>
      </c>
      <c r="U79" s="129">
        <v>2221</v>
      </c>
      <c r="V79" s="129">
        <v>0</v>
      </c>
      <c r="W79" s="129">
        <v>2221</v>
      </c>
      <c r="X79" s="129">
        <v>-391982</v>
      </c>
      <c r="Y79" s="129">
        <v>0</v>
      </c>
      <c r="Z79" s="129">
        <v>0</v>
      </c>
      <c r="AA79" s="129">
        <v>0</v>
      </c>
      <c r="AB79" s="129">
        <v>-391982</v>
      </c>
      <c r="AC79" s="129">
        <v>0</v>
      </c>
      <c r="AD79" s="129">
        <v>-391982</v>
      </c>
      <c r="AE79" s="129">
        <v>391982</v>
      </c>
      <c r="AF79" s="129">
        <v>0</v>
      </c>
      <c r="AG79" s="129">
        <v>391982</v>
      </c>
      <c r="AH79" s="129">
        <v>-5803481</v>
      </c>
      <c r="AI79" s="129">
        <v>0</v>
      </c>
      <c r="AJ79" s="129">
        <v>-5803481</v>
      </c>
      <c r="AK79" s="129">
        <v>0</v>
      </c>
      <c r="AL79" s="129">
        <v>0</v>
      </c>
      <c r="AM79" s="129">
        <v>0</v>
      </c>
      <c r="AN79" s="129">
        <v>347487</v>
      </c>
      <c r="AO79" s="129">
        <v>0</v>
      </c>
      <c r="AP79" s="129">
        <v>347487</v>
      </c>
      <c r="AQ79" s="129">
        <v>-5455994</v>
      </c>
      <c r="AR79" s="129">
        <v>0</v>
      </c>
      <c r="AS79" s="129">
        <v>-5455994</v>
      </c>
      <c r="AT79" s="129">
        <v>-1569410</v>
      </c>
      <c r="AU79" s="129">
        <v>0</v>
      </c>
      <c r="AV79" s="129">
        <v>-1569410</v>
      </c>
      <c r="AW79" s="129">
        <v>-22016</v>
      </c>
      <c r="AX79" s="129">
        <v>0</v>
      </c>
      <c r="AY79" s="129">
        <v>-22016</v>
      </c>
      <c r="AZ79" s="129">
        <v>-47358</v>
      </c>
      <c r="BA79" s="129">
        <v>0</v>
      </c>
      <c r="BB79" s="129">
        <v>-47358</v>
      </c>
      <c r="BC79" s="129">
        <v>0</v>
      </c>
      <c r="BD79" s="129">
        <v>0</v>
      </c>
      <c r="BE79" s="129">
        <v>0</v>
      </c>
      <c r="BF79" s="129">
        <v>-7094778</v>
      </c>
      <c r="BG79" s="129">
        <v>0</v>
      </c>
      <c r="BH79" s="129">
        <v>-90396</v>
      </c>
      <c r="BI79" s="129">
        <v>0</v>
      </c>
      <c r="BJ79" s="129">
        <v>-7185174</v>
      </c>
      <c r="BK79" s="129">
        <v>0</v>
      </c>
      <c r="BL79" s="129">
        <v>-7185174</v>
      </c>
      <c r="BM79" s="129">
        <v>0</v>
      </c>
      <c r="BN79" s="129">
        <v>0</v>
      </c>
      <c r="BO79" s="129">
        <v>0</v>
      </c>
      <c r="BP79" s="129">
        <v>-719491</v>
      </c>
      <c r="BQ79" s="129">
        <v>0</v>
      </c>
      <c r="BR79" s="129">
        <v>-719491</v>
      </c>
      <c r="BS79" s="129">
        <v>-719491</v>
      </c>
      <c r="BT79" s="129">
        <v>0</v>
      </c>
      <c r="BU79" s="129">
        <v>0</v>
      </c>
      <c r="BV79" s="129">
        <v>0</v>
      </c>
      <c r="BW79" s="129">
        <v>-719491</v>
      </c>
      <c r="BX79" s="129">
        <v>0</v>
      </c>
      <c r="BY79" s="129">
        <v>-719491</v>
      </c>
      <c r="BZ79" s="129">
        <v>-108894</v>
      </c>
      <c r="CA79" s="129">
        <v>0</v>
      </c>
      <c r="CB79" s="129">
        <v>-108894</v>
      </c>
      <c r="CC79" s="129">
        <v>-82755</v>
      </c>
      <c r="CD79" s="129">
        <v>0</v>
      </c>
      <c r="CE79" s="129">
        <v>-82755</v>
      </c>
      <c r="CF79" s="129">
        <v>-3917</v>
      </c>
      <c r="CG79" s="129">
        <v>0</v>
      </c>
      <c r="CH79" s="129">
        <v>-3917</v>
      </c>
      <c r="CI79" s="129">
        <v>0</v>
      </c>
      <c r="CJ79" s="129">
        <v>0</v>
      </c>
      <c r="CK79" s="129">
        <v>0</v>
      </c>
      <c r="CL79" s="129">
        <v>-4800</v>
      </c>
      <c r="CM79" s="129">
        <v>0</v>
      </c>
      <c r="CN79" s="129">
        <v>-4800</v>
      </c>
      <c r="CO79" s="129">
        <v>0</v>
      </c>
      <c r="CP79" s="129">
        <v>0</v>
      </c>
      <c r="CQ79" s="129">
        <v>0</v>
      </c>
      <c r="CR79" s="129">
        <v>0</v>
      </c>
      <c r="CS79" s="129">
        <v>0</v>
      </c>
      <c r="CT79" s="129">
        <v>-200366</v>
      </c>
      <c r="CU79" s="129">
        <v>0</v>
      </c>
      <c r="CV79" s="129">
        <v>0</v>
      </c>
      <c r="CW79" s="129">
        <v>0</v>
      </c>
      <c r="CX79" s="129">
        <v>-200366</v>
      </c>
      <c r="CY79" s="129">
        <v>0</v>
      </c>
      <c r="CZ79" s="129">
        <v>-200366</v>
      </c>
      <c r="DA79" s="129">
        <v>-47358</v>
      </c>
      <c r="DB79" s="129">
        <v>0</v>
      </c>
      <c r="DC79" s="129">
        <v>-47358</v>
      </c>
      <c r="DD79" s="129">
        <v>-76514</v>
      </c>
      <c r="DE79" s="129">
        <v>0</v>
      </c>
      <c r="DF79" s="129">
        <v>-76514</v>
      </c>
      <c r="DG79" s="129">
        <v>0</v>
      </c>
      <c r="DH79" s="129">
        <v>0</v>
      </c>
      <c r="DI79" s="129">
        <v>0</v>
      </c>
      <c r="DJ79" s="129">
        <v>-123872</v>
      </c>
      <c r="DK79" s="129">
        <v>0</v>
      </c>
      <c r="DL79" s="129">
        <v>0</v>
      </c>
      <c r="DM79" s="129">
        <v>0</v>
      </c>
      <c r="DN79" s="129">
        <v>-123872</v>
      </c>
      <c r="DO79" s="129">
        <v>0</v>
      </c>
      <c r="DP79" s="129">
        <v>-123872</v>
      </c>
      <c r="DQ79" s="129">
        <v>20455976</v>
      </c>
      <c r="DR79" s="129">
        <v>0</v>
      </c>
      <c r="DS79" s="129">
        <v>20455976</v>
      </c>
      <c r="DT79" s="662" t="s">
        <v>25</v>
      </c>
      <c r="DU79" s="324" t="s">
        <v>516</v>
      </c>
      <c r="DV79" s="663" t="s">
        <v>515</v>
      </c>
      <c r="DW79" s="529" t="s">
        <v>1287</v>
      </c>
    </row>
    <row r="80" spans="1:127" ht="12.75" x14ac:dyDescent="0.2">
      <c r="A80" s="664">
        <v>73</v>
      </c>
      <c r="B80" s="665" t="s">
        <v>28</v>
      </c>
      <c r="C80" s="666" t="s">
        <v>1217</v>
      </c>
      <c r="D80" s="667" t="s">
        <v>1218</v>
      </c>
      <c r="E80" s="668" t="s">
        <v>27</v>
      </c>
      <c r="F80" s="753" t="s">
        <v>1882</v>
      </c>
      <c r="G80" s="129">
        <v>252453850</v>
      </c>
      <c r="H80" s="129">
        <v>0</v>
      </c>
      <c r="I80" s="129">
        <v>252453850</v>
      </c>
      <c r="J80" s="793">
        <v>49.9</v>
      </c>
      <c r="K80" s="129">
        <v>125974471</v>
      </c>
      <c r="L80" s="129">
        <v>0</v>
      </c>
      <c r="M80" s="129">
        <v>-6829076</v>
      </c>
      <c r="N80" s="129">
        <v>0</v>
      </c>
      <c r="O80" s="129">
        <v>119145395</v>
      </c>
      <c r="P80" s="129">
        <v>0</v>
      </c>
      <c r="Q80" s="129">
        <v>119145395</v>
      </c>
      <c r="R80" s="129">
        <v>-302063</v>
      </c>
      <c r="S80" s="129">
        <v>0</v>
      </c>
      <c r="T80" s="129">
        <v>-302063</v>
      </c>
      <c r="U80" s="129">
        <v>1203031</v>
      </c>
      <c r="V80" s="129">
        <v>0</v>
      </c>
      <c r="W80" s="129">
        <v>1203031</v>
      </c>
      <c r="X80" s="129">
        <v>900968</v>
      </c>
      <c r="Y80" s="129">
        <v>0</v>
      </c>
      <c r="Z80" s="129">
        <v>0</v>
      </c>
      <c r="AA80" s="129">
        <v>0</v>
      </c>
      <c r="AB80" s="129">
        <v>900968</v>
      </c>
      <c r="AC80" s="129">
        <v>0</v>
      </c>
      <c r="AD80" s="129">
        <v>900968</v>
      </c>
      <c r="AE80" s="129">
        <v>-900968</v>
      </c>
      <c r="AF80" s="129">
        <v>0</v>
      </c>
      <c r="AG80" s="129">
        <v>-900968</v>
      </c>
      <c r="AH80" s="129">
        <v>-11101936</v>
      </c>
      <c r="AI80" s="129">
        <v>0</v>
      </c>
      <c r="AJ80" s="129">
        <v>-11101936</v>
      </c>
      <c r="AK80" s="129">
        <v>-25753</v>
      </c>
      <c r="AL80" s="129">
        <v>0</v>
      </c>
      <c r="AM80" s="129">
        <v>-25753</v>
      </c>
      <c r="AN80" s="129">
        <v>2420625</v>
      </c>
      <c r="AO80" s="129">
        <v>0</v>
      </c>
      <c r="AP80" s="129">
        <v>2420625</v>
      </c>
      <c r="AQ80" s="129">
        <v>-8681311</v>
      </c>
      <c r="AR80" s="129">
        <v>0</v>
      </c>
      <c r="AS80" s="129">
        <v>-8681311</v>
      </c>
      <c r="AT80" s="129">
        <v>-7478913</v>
      </c>
      <c r="AU80" s="129">
        <v>0</v>
      </c>
      <c r="AV80" s="129">
        <v>-7478913</v>
      </c>
      <c r="AW80" s="129">
        <v>-58368</v>
      </c>
      <c r="AX80" s="129">
        <v>0</v>
      </c>
      <c r="AY80" s="129">
        <v>-58368</v>
      </c>
      <c r="AZ80" s="129">
        <v>-3533</v>
      </c>
      <c r="BA80" s="129">
        <v>0</v>
      </c>
      <c r="BB80" s="129">
        <v>-3533</v>
      </c>
      <c r="BC80" s="129">
        <v>0</v>
      </c>
      <c r="BD80" s="129">
        <v>0</v>
      </c>
      <c r="BE80" s="129">
        <v>0</v>
      </c>
      <c r="BF80" s="129">
        <v>-16222125</v>
      </c>
      <c r="BG80" s="129">
        <v>0</v>
      </c>
      <c r="BH80" s="129">
        <v>831956</v>
      </c>
      <c r="BI80" s="129">
        <v>0</v>
      </c>
      <c r="BJ80" s="129">
        <v>-15390169</v>
      </c>
      <c r="BK80" s="129">
        <v>0</v>
      </c>
      <c r="BL80" s="129">
        <v>-15390169</v>
      </c>
      <c r="BM80" s="129">
        <v>-100000</v>
      </c>
      <c r="BN80" s="129">
        <v>0</v>
      </c>
      <c r="BO80" s="129">
        <v>-100000</v>
      </c>
      <c r="BP80" s="129">
        <v>-3358157</v>
      </c>
      <c r="BQ80" s="129">
        <v>0</v>
      </c>
      <c r="BR80" s="129">
        <v>-3358157</v>
      </c>
      <c r="BS80" s="129">
        <v>-3458157</v>
      </c>
      <c r="BT80" s="129">
        <v>0</v>
      </c>
      <c r="BU80" s="129">
        <v>187467</v>
      </c>
      <c r="BV80" s="129">
        <v>0</v>
      </c>
      <c r="BW80" s="129">
        <v>-3270690</v>
      </c>
      <c r="BX80" s="129">
        <v>0</v>
      </c>
      <c r="BY80" s="129">
        <v>-3270690</v>
      </c>
      <c r="BZ80" s="129">
        <v>-279606</v>
      </c>
      <c r="CA80" s="129">
        <v>0</v>
      </c>
      <c r="CB80" s="129">
        <v>-279606</v>
      </c>
      <c r="CC80" s="129">
        <v>-143101</v>
      </c>
      <c r="CD80" s="129">
        <v>0</v>
      </c>
      <c r="CE80" s="129">
        <v>-143101</v>
      </c>
      <c r="CF80" s="129">
        <v>0</v>
      </c>
      <c r="CG80" s="129">
        <v>0</v>
      </c>
      <c r="CH80" s="129">
        <v>0</v>
      </c>
      <c r="CI80" s="129">
        <v>0</v>
      </c>
      <c r="CJ80" s="129">
        <v>0</v>
      </c>
      <c r="CK80" s="129">
        <v>0</v>
      </c>
      <c r="CL80" s="129">
        <v>0</v>
      </c>
      <c r="CM80" s="129">
        <v>0</v>
      </c>
      <c r="CN80" s="129">
        <v>0</v>
      </c>
      <c r="CO80" s="129">
        <v>0</v>
      </c>
      <c r="CP80" s="129">
        <v>0</v>
      </c>
      <c r="CQ80" s="129">
        <v>0</v>
      </c>
      <c r="CR80" s="129">
        <v>0</v>
      </c>
      <c r="CS80" s="129">
        <v>0</v>
      </c>
      <c r="CT80" s="129">
        <v>-422707</v>
      </c>
      <c r="CU80" s="129">
        <v>0</v>
      </c>
      <c r="CV80" s="129">
        <v>22915</v>
      </c>
      <c r="CW80" s="129">
        <v>0</v>
      </c>
      <c r="CX80" s="129">
        <v>-399792</v>
      </c>
      <c r="CY80" s="129">
        <v>0</v>
      </c>
      <c r="CZ80" s="129">
        <v>-399792</v>
      </c>
      <c r="DA80" s="129">
        <v>-3533</v>
      </c>
      <c r="DB80" s="129">
        <v>0</v>
      </c>
      <c r="DC80" s="129">
        <v>-3533</v>
      </c>
      <c r="DD80" s="129">
        <v>-43791</v>
      </c>
      <c r="DE80" s="129">
        <v>0</v>
      </c>
      <c r="DF80" s="129">
        <v>-43791</v>
      </c>
      <c r="DG80" s="129">
        <v>0</v>
      </c>
      <c r="DH80" s="129">
        <v>0</v>
      </c>
      <c r="DI80" s="129">
        <v>0</v>
      </c>
      <c r="DJ80" s="129">
        <v>-47324</v>
      </c>
      <c r="DK80" s="129">
        <v>0</v>
      </c>
      <c r="DL80" s="129">
        <v>2565</v>
      </c>
      <c r="DM80" s="129">
        <v>0</v>
      </c>
      <c r="DN80" s="129">
        <v>-44759</v>
      </c>
      <c r="DO80" s="129">
        <v>0</v>
      </c>
      <c r="DP80" s="129">
        <v>-44759</v>
      </c>
      <c r="DQ80" s="129">
        <v>100940953</v>
      </c>
      <c r="DR80" s="129">
        <v>0</v>
      </c>
      <c r="DS80" s="129">
        <v>100940953</v>
      </c>
      <c r="DT80" s="662" t="s">
        <v>27</v>
      </c>
      <c r="DU80" s="324" t="s">
        <v>570</v>
      </c>
      <c r="DV80" s="663" t="s">
        <v>572</v>
      </c>
      <c r="DW80" s="529" t="s">
        <v>1288</v>
      </c>
    </row>
    <row r="81" spans="1:127" ht="12.75" x14ac:dyDescent="0.2">
      <c r="A81" s="664">
        <v>74</v>
      </c>
      <c r="B81" s="665" t="s">
        <v>1019</v>
      </c>
      <c r="C81" s="666" t="s">
        <v>486</v>
      </c>
      <c r="D81" s="667" t="s">
        <v>1224</v>
      </c>
      <c r="E81" s="668" t="s">
        <v>1018</v>
      </c>
      <c r="F81" s="753" t="s">
        <v>1875</v>
      </c>
      <c r="G81" s="129">
        <v>288558854</v>
      </c>
      <c r="H81" s="129">
        <v>755792</v>
      </c>
      <c r="I81" s="129">
        <v>289314646</v>
      </c>
      <c r="J81" s="793">
        <v>49.9</v>
      </c>
      <c r="K81" s="129">
        <v>143990868</v>
      </c>
      <c r="L81" s="129">
        <v>377140</v>
      </c>
      <c r="M81" s="129">
        <v>0</v>
      </c>
      <c r="N81" s="129">
        <v>0</v>
      </c>
      <c r="O81" s="129">
        <v>143990868</v>
      </c>
      <c r="P81" s="129">
        <v>377140</v>
      </c>
      <c r="Q81" s="129">
        <v>144368008</v>
      </c>
      <c r="R81" s="129">
        <v>-850026</v>
      </c>
      <c r="S81" s="129">
        <v>0</v>
      </c>
      <c r="T81" s="129">
        <v>-850026</v>
      </c>
      <c r="U81" s="129">
        <v>502772</v>
      </c>
      <c r="V81" s="129">
        <v>0</v>
      </c>
      <c r="W81" s="129">
        <v>502772</v>
      </c>
      <c r="X81" s="129">
        <v>-347254</v>
      </c>
      <c r="Y81" s="129">
        <v>0</v>
      </c>
      <c r="Z81" s="129">
        <v>0</v>
      </c>
      <c r="AA81" s="129">
        <v>0</v>
      </c>
      <c r="AB81" s="129">
        <v>-347254</v>
      </c>
      <c r="AC81" s="129">
        <v>0</v>
      </c>
      <c r="AD81" s="129">
        <v>-347254</v>
      </c>
      <c r="AE81" s="129">
        <v>347254</v>
      </c>
      <c r="AF81" s="129">
        <v>0</v>
      </c>
      <c r="AG81" s="129">
        <v>347254</v>
      </c>
      <c r="AH81" s="129">
        <v>-21434893</v>
      </c>
      <c r="AI81" s="129">
        <v>-23266</v>
      </c>
      <c r="AJ81" s="129">
        <v>-21458159</v>
      </c>
      <c r="AK81" s="129">
        <v>-33666</v>
      </c>
      <c r="AL81" s="129">
        <v>0</v>
      </c>
      <c r="AM81" s="129">
        <v>-33666</v>
      </c>
      <c r="AN81" s="129">
        <v>2121481</v>
      </c>
      <c r="AO81" s="129">
        <v>0</v>
      </c>
      <c r="AP81" s="129">
        <v>2121481</v>
      </c>
      <c r="AQ81" s="129">
        <v>-19313412</v>
      </c>
      <c r="AR81" s="129">
        <v>-23266</v>
      </c>
      <c r="AS81" s="129">
        <v>-19336678</v>
      </c>
      <c r="AT81" s="129">
        <v>-11027022</v>
      </c>
      <c r="AU81" s="129">
        <v>0</v>
      </c>
      <c r="AV81" s="129">
        <v>-11027022</v>
      </c>
      <c r="AW81" s="129">
        <v>-373951</v>
      </c>
      <c r="AX81" s="129">
        <v>0</v>
      </c>
      <c r="AY81" s="129">
        <v>-373951</v>
      </c>
      <c r="AZ81" s="129">
        <v>-104382</v>
      </c>
      <c r="BA81" s="129">
        <v>0</v>
      </c>
      <c r="BB81" s="129">
        <v>-104382</v>
      </c>
      <c r="BC81" s="129">
        <v>0</v>
      </c>
      <c r="BD81" s="129">
        <v>0</v>
      </c>
      <c r="BE81" s="129">
        <v>0</v>
      </c>
      <c r="BF81" s="129">
        <v>-30818767</v>
      </c>
      <c r="BG81" s="129">
        <v>-23266</v>
      </c>
      <c r="BH81" s="129">
        <v>0</v>
      </c>
      <c r="BI81" s="129">
        <v>0</v>
      </c>
      <c r="BJ81" s="129">
        <v>-30818767</v>
      </c>
      <c r="BK81" s="129">
        <v>-23266</v>
      </c>
      <c r="BL81" s="129">
        <v>-30842033</v>
      </c>
      <c r="BM81" s="129">
        <v>0</v>
      </c>
      <c r="BN81" s="129">
        <v>0</v>
      </c>
      <c r="BO81" s="129">
        <v>0</v>
      </c>
      <c r="BP81" s="129">
        <v>-3590584</v>
      </c>
      <c r="BQ81" s="129">
        <v>0</v>
      </c>
      <c r="BR81" s="129">
        <v>-3590584</v>
      </c>
      <c r="BS81" s="129">
        <v>-3590584</v>
      </c>
      <c r="BT81" s="129">
        <v>0</v>
      </c>
      <c r="BU81" s="129">
        <v>0</v>
      </c>
      <c r="BV81" s="129">
        <v>0</v>
      </c>
      <c r="BW81" s="129">
        <v>-3590584</v>
      </c>
      <c r="BX81" s="129">
        <v>0</v>
      </c>
      <c r="BY81" s="129">
        <v>-3590584</v>
      </c>
      <c r="BZ81" s="129">
        <v>-320575</v>
      </c>
      <c r="CA81" s="129">
        <v>0</v>
      </c>
      <c r="CB81" s="129">
        <v>-320575</v>
      </c>
      <c r="CC81" s="129">
        <v>-128762</v>
      </c>
      <c r="CD81" s="129">
        <v>0</v>
      </c>
      <c r="CE81" s="129">
        <v>-128762</v>
      </c>
      <c r="CF81" s="129">
        <v>-31977</v>
      </c>
      <c r="CG81" s="129">
        <v>0</v>
      </c>
      <c r="CH81" s="129">
        <v>-31977</v>
      </c>
      <c r="CI81" s="129">
        <v>0</v>
      </c>
      <c r="CJ81" s="129">
        <v>0</v>
      </c>
      <c r="CK81" s="129">
        <v>0</v>
      </c>
      <c r="CL81" s="129">
        <v>0</v>
      </c>
      <c r="CM81" s="129">
        <v>0</v>
      </c>
      <c r="CN81" s="129">
        <v>0</v>
      </c>
      <c r="CO81" s="129">
        <v>0</v>
      </c>
      <c r="CP81" s="129">
        <v>-50556</v>
      </c>
      <c r="CQ81" s="129">
        <v>-50556</v>
      </c>
      <c r="CR81" s="129">
        <v>-50556</v>
      </c>
      <c r="CS81" s="129">
        <v>0</v>
      </c>
      <c r="CT81" s="129">
        <v>-481314</v>
      </c>
      <c r="CU81" s="129">
        <v>-50556</v>
      </c>
      <c r="CV81" s="129">
        <v>0</v>
      </c>
      <c r="CW81" s="129">
        <v>0</v>
      </c>
      <c r="CX81" s="129">
        <v>-481314</v>
      </c>
      <c r="CY81" s="129">
        <v>-50556</v>
      </c>
      <c r="CZ81" s="129">
        <v>-531870</v>
      </c>
      <c r="DA81" s="129">
        <v>-111700</v>
      </c>
      <c r="DB81" s="129">
        <v>0</v>
      </c>
      <c r="DC81" s="129">
        <v>-111700</v>
      </c>
      <c r="DD81" s="129">
        <v>-126208</v>
      </c>
      <c r="DE81" s="129">
        <v>0</v>
      </c>
      <c r="DF81" s="129">
        <v>-126208</v>
      </c>
      <c r="DG81" s="129">
        <v>0</v>
      </c>
      <c r="DH81" s="129">
        <v>0</v>
      </c>
      <c r="DI81" s="129">
        <v>0</v>
      </c>
      <c r="DJ81" s="129">
        <v>-237908</v>
      </c>
      <c r="DK81" s="129">
        <v>0</v>
      </c>
      <c r="DL81" s="129">
        <v>0</v>
      </c>
      <c r="DM81" s="129">
        <v>0</v>
      </c>
      <c r="DN81" s="129">
        <v>-237908</v>
      </c>
      <c r="DO81" s="129">
        <v>0</v>
      </c>
      <c r="DP81" s="129">
        <v>-237908</v>
      </c>
      <c r="DQ81" s="129">
        <v>108515041</v>
      </c>
      <c r="DR81" s="129">
        <v>303318</v>
      </c>
      <c r="DS81" s="129">
        <v>108818359</v>
      </c>
      <c r="DT81" s="662" t="s">
        <v>1018</v>
      </c>
      <c r="DU81" s="324" t="s">
        <v>486</v>
      </c>
      <c r="DV81" s="663" t="s">
        <v>1916</v>
      </c>
      <c r="DW81" s="529" t="s">
        <v>1252</v>
      </c>
    </row>
    <row r="82" spans="1:127" ht="12.75" x14ac:dyDescent="0.2">
      <c r="A82" s="664">
        <v>75</v>
      </c>
      <c r="B82" s="665" t="s">
        <v>38</v>
      </c>
      <c r="C82" s="666" t="s">
        <v>1201</v>
      </c>
      <c r="D82" s="667" t="s">
        <v>1202</v>
      </c>
      <c r="E82" s="668" t="s">
        <v>37</v>
      </c>
      <c r="F82" s="753" t="s">
        <v>1875</v>
      </c>
      <c r="G82" s="129">
        <v>110286137</v>
      </c>
      <c r="H82" s="129">
        <v>0</v>
      </c>
      <c r="I82" s="129">
        <v>110286137</v>
      </c>
      <c r="J82" s="793">
        <v>49.9</v>
      </c>
      <c r="K82" s="129">
        <v>55032782</v>
      </c>
      <c r="L82" s="129">
        <v>0</v>
      </c>
      <c r="M82" s="129">
        <v>255361</v>
      </c>
      <c r="N82" s="129">
        <v>0</v>
      </c>
      <c r="O82" s="129">
        <v>55288143</v>
      </c>
      <c r="P82" s="129">
        <v>0</v>
      </c>
      <c r="Q82" s="129">
        <v>55288143</v>
      </c>
      <c r="R82" s="129">
        <v>-151517</v>
      </c>
      <c r="S82" s="129">
        <v>0</v>
      </c>
      <c r="T82" s="129">
        <v>-151517</v>
      </c>
      <c r="U82" s="129">
        <v>777338</v>
      </c>
      <c r="V82" s="129">
        <v>0</v>
      </c>
      <c r="W82" s="129">
        <v>777338</v>
      </c>
      <c r="X82" s="129">
        <v>625821</v>
      </c>
      <c r="Y82" s="129">
        <v>0</v>
      </c>
      <c r="Z82" s="129">
        <v>0</v>
      </c>
      <c r="AA82" s="129">
        <v>0</v>
      </c>
      <c r="AB82" s="129">
        <v>625821</v>
      </c>
      <c r="AC82" s="129">
        <v>0</v>
      </c>
      <c r="AD82" s="129">
        <v>625821</v>
      </c>
      <c r="AE82" s="129">
        <v>-625821</v>
      </c>
      <c r="AF82" s="129">
        <v>0</v>
      </c>
      <c r="AG82" s="129">
        <v>-625821</v>
      </c>
      <c r="AH82" s="129">
        <v>-4461054</v>
      </c>
      <c r="AI82" s="129">
        <v>0</v>
      </c>
      <c r="AJ82" s="129">
        <v>-4461054</v>
      </c>
      <c r="AK82" s="129">
        <v>0</v>
      </c>
      <c r="AL82" s="129">
        <v>0</v>
      </c>
      <c r="AM82" s="129">
        <v>0</v>
      </c>
      <c r="AN82" s="129">
        <v>1122319</v>
      </c>
      <c r="AO82" s="129">
        <v>0</v>
      </c>
      <c r="AP82" s="129">
        <v>1122319</v>
      </c>
      <c r="AQ82" s="129">
        <v>-3338735</v>
      </c>
      <c r="AR82" s="129">
        <v>0</v>
      </c>
      <c r="AS82" s="129">
        <v>-3338735</v>
      </c>
      <c r="AT82" s="129">
        <v>-3121645</v>
      </c>
      <c r="AU82" s="129">
        <v>0</v>
      </c>
      <c r="AV82" s="129">
        <v>-3121645</v>
      </c>
      <c r="AW82" s="129">
        <v>-38871</v>
      </c>
      <c r="AX82" s="129">
        <v>0</v>
      </c>
      <c r="AY82" s="129">
        <v>-38871</v>
      </c>
      <c r="AZ82" s="129">
        <v>-12896</v>
      </c>
      <c r="BA82" s="129">
        <v>0</v>
      </c>
      <c r="BB82" s="129">
        <v>-12896</v>
      </c>
      <c r="BC82" s="129">
        <v>0</v>
      </c>
      <c r="BD82" s="129">
        <v>0</v>
      </c>
      <c r="BE82" s="129">
        <v>0</v>
      </c>
      <c r="BF82" s="129">
        <v>-6512147</v>
      </c>
      <c r="BG82" s="129">
        <v>0</v>
      </c>
      <c r="BH82" s="129">
        <v>0</v>
      </c>
      <c r="BI82" s="129">
        <v>0</v>
      </c>
      <c r="BJ82" s="129">
        <v>-6512147</v>
      </c>
      <c r="BK82" s="129">
        <v>0</v>
      </c>
      <c r="BL82" s="129">
        <v>-6512147</v>
      </c>
      <c r="BM82" s="129">
        <v>0</v>
      </c>
      <c r="BN82" s="129">
        <v>0</v>
      </c>
      <c r="BO82" s="129">
        <v>0</v>
      </c>
      <c r="BP82" s="129">
        <v>-1412112</v>
      </c>
      <c r="BQ82" s="129">
        <v>0</v>
      </c>
      <c r="BR82" s="129">
        <v>-1412112</v>
      </c>
      <c r="BS82" s="129">
        <v>-1412112</v>
      </c>
      <c r="BT82" s="129">
        <v>0</v>
      </c>
      <c r="BU82" s="129">
        <v>0</v>
      </c>
      <c r="BV82" s="129">
        <v>0</v>
      </c>
      <c r="BW82" s="129">
        <v>-1412112</v>
      </c>
      <c r="BX82" s="129">
        <v>0</v>
      </c>
      <c r="BY82" s="129">
        <v>-1412112</v>
      </c>
      <c r="BZ82" s="129">
        <v>-204413</v>
      </c>
      <c r="CA82" s="129">
        <v>0</v>
      </c>
      <c r="CB82" s="129">
        <v>-204413</v>
      </c>
      <c r="CC82" s="129">
        <v>-10748</v>
      </c>
      <c r="CD82" s="129">
        <v>0</v>
      </c>
      <c r="CE82" s="129">
        <v>-10748</v>
      </c>
      <c r="CF82" s="129">
        <v>0</v>
      </c>
      <c r="CG82" s="129">
        <v>0</v>
      </c>
      <c r="CH82" s="129">
        <v>0</v>
      </c>
      <c r="CI82" s="129">
        <v>0</v>
      </c>
      <c r="CJ82" s="129">
        <v>0</v>
      </c>
      <c r="CK82" s="129">
        <v>0</v>
      </c>
      <c r="CL82" s="129">
        <v>0</v>
      </c>
      <c r="CM82" s="129">
        <v>0</v>
      </c>
      <c r="CN82" s="129">
        <v>0</v>
      </c>
      <c r="CO82" s="129">
        <v>-1493438</v>
      </c>
      <c r="CP82" s="129">
        <v>0</v>
      </c>
      <c r="CQ82" s="129">
        <v>-1493438</v>
      </c>
      <c r="CR82" s="129">
        <v>0</v>
      </c>
      <c r="CS82" s="129">
        <v>-1493438</v>
      </c>
      <c r="CT82" s="129">
        <v>-1708599</v>
      </c>
      <c r="CU82" s="129">
        <v>0</v>
      </c>
      <c r="CV82" s="129">
        <v>0</v>
      </c>
      <c r="CW82" s="129">
        <v>0</v>
      </c>
      <c r="CX82" s="129">
        <v>-1708599</v>
      </c>
      <c r="CY82" s="129">
        <v>0</v>
      </c>
      <c r="CZ82" s="129">
        <v>-1708599</v>
      </c>
      <c r="DA82" s="129">
        <v>-12896</v>
      </c>
      <c r="DB82" s="129">
        <v>0</v>
      </c>
      <c r="DC82" s="129">
        <v>-12896</v>
      </c>
      <c r="DD82" s="129">
        <v>-41031</v>
      </c>
      <c r="DE82" s="129">
        <v>0</v>
      </c>
      <c r="DF82" s="129">
        <v>-41031</v>
      </c>
      <c r="DG82" s="129">
        <v>-1500</v>
      </c>
      <c r="DH82" s="129">
        <v>0</v>
      </c>
      <c r="DI82" s="129">
        <v>-1500</v>
      </c>
      <c r="DJ82" s="129">
        <v>-55427</v>
      </c>
      <c r="DK82" s="129">
        <v>0</v>
      </c>
      <c r="DL82" s="129">
        <v>0</v>
      </c>
      <c r="DM82" s="129">
        <v>0</v>
      </c>
      <c r="DN82" s="129">
        <v>-55427</v>
      </c>
      <c r="DO82" s="129">
        <v>0</v>
      </c>
      <c r="DP82" s="129">
        <v>-55427</v>
      </c>
      <c r="DQ82" s="129">
        <v>46225679</v>
      </c>
      <c r="DR82" s="129">
        <v>0</v>
      </c>
      <c r="DS82" s="129">
        <v>46225679</v>
      </c>
      <c r="DT82" s="662" t="s">
        <v>37</v>
      </c>
      <c r="DU82" s="324" t="s">
        <v>543</v>
      </c>
      <c r="DV82" s="663" t="s">
        <v>542</v>
      </c>
      <c r="DW82" s="529" t="s">
        <v>1289</v>
      </c>
    </row>
    <row r="83" spans="1:127" ht="12.75" x14ac:dyDescent="0.2">
      <c r="A83" s="664">
        <v>76</v>
      </c>
      <c r="B83" s="665" t="s">
        <v>40</v>
      </c>
      <c r="C83" s="666" t="s">
        <v>1217</v>
      </c>
      <c r="D83" s="667" t="s">
        <v>1228</v>
      </c>
      <c r="E83" s="668" t="s">
        <v>39</v>
      </c>
      <c r="F83" s="753" t="s">
        <v>1878</v>
      </c>
      <c r="G83" s="129">
        <v>229969220</v>
      </c>
      <c r="H83" s="129">
        <v>992250</v>
      </c>
      <c r="I83" s="129">
        <v>230961470</v>
      </c>
      <c r="J83" s="793">
        <v>49.9</v>
      </c>
      <c r="K83" s="129">
        <v>114754641</v>
      </c>
      <c r="L83" s="129">
        <v>495133</v>
      </c>
      <c r="M83" s="129">
        <v>-650000</v>
      </c>
      <c r="N83" s="129">
        <v>0</v>
      </c>
      <c r="O83" s="129">
        <v>114104641</v>
      </c>
      <c r="P83" s="129">
        <v>495133</v>
      </c>
      <c r="Q83" s="129">
        <v>114599774</v>
      </c>
      <c r="R83" s="129">
        <v>-235667</v>
      </c>
      <c r="S83" s="129">
        <v>-608</v>
      </c>
      <c r="T83" s="129">
        <v>-236275</v>
      </c>
      <c r="U83" s="129">
        <v>734291</v>
      </c>
      <c r="V83" s="129">
        <v>0</v>
      </c>
      <c r="W83" s="129">
        <v>734291</v>
      </c>
      <c r="X83" s="129">
        <v>498624</v>
      </c>
      <c r="Y83" s="129">
        <v>-608</v>
      </c>
      <c r="Z83" s="129">
        <v>0</v>
      </c>
      <c r="AA83" s="129">
        <v>0</v>
      </c>
      <c r="AB83" s="129">
        <v>498624</v>
      </c>
      <c r="AC83" s="129">
        <v>-608</v>
      </c>
      <c r="AD83" s="129">
        <v>498016</v>
      </c>
      <c r="AE83" s="129">
        <v>-498624</v>
      </c>
      <c r="AF83" s="129">
        <v>608</v>
      </c>
      <c r="AG83" s="129">
        <v>-498016</v>
      </c>
      <c r="AH83" s="129">
        <v>-12845857</v>
      </c>
      <c r="AI83" s="129">
        <v>-7735</v>
      </c>
      <c r="AJ83" s="129">
        <v>-12853592</v>
      </c>
      <c r="AK83" s="129">
        <v>-14479</v>
      </c>
      <c r="AL83" s="129">
        <v>0</v>
      </c>
      <c r="AM83" s="129">
        <v>-14479</v>
      </c>
      <c r="AN83" s="129">
        <v>1978344</v>
      </c>
      <c r="AO83" s="129">
        <v>11726</v>
      </c>
      <c r="AP83" s="129">
        <v>1990070</v>
      </c>
      <c r="AQ83" s="129">
        <v>-10867513</v>
      </c>
      <c r="AR83" s="129">
        <v>3991</v>
      </c>
      <c r="AS83" s="129">
        <v>-10863522</v>
      </c>
      <c r="AT83" s="129">
        <v>-6144869</v>
      </c>
      <c r="AU83" s="129">
        <v>0</v>
      </c>
      <c r="AV83" s="129">
        <v>-6144869</v>
      </c>
      <c r="AW83" s="129">
        <v>-36731</v>
      </c>
      <c r="AX83" s="129">
        <v>0</v>
      </c>
      <c r="AY83" s="129">
        <v>-36731</v>
      </c>
      <c r="AZ83" s="129">
        <v>0</v>
      </c>
      <c r="BA83" s="129">
        <v>0</v>
      </c>
      <c r="BB83" s="129">
        <v>0</v>
      </c>
      <c r="BC83" s="129">
        <v>0</v>
      </c>
      <c r="BD83" s="129">
        <v>0</v>
      </c>
      <c r="BE83" s="129">
        <v>0</v>
      </c>
      <c r="BF83" s="129">
        <v>-17049113</v>
      </c>
      <c r="BG83" s="129">
        <v>3991</v>
      </c>
      <c r="BH83" s="129">
        <v>0</v>
      </c>
      <c r="BI83" s="129">
        <v>0</v>
      </c>
      <c r="BJ83" s="129">
        <v>-17049113</v>
      </c>
      <c r="BK83" s="129">
        <v>3991</v>
      </c>
      <c r="BL83" s="129">
        <v>-17045122</v>
      </c>
      <c r="BM83" s="129">
        <v>0</v>
      </c>
      <c r="BN83" s="129">
        <v>0</v>
      </c>
      <c r="BO83" s="129">
        <v>0</v>
      </c>
      <c r="BP83" s="129">
        <v>-3998048</v>
      </c>
      <c r="BQ83" s="129">
        <v>-1952</v>
      </c>
      <c r="BR83" s="129">
        <v>-4000000</v>
      </c>
      <c r="BS83" s="129">
        <v>-3998048</v>
      </c>
      <c r="BT83" s="129">
        <v>-1952</v>
      </c>
      <c r="BU83" s="129">
        <v>-1000000</v>
      </c>
      <c r="BV83" s="129">
        <v>0</v>
      </c>
      <c r="BW83" s="129">
        <v>-4998048</v>
      </c>
      <c r="BX83" s="129">
        <v>-1952</v>
      </c>
      <c r="BY83" s="129">
        <v>-5000000</v>
      </c>
      <c r="BZ83" s="129">
        <v>-583292</v>
      </c>
      <c r="CA83" s="129">
        <v>0</v>
      </c>
      <c r="CB83" s="129">
        <v>-583292</v>
      </c>
      <c r="CC83" s="129">
        <v>-67761</v>
      </c>
      <c r="CD83" s="129">
        <v>0</v>
      </c>
      <c r="CE83" s="129">
        <v>-67761</v>
      </c>
      <c r="CF83" s="129">
        <v>-9183</v>
      </c>
      <c r="CG83" s="129">
        <v>0</v>
      </c>
      <c r="CH83" s="129">
        <v>-9183</v>
      </c>
      <c r="CI83" s="129">
        <v>0</v>
      </c>
      <c r="CJ83" s="129">
        <v>0</v>
      </c>
      <c r="CK83" s="129">
        <v>0</v>
      </c>
      <c r="CL83" s="129">
        <v>0</v>
      </c>
      <c r="CM83" s="129">
        <v>0</v>
      </c>
      <c r="CN83" s="129">
        <v>0</v>
      </c>
      <c r="CO83" s="129">
        <v>-183928</v>
      </c>
      <c r="CP83" s="129">
        <v>-286243</v>
      </c>
      <c r="CQ83" s="129">
        <v>-470171</v>
      </c>
      <c r="CR83" s="129">
        <v>-286243</v>
      </c>
      <c r="CS83" s="129">
        <v>-183228</v>
      </c>
      <c r="CT83" s="129">
        <v>-844164</v>
      </c>
      <c r="CU83" s="129">
        <v>-286243</v>
      </c>
      <c r="CV83" s="129">
        <v>0</v>
      </c>
      <c r="CW83" s="129">
        <v>0</v>
      </c>
      <c r="CX83" s="129">
        <v>-844164</v>
      </c>
      <c r="CY83" s="129">
        <v>-286243</v>
      </c>
      <c r="CZ83" s="129">
        <v>-1130407</v>
      </c>
      <c r="DA83" s="129">
        <v>0</v>
      </c>
      <c r="DB83" s="129">
        <v>0</v>
      </c>
      <c r="DC83" s="129">
        <v>0</v>
      </c>
      <c r="DD83" s="129">
        <v>-15607</v>
      </c>
      <c r="DE83" s="129">
        <v>0</v>
      </c>
      <c r="DF83" s="129">
        <v>-15607</v>
      </c>
      <c r="DG83" s="129">
        <v>-661</v>
      </c>
      <c r="DH83" s="129">
        <v>0</v>
      </c>
      <c r="DI83" s="129">
        <v>-661</v>
      </c>
      <c r="DJ83" s="129">
        <v>-16268</v>
      </c>
      <c r="DK83" s="129">
        <v>0</v>
      </c>
      <c r="DL83" s="129">
        <v>0</v>
      </c>
      <c r="DM83" s="129">
        <v>0</v>
      </c>
      <c r="DN83" s="129">
        <v>-16268</v>
      </c>
      <c r="DO83" s="129">
        <v>0</v>
      </c>
      <c r="DP83" s="129">
        <v>-16268</v>
      </c>
      <c r="DQ83" s="129">
        <v>91695672</v>
      </c>
      <c r="DR83" s="129">
        <v>210321</v>
      </c>
      <c r="DS83" s="129">
        <v>91905993</v>
      </c>
      <c r="DT83" s="662" t="s">
        <v>39</v>
      </c>
      <c r="DU83" s="324" t="s">
        <v>570</v>
      </c>
      <c r="DV83" s="663" t="s">
        <v>574</v>
      </c>
      <c r="DW83" s="529" t="s">
        <v>1290</v>
      </c>
    </row>
    <row r="84" spans="1:127" ht="12.75" x14ac:dyDescent="0.2">
      <c r="A84" s="664">
        <v>77</v>
      </c>
      <c r="B84" s="665" t="s">
        <v>42</v>
      </c>
      <c r="C84" s="666" t="s">
        <v>486</v>
      </c>
      <c r="D84" s="667" t="s">
        <v>1283</v>
      </c>
      <c r="E84" s="668" t="s">
        <v>41</v>
      </c>
      <c r="F84" s="753" t="s">
        <v>1887</v>
      </c>
      <c r="G84" s="129">
        <v>317952726</v>
      </c>
      <c r="H84" s="129">
        <v>152000</v>
      </c>
      <c r="I84" s="129">
        <v>318104726</v>
      </c>
      <c r="J84" s="793">
        <v>49.9</v>
      </c>
      <c r="K84" s="129">
        <v>158658410</v>
      </c>
      <c r="L84" s="129">
        <v>75848</v>
      </c>
      <c r="M84" s="129">
        <v>-388089</v>
      </c>
      <c r="N84" s="129">
        <v>184131</v>
      </c>
      <c r="O84" s="129">
        <v>158270321</v>
      </c>
      <c r="P84" s="129">
        <v>259979</v>
      </c>
      <c r="Q84" s="129">
        <v>158530300</v>
      </c>
      <c r="R84" s="129">
        <v>-543837</v>
      </c>
      <c r="S84" s="129">
        <v>0</v>
      </c>
      <c r="T84" s="129">
        <v>-543837</v>
      </c>
      <c r="U84" s="129">
        <v>985228</v>
      </c>
      <c r="V84" s="129">
        <v>0</v>
      </c>
      <c r="W84" s="129">
        <v>985228</v>
      </c>
      <c r="X84" s="129">
        <v>441391</v>
      </c>
      <c r="Y84" s="129">
        <v>0</v>
      </c>
      <c r="Z84" s="129">
        <v>0</v>
      </c>
      <c r="AA84" s="129">
        <v>0</v>
      </c>
      <c r="AB84" s="129">
        <v>441391</v>
      </c>
      <c r="AC84" s="129">
        <v>0</v>
      </c>
      <c r="AD84" s="129">
        <v>441391</v>
      </c>
      <c r="AE84" s="129">
        <v>-441391</v>
      </c>
      <c r="AF84" s="129">
        <v>0</v>
      </c>
      <c r="AG84" s="129">
        <v>-441391</v>
      </c>
      <c r="AH84" s="129">
        <v>-17210236</v>
      </c>
      <c r="AI84" s="129">
        <v>0</v>
      </c>
      <c r="AJ84" s="129">
        <v>-17210236</v>
      </c>
      <c r="AK84" s="129">
        <v>-3820</v>
      </c>
      <c r="AL84" s="129">
        <v>0</v>
      </c>
      <c r="AM84" s="129">
        <v>-3820</v>
      </c>
      <c r="AN84" s="129">
        <v>2763202</v>
      </c>
      <c r="AO84" s="129">
        <v>1976</v>
      </c>
      <c r="AP84" s="129">
        <v>2765178</v>
      </c>
      <c r="AQ84" s="129">
        <v>-14447034</v>
      </c>
      <c r="AR84" s="129">
        <v>1976</v>
      </c>
      <c r="AS84" s="129">
        <v>-14445058</v>
      </c>
      <c r="AT84" s="129">
        <v>-12954155</v>
      </c>
      <c r="AU84" s="129">
        <v>0</v>
      </c>
      <c r="AV84" s="129">
        <v>-12954155</v>
      </c>
      <c r="AW84" s="129">
        <v>-347720</v>
      </c>
      <c r="AX84" s="129">
        <v>0</v>
      </c>
      <c r="AY84" s="129">
        <v>-347720</v>
      </c>
      <c r="AZ84" s="129">
        <v>-90007</v>
      </c>
      <c r="BA84" s="129">
        <v>0</v>
      </c>
      <c r="BB84" s="129">
        <v>-90007</v>
      </c>
      <c r="BC84" s="129">
        <v>0</v>
      </c>
      <c r="BD84" s="129">
        <v>0</v>
      </c>
      <c r="BE84" s="129">
        <v>0</v>
      </c>
      <c r="BF84" s="129">
        <v>-27838916</v>
      </c>
      <c r="BG84" s="129">
        <v>1976</v>
      </c>
      <c r="BH84" s="129">
        <v>-237308</v>
      </c>
      <c r="BI84" s="129">
        <v>0</v>
      </c>
      <c r="BJ84" s="129">
        <v>-28076224</v>
      </c>
      <c r="BK84" s="129">
        <v>1976</v>
      </c>
      <c r="BL84" s="129">
        <v>-28074248</v>
      </c>
      <c r="BM84" s="129">
        <v>0</v>
      </c>
      <c r="BN84" s="129">
        <v>0</v>
      </c>
      <c r="BO84" s="129">
        <v>0</v>
      </c>
      <c r="BP84" s="129">
        <v>-2403804</v>
      </c>
      <c r="BQ84" s="129">
        <v>0</v>
      </c>
      <c r="BR84" s="129">
        <v>-2403804</v>
      </c>
      <c r="BS84" s="129">
        <v>-2403804</v>
      </c>
      <c r="BT84" s="129">
        <v>0</v>
      </c>
      <c r="BU84" s="129">
        <v>-3702747</v>
      </c>
      <c r="BV84" s="129">
        <v>0</v>
      </c>
      <c r="BW84" s="129">
        <v>-6106551</v>
      </c>
      <c r="BX84" s="129">
        <v>0</v>
      </c>
      <c r="BY84" s="129">
        <v>-6106551</v>
      </c>
      <c r="BZ84" s="129">
        <v>-791920</v>
      </c>
      <c r="CA84" s="129">
        <v>0</v>
      </c>
      <c r="CB84" s="129">
        <v>-791920</v>
      </c>
      <c r="CC84" s="129">
        <v>-227897</v>
      </c>
      <c r="CD84" s="129">
        <v>0</v>
      </c>
      <c r="CE84" s="129">
        <v>-227897</v>
      </c>
      <c r="CF84" s="129">
        <v>0</v>
      </c>
      <c r="CG84" s="129">
        <v>0</v>
      </c>
      <c r="CH84" s="129">
        <v>0</v>
      </c>
      <c r="CI84" s="129">
        <v>0</v>
      </c>
      <c r="CJ84" s="129">
        <v>0</v>
      </c>
      <c r="CK84" s="129">
        <v>0</v>
      </c>
      <c r="CL84" s="129">
        <v>-2893</v>
      </c>
      <c r="CM84" s="129">
        <v>0</v>
      </c>
      <c r="CN84" s="129">
        <v>-2893</v>
      </c>
      <c r="CO84" s="129">
        <v>0</v>
      </c>
      <c r="CP84" s="129">
        <v>-261955</v>
      </c>
      <c r="CQ84" s="129">
        <v>-261955</v>
      </c>
      <c r="CR84" s="129">
        <v>-261955</v>
      </c>
      <c r="CS84" s="129">
        <v>0</v>
      </c>
      <c r="CT84" s="129">
        <v>-1022710</v>
      </c>
      <c r="CU84" s="129">
        <v>-261955</v>
      </c>
      <c r="CV84" s="129">
        <v>-5489</v>
      </c>
      <c r="CW84" s="129">
        <v>0</v>
      </c>
      <c r="CX84" s="129">
        <v>-1028199</v>
      </c>
      <c r="CY84" s="129">
        <v>-261955</v>
      </c>
      <c r="CZ84" s="129">
        <v>-1290154</v>
      </c>
      <c r="DA84" s="129">
        <v>-87115</v>
      </c>
      <c r="DB84" s="129">
        <v>0</v>
      </c>
      <c r="DC84" s="129">
        <v>-87115</v>
      </c>
      <c r="DD84" s="129">
        <v>-66540</v>
      </c>
      <c r="DE84" s="129">
        <v>0</v>
      </c>
      <c r="DF84" s="129">
        <v>-66540</v>
      </c>
      <c r="DG84" s="129">
        <v>-1500</v>
      </c>
      <c r="DH84" s="129">
        <v>0</v>
      </c>
      <c r="DI84" s="129">
        <v>-1500</v>
      </c>
      <c r="DJ84" s="129">
        <v>-155155</v>
      </c>
      <c r="DK84" s="129">
        <v>0</v>
      </c>
      <c r="DL84" s="129">
        <v>0</v>
      </c>
      <c r="DM84" s="129">
        <v>0</v>
      </c>
      <c r="DN84" s="129">
        <v>-155155</v>
      </c>
      <c r="DO84" s="129">
        <v>0</v>
      </c>
      <c r="DP84" s="129">
        <v>-155155</v>
      </c>
      <c r="DQ84" s="129">
        <v>123345583</v>
      </c>
      <c r="DR84" s="129">
        <v>0</v>
      </c>
      <c r="DS84" s="129">
        <v>123345583</v>
      </c>
      <c r="DT84" s="662" t="s">
        <v>41</v>
      </c>
      <c r="DU84" s="324" t="s">
        <v>486</v>
      </c>
      <c r="DV84" s="663" t="s">
        <v>523</v>
      </c>
      <c r="DW84" s="529" t="s">
        <v>1291</v>
      </c>
    </row>
    <row r="85" spans="1:127" ht="12.75" x14ac:dyDescent="0.2">
      <c r="A85" s="664">
        <v>78</v>
      </c>
      <c r="B85" s="665" t="s">
        <v>44</v>
      </c>
      <c r="C85" s="666" t="s">
        <v>1213</v>
      </c>
      <c r="D85" s="667" t="s">
        <v>1214</v>
      </c>
      <c r="E85" s="668" t="s">
        <v>43</v>
      </c>
      <c r="F85" s="753" t="s">
        <v>1875</v>
      </c>
      <c r="G85" s="129">
        <v>380627354</v>
      </c>
      <c r="H85" s="129">
        <v>0</v>
      </c>
      <c r="I85" s="129">
        <v>380627354</v>
      </c>
      <c r="J85" s="793">
        <v>49.9</v>
      </c>
      <c r="K85" s="129">
        <v>189933050</v>
      </c>
      <c r="L85" s="129">
        <v>0</v>
      </c>
      <c r="M85" s="129">
        <v>-1000000</v>
      </c>
      <c r="N85" s="129">
        <v>0</v>
      </c>
      <c r="O85" s="129">
        <v>188933050</v>
      </c>
      <c r="P85" s="129">
        <v>0</v>
      </c>
      <c r="Q85" s="129">
        <v>188933050</v>
      </c>
      <c r="R85" s="129">
        <v>-964035</v>
      </c>
      <c r="S85" s="129">
        <v>0</v>
      </c>
      <c r="T85" s="129">
        <v>-964035</v>
      </c>
      <c r="U85" s="129">
        <v>353660</v>
      </c>
      <c r="V85" s="129">
        <v>0</v>
      </c>
      <c r="W85" s="129">
        <v>353660</v>
      </c>
      <c r="X85" s="129">
        <v>-610375</v>
      </c>
      <c r="Y85" s="129">
        <v>0</v>
      </c>
      <c r="Z85" s="129">
        <v>0</v>
      </c>
      <c r="AA85" s="129">
        <v>0</v>
      </c>
      <c r="AB85" s="129">
        <v>-610375</v>
      </c>
      <c r="AC85" s="129">
        <v>0</v>
      </c>
      <c r="AD85" s="129">
        <v>-610375</v>
      </c>
      <c r="AE85" s="129">
        <v>610375</v>
      </c>
      <c r="AF85" s="129">
        <v>0</v>
      </c>
      <c r="AG85" s="129">
        <v>610375</v>
      </c>
      <c r="AH85" s="129">
        <v>-11108580</v>
      </c>
      <c r="AI85" s="129">
        <v>0</v>
      </c>
      <c r="AJ85" s="129">
        <v>-11108580</v>
      </c>
      <c r="AK85" s="129">
        <v>-7430</v>
      </c>
      <c r="AL85" s="129">
        <v>0</v>
      </c>
      <c r="AM85" s="129">
        <v>-7430</v>
      </c>
      <c r="AN85" s="129">
        <v>3553425</v>
      </c>
      <c r="AO85" s="129">
        <v>0</v>
      </c>
      <c r="AP85" s="129">
        <v>3553425</v>
      </c>
      <c r="AQ85" s="129">
        <v>-7555155</v>
      </c>
      <c r="AR85" s="129">
        <v>0</v>
      </c>
      <c r="AS85" s="129">
        <v>-7555155</v>
      </c>
      <c r="AT85" s="129">
        <v>-9749783</v>
      </c>
      <c r="AU85" s="129">
        <v>0</v>
      </c>
      <c r="AV85" s="129">
        <v>-9749783</v>
      </c>
      <c r="AW85" s="129">
        <v>-32252</v>
      </c>
      <c r="AX85" s="129">
        <v>0</v>
      </c>
      <c r="AY85" s="129">
        <v>-32252</v>
      </c>
      <c r="AZ85" s="129">
        <v>0</v>
      </c>
      <c r="BA85" s="129">
        <v>0</v>
      </c>
      <c r="BB85" s="129">
        <v>0</v>
      </c>
      <c r="BC85" s="129">
        <v>0</v>
      </c>
      <c r="BD85" s="129">
        <v>0</v>
      </c>
      <c r="BE85" s="129">
        <v>0</v>
      </c>
      <c r="BF85" s="129">
        <v>-17337190</v>
      </c>
      <c r="BG85" s="129">
        <v>0</v>
      </c>
      <c r="BH85" s="129">
        <v>0</v>
      </c>
      <c r="BI85" s="129">
        <v>0</v>
      </c>
      <c r="BJ85" s="129">
        <v>-17337190</v>
      </c>
      <c r="BK85" s="129">
        <v>0</v>
      </c>
      <c r="BL85" s="129">
        <v>-17337190</v>
      </c>
      <c r="BM85" s="129">
        <v>-100000</v>
      </c>
      <c r="BN85" s="129">
        <v>0</v>
      </c>
      <c r="BO85" s="129">
        <v>-100000</v>
      </c>
      <c r="BP85" s="129">
        <v>-6122976</v>
      </c>
      <c r="BQ85" s="129">
        <v>0</v>
      </c>
      <c r="BR85" s="129">
        <v>-6122976</v>
      </c>
      <c r="BS85" s="129">
        <v>-6222976</v>
      </c>
      <c r="BT85" s="129">
        <v>0</v>
      </c>
      <c r="BU85" s="129">
        <v>-2000000</v>
      </c>
      <c r="BV85" s="129">
        <v>0</v>
      </c>
      <c r="BW85" s="129">
        <v>-8222976</v>
      </c>
      <c r="BX85" s="129">
        <v>0</v>
      </c>
      <c r="BY85" s="129">
        <v>-8222976</v>
      </c>
      <c r="BZ85" s="129">
        <v>-176967</v>
      </c>
      <c r="CA85" s="129">
        <v>0</v>
      </c>
      <c r="CB85" s="129">
        <v>-176967</v>
      </c>
      <c r="CC85" s="129">
        <v>-19022</v>
      </c>
      <c r="CD85" s="129">
        <v>0</v>
      </c>
      <c r="CE85" s="129">
        <v>-19022</v>
      </c>
      <c r="CF85" s="129">
        <v>0</v>
      </c>
      <c r="CG85" s="129">
        <v>0</v>
      </c>
      <c r="CH85" s="129">
        <v>0</v>
      </c>
      <c r="CI85" s="129">
        <v>0</v>
      </c>
      <c r="CJ85" s="129">
        <v>0</v>
      </c>
      <c r="CK85" s="129">
        <v>0</v>
      </c>
      <c r="CL85" s="129">
        <v>0</v>
      </c>
      <c r="CM85" s="129">
        <v>0</v>
      </c>
      <c r="CN85" s="129">
        <v>0</v>
      </c>
      <c r="CO85" s="129">
        <v>0</v>
      </c>
      <c r="CP85" s="129">
        <v>0</v>
      </c>
      <c r="CQ85" s="129">
        <v>0</v>
      </c>
      <c r="CR85" s="129">
        <v>0</v>
      </c>
      <c r="CS85" s="129">
        <v>0</v>
      </c>
      <c r="CT85" s="129">
        <v>-195989</v>
      </c>
      <c r="CU85" s="129">
        <v>0</v>
      </c>
      <c r="CV85" s="129">
        <v>0</v>
      </c>
      <c r="CW85" s="129">
        <v>0</v>
      </c>
      <c r="CX85" s="129">
        <v>-195989</v>
      </c>
      <c r="CY85" s="129">
        <v>0</v>
      </c>
      <c r="CZ85" s="129">
        <v>-195989</v>
      </c>
      <c r="DA85" s="129">
        <v>0</v>
      </c>
      <c r="DB85" s="129">
        <v>0</v>
      </c>
      <c r="DC85" s="129">
        <v>0</v>
      </c>
      <c r="DD85" s="129">
        <v>-90194</v>
      </c>
      <c r="DE85" s="129">
        <v>0</v>
      </c>
      <c r="DF85" s="129">
        <v>-90194</v>
      </c>
      <c r="DG85" s="129">
        <v>0</v>
      </c>
      <c r="DH85" s="129">
        <v>0</v>
      </c>
      <c r="DI85" s="129">
        <v>0</v>
      </c>
      <c r="DJ85" s="129">
        <v>-90194</v>
      </c>
      <c r="DK85" s="129">
        <v>0</v>
      </c>
      <c r="DL85" s="129">
        <v>0</v>
      </c>
      <c r="DM85" s="129">
        <v>0</v>
      </c>
      <c r="DN85" s="129">
        <v>-90194</v>
      </c>
      <c r="DO85" s="129">
        <v>0</v>
      </c>
      <c r="DP85" s="129">
        <v>-90194</v>
      </c>
      <c r="DQ85" s="129">
        <v>162476326</v>
      </c>
      <c r="DR85" s="129">
        <v>0</v>
      </c>
      <c r="DS85" s="129">
        <v>162476326</v>
      </c>
      <c r="DT85" s="662" t="s">
        <v>43</v>
      </c>
      <c r="DU85" s="324" t="s">
        <v>576</v>
      </c>
      <c r="DV85" s="669" t="s">
        <v>485</v>
      </c>
      <c r="DW85" s="529" t="s">
        <v>1292</v>
      </c>
    </row>
    <row r="86" spans="1:127" ht="12.75" x14ac:dyDescent="0.2">
      <c r="A86" s="664">
        <v>79</v>
      </c>
      <c r="B86" s="665" t="s">
        <v>46</v>
      </c>
      <c r="C86" s="666" t="s">
        <v>1201</v>
      </c>
      <c r="D86" s="667" t="s">
        <v>1211</v>
      </c>
      <c r="E86" s="668" t="s">
        <v>45</v>
      </c>
      <c r="F86" s="753" t="s">
        <v>1879</v>
      </c>
      <c r="G86" s="129">
        <v>57855481</v>
      </c>
      <c r="H86" s="129">
        <v>1018000</v>
      </c>
      <c r="I86" s="129">
        <v>58873481</v>
      </c>
      <c r="J86" s="793">
        <v>49.9</v>
      </c>
      <c r="K86" s="129">
        <v>28869885</v>
      </c>
      <c r="L86" s="129">
        <v>507982</v>
      </c>
      <c r="M86" s="129">
        <v>-250000</v>
      </c>
      <c r="N86" s="129">
        <v>0</v>
      </c>
      <c r="O86" s="129">
        <v>28619885</v>
      </c>
      <c r="P86" s="129">
        <v>507982</v>
      </c>
      <c r="Q86" s="129">
        <v>29127867</v>
      </c>
      <c r="R86" s="129">
        <v>-177529</v>
      </c>
      <c r="S86" s="129">
        <v>0</v>
      </c>
      <c r="T86" s="129">
        <v>-177529</v>
      </c>
      <c r="U86" s="129">
        <v>0</v>
      </c>
      <c r="V86" s="129">
        <v>0</v>
      </c>
      <c r="W86" s="129">
        <v>0</v>
      </c>
      <c r="X86" s="129">
        <v>-177529</v>
      </c>
      <c r="Y86" s="129">
        <v>0</v>
      </c>
      <c r="Z86" s="129">
        <v>0</v>
      </c>
      <c r="AA86" s="129">
        <v>0</v>
      </c>
      <c r="AB86" s="129">
        <v>-177529</v>
      </c>
      <c r="AC86" s="129">
        <v>0</v>
      </c>
      <c r="AD86" s="129">
        <v>-177529</v>
      </c>
      <c r="AE86" s="129">
        <v>177529</v>
      </c>
      <c r="AF86" s="129">
        <v>0</v>
      </c>
      <c r="AG86" s="129">
        <v>177529</v>
      </c>
      <c r="AH86" s="129">
        <v>-2931084</v>
      </c>
      <c r="AI86" s="129">
        <v>0</v>
      </c>
      <c r="AJ86" s="129">
        <v>-2931084</v>
      </c>
      <c r="AK86" s="129">
        <v>0</v>
      </c>
      <c r="AL86" s="129">
        <v>0</v>
      </c>
      <c r="AM86" s="129">
        <v>0</v>
      </c>
      <c r="AN86" s="129">
        <v>459608</v>
      </c>
      <c r="AO86" s="129">
        <v>13234</v>
      </c>
      <c r="AP86" s="129">
        <v>472842</v>
      </c>
      <c r="AQ86" s="129">
        <v>-2471476</v>
      </c>
      <c r="AR86" s="129">
        <v>13234</v>
      </c>
      <c r="AS86" s="129">
        <v>-2458242</v>
      </c>
      <c r="AT86" s="129">
        <v>-2306716</v>
      </c>
      <c r="AU86" s="129">
        <v>-102400</v>
      </c>
      <c r="AV86" s="129">
        <v>-2409116</v>
      </c>
      <c r="AW86" s="129">
        <v>-27668</v>
      </c>
      <c r="AX86" s="129">
        <v>0</v>
      </c>
      <c r="AY86" s="129">
        <v>-27668</v>
      </c>
      <c r="AZ86" s="129">
        <v>-29638</v>
      </c>
      <c r="BA86" s="129">
        <v>0</v>
      </c>
      <c r="BB86" s="129">
        <v>-29638</v>
      </c>
      <c r="BC86" s="129">
        <v>0</v>
      </c>
      <c r="BD86" s="129">
        <v>0</v>
      </c>
      <c r="BE86" s="129">
        <v>0</v>
      </c>
      <c r="BF86" s="129">
        <v>-4835498</v>
      </c>
      <c r="BG86" s="129">
        <v>-89166</v>
      </c>
      <c r="BH86" s="129">
        <v>0</v>
      </c>
      <c r="BI86" s="129">
        <v>0</v>
      </c>
      <c r="BJ86" s="129">
        <v>-4835498</v>
      </c>
      <c r="BK86" s="129">
        <v>-89166</v>
      </c>
      <c r="BL86" s="129">
        <v>-4924664</v>
      </c>
      <c r="BM86" s="129">
        <v>0</v>
      </c>
      <c r="BN86" s="129">
        <v>0</v>
      </c>
      <c r="BO86" s="129">
        <v>0</v>
      </c>
      <c r="BP86" s="129">
        <v>-477150</v>
      </c>
      <c r="BQ86" s="129">
        <v>0</v>
      </c>
      <c r="BR86" s="129">
        <v>-477150</v>
      </c>
      <c r="BS86" s="129">
        <v>-477150</v>
      </c>
      <c r="BT86" s="129">
        <v>0</v>
      </c>
      <c r="BU86" s="129">
        <v>0</v>
      </c>
      <c r="BV86" s="129">
        <v>0</v>
      </c>
      <c r="BW86" s="129">
        <v>-477150</v>
      </c>
      <c r="BX86" s="129">
        <v>0</v>
      </c>
      <c r="BY86" s="129">
        <v>-477150</v>
      </c>
      <c r="BZ86" s="129">
        <v>-36632</v>
      </c>
      <c r="CA86" s="129">
        <v>0</v>
      </c>
      <c r="CB86" s="129">
        <v>-36632</v>
      </c>
      <c r="CC86" s="129">
        <v>-2000</v>
      </c>
      <c r="CD86" s="129">
        <v>0</v>
      </c>
      <c r="CE86" s="129">
        <v>-2000</v>
      </c>
      <c r="CF86" s="129">
        <v>-5768</v>
      </c>
      <c r="CG86" s="129">
        <v>0</v>
      </c>
      <c r="CH86" s="129">
        <v>-5768</v>
      </c>
      <c r="CI86" s="129">
        <v>0</v>
      </c>
      <c r="CJ86" s="129">
        <v>0</v>
      </c>
      <c r="CK86" s="129">
        <v>0</v>
      </c>
      <c r="CL86" s="129">
        <v>0</v>
      </c>
      <c r="CM86" s="129">
        <v>0</v>
      </c>
      <c r="CN86" s="129">
        <v>0</v>
      </c>
      <c r="CO86" s="129">
        <v>0</v>
      </c>
      <c r="CP86" s="129">
        <v>-122483</v>
      </c>
      <c r="CQ86" s="129">
        <v>-122483</v>
      </c>
      <c r="CR86" s="129">
        <v>-122483</v>
      </c>
      <c r="CS86" s="129">
        <v>0</v>
      </c>
      <c r="CT86" s="129">
        <v>-44400</v>
      </c>
      <c r="CU86" s="129">
        <v>-122483</v>
      </c>
      <c r="CV86" s="129">
        <v>0</v>
      </c>
      <c r="CW86" s="129">
        <v>0</v>
      </c>
      <c r="CX86" s="129">
        <v>-44400</v>
      </c>
      <c r="CY86" s="129">
        <v>-122483</v>
      </c>
      <c r="CZ86" s="129">
        <v>-166883</v>
      </c>
      <c r="DA86" s="129">
        <v>-29638</v>
      </c>
      <c r="DB86" s="129">
        <v>0</v>
      </c>
      <c r="DC86" s="129">
        <v>-29638</v>
      </c>
      <c r="DD86" s="129">
        <v>-34143</v>
      </c>
      <c r="DE86" s="129">
        <v>0</v>
      </c>
      <c r="DF86" s="129">
        <v>-34143</v>
      </c>
      <c r="DG86" s="129">
        <v>0</v>
      </c>
      <c r="DH86" s="129">
        <v>0</v>
      </c>
      <c r="DI86" s="129">
        <v>0</v>
      </c>
      <c r="DJ86" s="129">
        <v>-63781</v>
      </c>
      <c r="DK86" s="129">
        <v>0</v>
      </c>
      <c r="DL86" s="129">
        <v>0</v>
      </c>
      <c r="DM86" s="129">
        <v>0</v>
      </c>
      <c r="DN86" s="129">
        <v>-63781</v>
      </c>
      <c r="DO86" s="129">
        <v>0</v>
      </c>
      <c r="DP86" s="129">
        <v>-63781</v>
      </c>
      <c r="DQ86" s="129">
        <v>23021527</v>
      </c>
      <c r="DR86" s="129">
        <v>296333</v>
      </c>
      <c r="DS86" s="129">
        <v>23317860</v>
      </c>
      <c r="DT86" s="662" t="s">
        <v>45</v>
      </c>
      <c r="DU86" s="324" t="s">
        <v>503</v>
      </c>
      <c r="DV86" s="663" t="s">
        <v>502</v>
      </c>
      <c r="DW86" s="529" t="s">
        <v>1293</v>
      </c>
    </row>
    <row r="87" spans="1:127" ht="12.75" x14ac:dyDescent="0.2">
      <c r="A87" s="664">
        <v>80</v>
      </c>
      <c r="B87" s="665" t="s">
        <v>48</v>
      </c>
      <c r="C87" s="666" t="s">
        <v>1201</v>
      </c>
      <c r="D87" s="667" t="s">
        <v>1224</v>
      </c>
      <c r="E87" s="668" t="s">
        <v>47</v>
      </c>
      <c r="F87" s="753" t="s">
        <v>1875</v>
      </c>
      <c r="G87" s="129">
        <v>100595415</v>
      </c>
      <c r="H87" s="129">
        <v>3196055</v>
      </c>
      <c r="I87" s="129">
        <v>103791470</v>
      </c>
      <c r="J87" s="793">
        <v>49.9</v>
      </c>
      <c r="K87" s="129">
        <v>50197112</v>
      </c>
      <c r="L87" s="129">
        <v>1594831</v>
      </c>
      <c r="M87" s="129">
        <v>121802</v>
      </c>
      <c r="N87" s="129">
        <v>286154</v>
      </c>
      <c r="O87" s="129">
        <v>50318914</v>
      </c>
      <c r="P87" s="129">
        <v>1880985</v>
      </c>
      <c r="Q87" s="129">
        <v>52199899</v>
      </c>
      <c r="R87" s="129">
        <v>-202983</v>
      </c>
      <c r="S87" s="129">
        <v>-1052</v>
      </c>
      <c r="T87" s="129">
        <v>-204035</v>
      </c>
      <c r="U87" s="129">
        <v>59552</v>
      </c>
      <c r="V87" s="129">
        <v>0</v>
      </c>
      <c r="W87" s="129">
        <v>59552</v>
      </c>
      <c r="X87" s="129">
        <v>-143431</v>
      </c>
      <c r="Y87" s="129">
        <v>-1052</v>
      </c>
      <c r="Z87" s="129">
        <v>0</v>
      </c>
      <c r="AA87" s="129">
        <v>0</v>
      </c>
      <c r="AB87" s="129">
        <v>-143431</v>
      </c>
      <c r="AC87" s="129">
        <v>-1052</v>
      </c>
      <c r="AD87" s="129">
        <v>-144483</v>
      </c>
      <c r="AE87" s="129">
        <v>143431</v>
      </c>
      <c r="AF87" s="129">
        <v>1052</v>
      </c>
      <c r="AG87" s="129">
        <v>144483</v>
      </c>
      <c r="AH87" s="129">
        <v>-8534878</v>
      </c>
      <c r="AI87" s="129">
        <v>-40190</v>
      </c>
      <c r="AJ87" s="129">
        <v>-8575068</v>
      </c>
      <c r="AK87" s="129">
        <v>-4747</v>
      </c>
      <c r="AL87" s="129">
        <v>0</v>
      </c>
      <c r="AM87" s="129">
        <v>-4747</v>
      </c>
      <c r="AN87" s="129">
        <v>714951</v>
      </c>
      <c r="AO87" s="129">
        <v>35232</v>
      </c>
      <c r="AP87" s="129">
        <v>750183</v>
      </c>
      <c r="AQ87" s="129">
        <v>-7819927</v>
      </c>
      <c r="AR87" s="129">
        <v>-4958</v>
      </c>
      <c r="AS87" s="129">
        <v>-7824885</v>
      </c>
      <c r="AT87" s="129">
        <v>-3143290</v>
      </c>
      <c r="AU87" s="129">
        <v>-231424</v>
      </c>
      <c r="AV87" s="129">
        <v>-3374714</v>
      </c>
      <c r="AW87" s="129">
        <v>-512641</v>
      </c>
      <c r="AX87" s="129">
        <v>0</v>
      </c>
      <c r="AY87" s="129">
        <v>-512641</v>
      </c>
      <c r="AZ87" s="129">
        <v>-50690</v>
      </c>
      <c r="BA87" s="129">
        <v>0</v>
      </c>
      <c r="BB87" s="129">
        <v>-50690</v>
      </c>
      <c r="BC87" s="129">
        <v>0</v>
      </c>
      <c r="BD87" s="129">
        <v>0</v>
      </c>
      <c r="BE87" s="129">
        <v>0</v>
      </c>
      <c r="BF87" s="129">
        <v>-11526548</v>
      </c>
      <c r="BG87" s="129">
        <v>-236382</v>
      </c>
      <c r="BH87" s="129">
        <v>-98892</v>
      </c>
      <c r="BI87" s="129">
        <v>-69241</v>
      </c>
      <c r="BJ87" s="129">
        <v>-11625440</v>
      </c>
      <c r="BK87" s="129">
        <v>-305623</v>
      </c>
      <c r="BL87" s="129">
        <v>-11931063</v>
      </c>
      <c r="BM87" s="129">
        <v>0</v>
      </c>
      <c r="BN87" s="129">
        <v>0</v>
      </c>
      <c r="BO87" s="129">
        <v>0</v>
      </c>
      <c r="BP87" s="129">
        <v>-791322</v>
      </c>
      <c r="BQ87" s="129">
        <v>-4352</v>
      </c>
      <c r="BR87" s="129">
        <v>-795674</v>
      </c>
      <c r="BS87" s="129">
        <v>-791322</v>
      </c>
      <c r="BT87" s="129">
        <v>-4352</v>
      </c>
      <c r="BU87" s="129">
        <v>-500000</v>
      </c>
      <c r="BV87" s="129">
        <v>0</v>
      </c>
      <c r="BW87" s="129">
        <v>-1291322</v>
      </c>
      <c r="BX87" s="129">
        <v>-4352</v>
      </c>
      <c r="BY87" s="129">
        <v>-1295674</v>
      </c>
      <c r="BZ87" s="129">
        <v>-149316</v>
      </c>
      <c r="CA87" s="129">
        <v>0</v>
      </c>
      <c r="CB87" s="129">
        <v>-149316</v>
      </c>
      <c r="CC87" s="129">
        <v>-424</v>
      </c>
      <c r="CD87" s="129">
        <v>0</v>
      </c>
      <c r="CE87" s="129">
        <v>-424</v>
      </c>
      <c r="CF87" s="129">
        <v>-95702</v>
      </c>
      <c r="CG87" s="129">
        <v>0</v>
      </c>
      <c r="CH87" s="129">
        <v>-95702</v>
      </c>
      <c r="CI87" s="129">
        <v>0</v>
      </c>
      <c r="CJ87" s="129">
        <v>0</v>
      </c>
      <c r="CK87" s="129">
        <v>0</v>
      </c>
      <c r="CL87" s="129">
        <v>0</v>
      </c>
      <c r="CM87" s="129">
        <v>0</v>
      </c>
      <c r="CN87" s="129">
        <v>0</v>
      </c>
      <c r="CO87" s="129">
        <v>0</v>
      </c>
      <c r="CP87" s="129">
        <v>-139268</v>
      </c>
      <c r="CQ87" s="129">
        <v>-139268</v>
      </c>
      <c r="CR87" s="129">
        <v>-139268</v>
      </c>
      <c r="CS87" s="129">
        <v>0</v>
      </c>
      <c r="CT87" s="129">
        <v>-245442</v>
      </c>
      <c r="CU87" s="129">
        <v>-139268</v>
      </c>
      <c r="CV87" s="129">
        <v>0</v>
      </c>
      <c r="CW87" s="129">
        <v>0</v>
      </c>
      <c r="CX87" s="129">
        <v>-245442</v>
      </c>
      <c r="CY87" s="129">
        <v>-139268</v>
      </c>
      <c r="CZ87" s="129">
        <v>-384710</v>
      </c>
      <c r="DA87" s="129">
        <v>-50690</v>
      </c>
      <c r="DB87" s="129">
        <v>0</v>
      </c>
      <c r="DC87" s="129">
        <v>-50690</v>
      </c>
      <c r="DD87" s="129">
        <v>-19471</v>
      </c>
      <c r="DE87" s="129">
        <v>0</v>
      </c>
      <c r="DF87" s="129">
        <v>-19471</v>
      </c>
      <c r="DG87" s="129">
        <v>-1500</v>
      </c>
      <c r="DH87" s="129">
        <v>0</v>
      </c>
      <c r="DI87" s="129">
        <v>-1500</v>
      </c>
      <c r="DJ87" s="129">
        <v>-71661</v>
      </c>
      <c r="DK87" s="129">
        <v>0</v>
      </c>
      <c r="DL87" s="129">
        <v>0</v>
      </c>
      <c r="DM87" s="129">
        <v>0</v>
      </c>
      <c r="DN87" s="129">
        <v>-71661</v>
      </c>
      <c r="DO87" s="129">
        <v>0</v>
      </c>
      <c r="DP87" s="129">
        <v>-71661</v>
      </c>
      <c r="DQ87" s="129">
        <v>36941618</v>
      </c>
      <c r="DR87" s="129">
        <v>1430690</v>
      </c>
      <c r="DS87" s="129">
        <v>38372308</v>
      </c>
      <c r="DT87" s="662" t="s">
        <v>47</v>
      </c>
      <c r="DU87" s="324" t="s">
        <v>521</v>
      </c>
      <c r="DV87" s="670" t="s">
        <v>519</v>
      </c>
      <c r="DW87" s="529" t="s">
        <v>1294</v>
      </c>
    </row>
    <row r="88" spans="1:127" ht="14.25" x14ac:dyDescent="0.2">
      <c r="A88" s="664">
        <v>81</v>
      </c>
      <c r="B88" s="665" t="s">
        <v>50</v>
      </c>
      <c r="C88" s="666" t="s">
        <v>1201</v>
      </c>
      <c r="D88" s="667" t="s">
        <v>1202</v>
      </c>
      <c r="E88" s="668" t="s">
        <v>1921</v>
      </c>
      <c r="F88" s="753" t="s">
        <v>1875</v>
      </c>
      <c r="G88" s="129">
        <v>86568532</v>
      </c>
      <c r="H88" s="129">
        <v>177150</v>
      </c>
      <c r="I88" s="129">
        <v>86745682</v>
      </c>
      <c r="J88" s="793">
        <v>49.9</v>
      </c>
      <c r="K88" s="129">
        <v>43197697</v>
      </c>
      <c r="L88" s="129">
        <v>88398</v>
      </c>
      <c r="M88" s="129">
        <v>0</v>
      </c>
      <c r="N88" s="129">
        <v>0</v>
      </c>
      <c r="O88" s="129">
        <v>43197697</v>
      </c>
      <c r="P88" s="129">
        <v>88398</v>
      </c>
      <c r="Q88" s="129">
        <v>43286095</v>
      </c>
      <c r="R88" s="129">
        <v>-154350</v>
      </c>
      <c r="S88" s="129">
        <v>0</v>
      </c>
      <c r="T88" s="129">
        <v>-154350</v>
      </c>
      <c r="U88" s="129">
        <v>18337</v>
      </c>
      <c r="V88" s="129">
        <v>0</v>
      </c>
      <c r="W88" s="129">
        <v>18337</v>
      </c>
      <c r="X88" s="129">
        <v>-136013</v>
      </c>
      <c r="Y88" s="129">
        <v>0</v>
      </c>
      <c r="Z88" s="129">
        <v>0</v>
      </c>
      <c r="AA88" s="129">
        <v>0</v>
      </c>
      <c r="AB88" s="129">
        <v>-136013</v>
      </c>
      <c r="AC88" s="129">
        <v>0</v>
      </c>
      <c r="AD88" s="129">
        <v>-136013</v>
      </c>
      <c r="AE88" s="129">
        <v>136013</v>
      </c>
      <c r="AF88" s="129">
        <v>0</v>
      </c>
      <c r="AG88" s="129">
        <v>136013</v>
      </c>
      <c r="AH88" s="129">
        <v>-4942521</v>
      </c>
      <c r="AI88" s="129">
        <v>-16229</v>
      </c>
      <c r="AJ88" s="129">
        <v>-4958750</v>
      </c>
      <c r="AK88" s="129">
        <v>-5166</v>
      </c>
      <c r="AL88" s="129">
        <v>0</v>
      </c>
      <c r="AM88" s="129">
        <v>-5166</v>
      </c>
      <c r="AN88" s="129">
        <v>650097</v>
      </c>
      <c r="AO88" s="129">
        <v>1096</v>
      </c>
      <c r="AP88" s="129">
        <v>651193</v>
      </c>
      <c r="AQ88" s="129">
        <v>-4292424</v>
      </c>
      <c r="AR88" s="129">
        <v>-15133</v>
      </c>
      <c r="AS88" s="129">
        <v>-4307557</v>
      </c>
      <c r="AT88" s="129">
        <v>-3385034</v>
      </c>
      <c r="AU88" s="129">
        <v>-29900</v>
      </c>
      <c r="AV88" s="129">
        <v>-3414934</v>
      </c>
      <c r="AW88" s="129">
        <v>-34396</v>
      </c>
      <c r="AX88" s="129">
        <v>0</v>
      </c>
      <c r="AY88" s="129">
        <v>-34396</v>
      </c>
      <c r="AZ88" s="129">
        <v>0</v>
      </c>
      <c r="BA88" s="129">
        <v>0</v>
      </c>
      <c r="BB88" s="129">
        <v>0</v>
      </c>
      <c r="BC88" s="129">
        <v>0</v>
      </c>
      <c r="BD88" s="129">
        <v>0</v>
      </c>
      <c r="BE88" s="129">
        <v>0</v>
      </c>
      <c r="BF88" s="129">
        <v>-7711854</v>
      </c>
      <c r="BG88" s="129">
        <v>-45033</v>
      </c>
      <c r="BH88" s="129">
        <v>0</v>
      </c>
      <c r="BI88" s="129">
        <v>0</v>
      </c>
      <c r="BJ88" s="129">
        <v>-7711854</v>
      </c>
      <c r="BK88" s="129">
        <v>-45033</v>
      </c>
      <c r="BL88" s="129">
        <v>-7756887</v>
      </c>
      <c r="BM88" s="129">
        <v>0</v>
      </c>
      <c r="BN88" s="129">
        <v>0</v>
      </c>
      <c r="BO88" s="129">
        <v>0</v>
      </c>
      <c r="BP88" s="129">
        <v>-996386</v>
      </c>
      <c r="BQ88" s="129">
        <v>-4563</v>
      </c>
      <c r="BR88" s="129">
        <v>-1000949</v>
      </c>
      <c r="BS88" s="129">
        <v>-996386</v>
      </c>
      <c r="BT88" s="129">
        <v>-4563</v>
      </c>
      <c r="BU88" s="129">
        <v>0</v>
      </c>
      <c r="BV88" s="129">
        <v>0</v>
      </c>
      <c r="BW88" s="129">
        <v>-996386</v>
      </c>
      <c r="BX88" s="129">
        <v>-4563</v>
      </c>
      <c r="BY88" s="129">
        <v>-1000949</v>
      </c>
      <c r="BZ88" s="129">
        <v>-185576</v>
      </c>
      <c r="CA88" s="129">
        <v>0</v>
      </c>
      <c r="CB88" s="129">
        <v>-185576</v>
      </c>
      <c r="CC88" s="129">
        <v>-4950</v>
      </c>
      <c r="CD88" s="129">
        <v>0</v>
      </c>
      <c r="CE88" s="129">
        <v>-4950</v>
      </c>
      <c r="CF88" s="129">
        <v>-4299</v>
      </c>
      <c r="CG88" s="129">
        <v>0</v>
      </c>
      <c r="CH88" s="129">
        <v>-4299</v>
      </c>
      <c r="CI88" s="129">
        <v>0</v>
      </c>
      <c r="CJ88" s="129">
        <v>0</v>
      </c>
      <c r="CK88" s="129">
        <v>0</v>
      </c>
      <c r="CL88" s="129">
        <v>0</v>
      </c>
      <c r="CM88" s="129">
        <v>0</v>
      </c>
      <c r="CN88" s="129">
        <v>0</v>
      </c>
      <c r="CO88" s="129">
        <v>0</v>
      </c>
      <c r="CP88" s="129">
        <v>-5399</v>
      </c>
      <c r="CQ88" s="129">
        <v>-5399</v>
      </c>
      <c r="CR88" s="129">
        <v>-5399</v>
      </c>
      <c r="CS88" s="129">
        <v>0</v>
      </c>
      <c r="CT88" s="129">
        <v>-194825</v>
      </c>
      <c r="CU88" s="129">
        <v>-5399</v>
      </c>
      <c r="CV88" s="129">
        <v>0</v>
      </c>
      <c r="CW88" s="129">
        <v>0</v>
      </c>
      <c r="CX88" s="129">
        <v>-194825</v>
      </c>
      <c r="CY88" s="129">
        <v>-5399</v>
      </c>
      <c r="CZ88" s="129">
        <v>-200224</v>
      </c>
      <c r="DA88" s="129">
        <v>-21922</v>
      </c>
      <c r="DB88" s="129">
        <v>0</v>
      </c>
      <c r="DC88" s="129">
        <v>-21922</v>
      </c>
      <c r="DD88" s="129">
        <v>-39298</v>
      </c>
      <c r="DE88" s="129">
        <v>0</v>
      </c>
      <c r="DF88" s="129">
        <v>-39298</v>
      </c>
      <c r="DG88" s="129">
        <v>-1200</v>
      </c>
      <c r="DH88" s="129">
        <v>0</v>
      </c>
      <c r="DI88" s="129">
        <v>-1200</v>
      </c>
      <c r="DJ88" s="129">
        <v>-62420</v>
      </c>
      <c r="DK88" s="129">
        <v>0</v>
      </c>
      <c r="DL88" s="129">
        <v>0</v>
      </c>
      <c r="DM88" s="129">
        <v>0</v>
      </c>
      <c r="DN88" s="129">
        <v>-62420</v>
      </c>
      <c r="DO88" s="129">
        <v>0</v>
      </c>
      <c r="DP88" s="129">
        <v>-62420</v>
      </c>
      <c r="DQ88" s="129">
        <v>34096199</v>
      </c>
      <c r="DR88" s="129">
        <v>33403</v>
      </c>
      <c r="DS88" s="129">
        <v>34129602</v>
      </c>
      <c r="DT88" s="662" t="s">
        <v>49</v>
      </c>
      <c r="DU88" s="324" t="s">
        <v>532</v>
      </c>
      <c r="DV88" s="663" t="s">
        <v>1920</v>
      </c>
      <c r="DW88" s="529" t="s">
        <v>1295</v>
      </c>
    </row>
    <row r="89" spans="1:127" ht="12.75" x14ac:dyDescent="0.2">
      <c r="A89" s="664">
        <v>82</v>
      </c>
      <c r="B89" s="665" t="s">
        <v>52</v>
      </c>
      <c r="C89" s="666" t="s">
        <v>1201</v>
      </c>
      <c r="D89" s="667" t="s">
        <v>1211</v>
      </c>
      <c r="E89" s="668" t="s">
        <v>51</v>
      </c>
      <c r="F89" s="753" t="s">
        <v>1879</v>
      </c>
      <c r="G89" s="129">
        <v>117624876</v>
      </c>
      <c r="H89" s="129">
        <v>0</v>
      </c>
      <c r="I89" s="129">
        <v>117624876</v>
      </c>
      <c r="J89" s="793">
        <v>49.9</v>
      </c>
      <c r="K89" s="129">
        <v>58694813</v>
      </c>
      <c r="L89" s="129">
        <v>0</v>
      </c>
      <c r="M89" s="129">
        <v>0</v>
      </c>
      <c r="N89" s="129">
        <v>0</v>
      </c>
      <c r="O89" s="129">
        <v>58694813</v>
      </c>
      <c r="P89" s="129">
        <v>0</v>
      </c>
      <c r="Q89" s="129">
        <v>58694813</v>
      </c>
      <c r="R89" s="129">
        <v>-206997</v>
      </c>
      <c r="S89" s="129">
        <v>0</v>
      </c>
      <c r="T89" s="129">
        <v>-206997</v>
      </c>
      <c r="U89" s="129">
        <v>118869</v>
      </c>
      <c r="V89" s="129">
        <v>0</v>
      </c>
      <c r="W89" s="129">
        <v>118869</v>
      </c>
      <c r="X89" s="129">
        <v>-88128</v>
      </c>
      <c r="Y89" s="129">
        <v>0</v>
      </c>
      <c r="Z89" s="129">
        <v>0</v>
      </c>
      <c r="AA89" s="129">
        <v>0</v>
      </c>
      <c r="AB89" s="129">
        <v>-88128</v>
      </c>
      <c r="AC89" s="129">
        <v>0</v>
      </c>
      <c r="AD89" s="129">
        <v>-88128</v>
      </c>
      <c r="AE89" s="129">
        <v>88128</v>
      </c>
      <c r="AF89" s="129">
        <v>0</v>
      </c>
      <c r="AG89" s="129">
        <v>88128</v>
      </c>
      <c r="AH89" s="129">
        <v>-6103046</v>
      </c>
      <c r="AI89" s="129">
        <v>0</v>
      </c>
      <c r="AJ89" s="129">
        <v>-6103046</v>
      </c>
      <c r="AK89" s="129">
        <v>0</v>
      </c>
      <c r="AL89" s="129">
        <v>0</v>
      </c>
      <c r="AM89" s="129">
        <v>0</v>
      </c>
      <c r="AN89" s="129">
        <v>934187</v>
      </c>
      <c r="AO89" s="129">
        <v>0</v>
      </c>
      <c r="AP89" s="129">
        <v>934187</v>
      </c>
      <c r="AQ89" s="129">
        <v>-5168859</v>
      </c>
      <c r="AR89" s="129">
        <v>0</v>
      </c>
      <c r="AS89" s="129">
        <v>-5168859</v>
      </c>
      <c r="AT89" s="129">
        <v>-4780632</v>
      </c>
      <c r="AU89" s="129">
        <v>0</v>
      </c>
      <c r="AV89" s="129">
        <v>-4780632</v>
      </c>
      <c r="AW89" s="129">
        <v>-87101</v>
      </c>
      <c r="AX89" s="129">
        <v>0</v>
      </c>
      <c r="AY89" s="129">
        <v>-87101</v>
      </c>
      <c r="AZ89" s="129">
        <v>-38150</v>
      </c>
      <c r="BA89" s="129">
        <v>0</v>
      </c>
      <c r="BB89" s="129">
        <v>-38150</v>
      </c>
      <c r="BC89" s="129">
        <v>0</v>
      </c>
      <c r="BD89" s="129">
        <v>0</v>
      </c>
      <c r="BE89" s="129">
        <v>0</v>
      </c>
      <c r="BF89" s="129">
        <v>-10074742</v>
      </c>
      <c r="BG89" s="129">
        <v>0</v>
      </c>
      <c r="BH89" s="129">
        <v>0</v>
      </c>
      <c r="BI89" s="129">
        <v>0</v>
      </c>
      <c r="BJ89" s="129">
        <v>-10074742</v>
      </c>
      <c r="BK89" s="129">
        <v>0</v>
      </c>
      <c r="BL89" s="129">
        <v>-10074742</v>
      </c>
      <c r="BM89" s="129">
        <v>0</v>
      </c>
      <c r="BN89" s="129">
        <v>0</v>
      </c>
      <c r="BO89" s="129">
        <v>0</v>
      </c>
      <c r="BP89" s="129">
        <v>-1092591</v>
      </c>
      <c r="BQ89" s="129">
        <v>0</v>
      </c>
      <c r="BR89" s="129">
        <v>-1092591</v>
      </c>
      <c r="BS89" s="129">
        <v>-1092591</v>
      </c>
      <c r="BT89" s="129">
        <v>0</v>
      </c>
      <c r="BU89" s="129">
        <v>-250000</v>
      </c>
      <c r="BV89" s="129">
        <v>0</v>
      </c>
      <c r="BW89" s="129">
        <v>-1342591</v>
      </c>
      <c r="BX89" s="129">
        <v>0</v>
      </c>
      <c r="BY89" s="129">
        <v>-1342591</v>
      </c>
      <c r="BZ89" s="129">
        <v>-189689</v>
      </c>
      <c r="CA89" s="129">
        <v>0</v>
      </c>
      <c r="CB89" s="129">
        <v>-189689</v>
      </c>
      <c r="CC89" s="129">
        <v>-42832</v>
      </c>
      <c r="CD89" s="129">
        <v>0</v>
      </c>
      <c r="CE89" s="129">
        <v>-42832</v>
      </c>
      <c r="CF89" s="129">
        <v>0</v>
      </c>
      <c r="CG89" s="129">
        <v>0</v>
      </c>
      <c r="CH89" s="129">
        <v>0</v>
      </c>
      <c r="CI89" s="129">
        <v>0</v>
      </c>
      <c r="CJ89" s="129">
        <v>0</v>
      </c>
      <c r="CK89" s="129">
        <v>0</v>
      </c>
      <c r="CL89" s="129">
        <v>0</v>
      </c>
      <c r="CM89" s="129">
        <v>0</v>
      </c>
      <c r="CN89" s="129">
        <v>0</v>
      </c>
      <c r="CO89" s="129">
        <v>0</v>
      </c>
      <c r="CP89" s="129">
        <v>0</v>
      </c>
      <c r="CQ89" s="129">
        <v>0</v>
      </c>
      <c r="CR89" s="129">
        <v>0</v>
      </c>
      <c r="CS89" s="129">
        <v>0</v>
      </c>
      <c r="CT89" s="129">
        <v>-232521</v>
      </c>
      <c r="CU89" s="129">
        <v>0</v>
      </c>
      <c r="CV89" s="129">
        <v>0</v>
      </c>
      <c r="CW89" s="129">
        <v>0</v>
      </c>
      <c r="CX89" s="129">
        <v>-232521</v>
      </c>
      <c r="CY89" s="129">
        <v>0</v>
      </c>
      <c r="CZ89" s="129">
        <v>-232521</v>
      </c>
      <c r="DA89" s="129">
        <v>0</v>
      </c>
      <c r="DB89" s="129">
        <v>0</v>
      </c>
      <c r="DC89" s="129">
        <v>0</v>
      </c>
      <c r="DD89" s="129">
        <v>-38150</v>
      </c>
      <c r="DE89" s="129">
        <v>0</v>
      </c>
      <c r="DF89" s="129">
        <v>-38150</v>
      </c>
      <c r="DG89" s="129">
        <v>-1500</v>
      </c>
      <c r="DH89" s="129">
        <v>0</v>
      </c>
      <c r="DI89" s="129">
        <v>-1500</v>
      </c>
      <c r="DJ89" s="129">
        <v>-39650</v>
      </c>
      <c r="DK89" s="129">
        <v>0</v>
      </c>
      <c r="DL89" s="129">
        <v>0</v>
      </c>
      <c r="DM89" s="129">
        <v>0</v>
      </c>
      <c r="DN89" s="129">
        <v>-39650</v>
      </c>
      <c r="DO89" s="129">
        <v>0</v>
      </c>
      <c r="DP89" s="129">
        <v>-39650</v>
      </c>
      <c r="DQ89" s="129">
        <v>46917181</v>
      </c>
      <c r="DR89" s="129">
        <v>0</v>
      </c>
      <c r="DS89" s="129">
        <v>46917181</v>
      </c>
      <c r="DT89" s="662" t="s">
        <v>51</v>
      </c>
      <c r="DU89" s="324" t="s">
        <v>536</v>
      </c>
      <c r="DV89" s="663" t="s">
        <v>512</v>
      </c>
      <c r="DW89" s="529" t="s">
        <v>1296</v>
      </c>
    </row>
    <row r="90" spans="1:127" ht="12.75" x14ac:dyDescent="0.2">
      <c r="A90" s="664">
        <v>83</v>
      </c>
      <c r="B90" s="665" t="s">
        <v>54</v>
      </c>
      <c r="C90" s="666" t="s">
        <v>1201</v>
      </c>
      <c r="D90" s="667" t="s">
        <v>1206</v>
      </c>
      <c r="E90" s="668" t="s">
        <v>53</v>
      </c>
      <c r="F90" s="753" t="s">
        <v>1875</v>
      </c>
      <c r="G90" s="129">
        <v>100287514</v>
      </c>
      <c r="H90" s="129">
        <v>0</v>
      </c>
      <c r="I90" s="129">
        <v>100287514</v>
      </c>
      <c r="J90" s="793">
        <v>49.9</v>
      </c>
      <c r="K90" s="129">
        <v>50043469</v>
      </c>
      <c r="L90" s="129">
        <v>0</v>
      </c>
      <c r="M90" s="129">
        <v>0</v>
      </c>
      <c r="N90" s="129">
        <v>0</v>
      </c>
      <c r="O90" s="129">
        <v>50043469</v>
      </c>
      <c r="P90" s="129">
        <v>0</v>
      </c>
      <c r="Q90" s="129">
        <v>50043469</v>
      </c>
      <c r="R90" s="129">
        <v>-295211</v>
      </c>
      <c r="S90" s="129">
        <v>0</v>
      </c>
      <c r="T90" s="129">
        <v>-295211</v>
      </c>
      <c r="U90" s="129">
        <v>24593</v>
      </c>
      <c r="V90" s="129">
        <v>0</v>
      </c>
      <c r="W90" s="129">
        <v>24593</v>
      </c>
      <c r="X90" s="129">
        <v>-270618</v>
      </c>
      <c r="Y90" s="129">
        <v>0</v>
      </c>
      <c r="Z90" s="129">
        <v>0</v>
      </c>
      <c r="AA90" s="129">
        <v>0</v>
      </c>
      <c r="AB90" s="129">
        <v>-270618</v>
      </c>
      <c r="AC90" s="129">
        <v>0</v>
      </c>
      <c r="AD90" s="129">
        <v>-270618</v>
      </c>
      <c r="AE90" s="129">
        <v>270618</v>
      </c>
      <c r="AF90" s="129">
        <v>0</v>
      </c>
      <c r="AG90" s="129">
        <v>270618</v>
      </c>
      <c r="AH90" s="129">
        <v>-7537626</v>
      </c>
      <c r="AI90" s="129">
        <v>0</v>
      </c>
      <c r="AJ90" s="129">
        <v>-7537626</v>
      </c>
      <c r="AK90" s="129">
        <v>0</v>
      </c>
      <c r="AL90" s="129">
        <v>0</v>
      </c>
      <c r="AM90" s="129">
        <v>0</v>
      </c>
      <c r="AN90" s="129">
        <v>698319</v>
      </c>
      <c r="AO90" s="129">
        <v>0</v>
      </c>
      <c r="AP90" s="129">
        <v>698319</v>
      </c>
      <c r="AQ90" s="129">
        <v>-6839307</v>
      </c>
      <c r="AR90" s="129">
        <v>0</v>
      </c>
      <c r="AS90" s="129">
        <v>-6839307</v>
      </c>
      <c r="AT90" s="129">
        <v>-3029270</v>
      </c>
      <c r="AU90" s="129">
        <v>0</v>
      </c>
      <c r="AV90" s="129">
        <v>-3029270</v>
      </c>
      <c r="AW90" s="129">
        <v>-59810</v>
      </c>
      <c r="AX90" s="129">
        <v>0</v>
      </c>
      <c r="AY90" s="129">
        <v>-59810</v>
      </c>
      <c r="AZ90" s="129">
        <v>-85726</v>
      </c>
      <c r="BA90" s="129">
        <v>0</v>
      </c>
      <c r="BB90" s="129">
        <v>-85726</v>
      </c>
      <c r="BC90" s="129">
        <v>0</v>
      </c>
      <c r="BD90" s="129">
        <v>0</v>
      </c>
      <c r="BE90" s="129">
        <v>0</v>
      </c>
      <c r="BF90" s="129">
        <v>-10014113</v>
      </c>
      <c r="BG90" s="129">
        <v>0</v>
      </c>
      <c r="BH90" s="129">
        <v>0</v>
      </c>
      <c r="BI90" s="129">
        <v>0</v>
      </c>
      <c r="BJ90" s="129">
        <v>-10014113</v>
      </c>
      <c r="BK90" s="129">
        <v>0</v>
      </c>
      <c r="BL90" s="129">
        <v>-10014113</v>
      </c>
      <c r="BM90" s="129">
        <v>0</v>
      </c>
      <c r="BN90" s="129">
        <v>0</v>
      </c>
      <c r="BO90" s="129">
        <v>0</v>
      </c>
      <c r="BP90" s="129">
        <v>-431158</v>
      </c>
      <c r="BQ90" s="129">
        <v>0</v>
      </c>
      <c r="BR90" s="129">
        <v>-431158</v>
      </c>
      <c r="BS90" s="129">
        <v>-431158</v>
      </c>
      <c r="BT90" s="129">
        <v>0</v>
      </c>
      <c r="BU90" s="129">
        <v>-43116</v>
      </c>
      <c r="BV90" s="129">
        <v>0</v>
      </c>
      <c r="BW90" s="129">
        <v>-474274</v>
      </c>
      <c r="BX90" s="129">
        <v>0</v>
      </c>
      <c r="BY90" s="129">
        <v>-474274</v>
      </c>
      <c r="BZ90" s="129">
        <v>-80591</v>
      </c>
      <c r="CA90" s="129">
        <v>0</v>
      </c>
      <c r="CB90" s="129">
        <v>-80591</v>
      </c>
      <c r="CC90" s="129">
        <v>0</v>
      </c>
      <c r="CD90" s="129">
        <v>0</v>
      </c>
      <c r="CE90" s="129">
        <v>0</v>
      </c>
      <c r="CF90" s="129">
        <v>-1444</v>
      </c>
      <c r="CG90" s="129">
        <v>0</v>
      </c>
      <c r="CH90" s="129">
        <v>-1444</v>
      </c>
      <c r="CI90" s="129">
        <v>0</v>
      </c>
      <c r="CJ90" s="129">
        <v>0</v>
      </c>
      <c r="CK90" s="129">
        <v>0</v>
      </c>
      <c r="CL90" s="129">
        <v>0</v>
      </c>
      <c r="CM90" s="129">
        <v>0</v>
      </c>
      <c r="CN90" s="129">
        <v>0</v>
      </c>
      <c r="CO90" s="129">
        <v>0</v>
      </c>
      <c r="CP90" s="129">
        <v>0</v>
      </c>
      <c r="CQ90" s="129">
        <v>0</v>
      </c>
      <c r="CR90" s="129">
        <v>0</v>
      </c>
      <c r="CS90" s="129">
        <v>0</v>
      </c>
      <c r="CT90" s="129">
        <v>-82035</v>
      </c>
      <c r="CU90" s="129">
        <v>0</v>
      </c>
      <c r="CV90" s="129">
        <v>0</v>
      </c>
      <c r="CW90" s="129">
        <v>0</v>
      </c>
      <c r="CX90" s="129">
        <v>-82035</v>
      </c>
      <c r="CY90" s="129">
        <v>0</v>
      </c>
      <c r="CZ90" s="129">
        <v>-82035</v>
      </c>
      <c r="DA90" s="129">
        <v>-85726</v>
      </c>
      <c r="DB90" s="129">
        <v>0</v>
      </c>
      <c r="DC90" s="129">
        <v>-85726</v>
      </c>
      <c r="DD90" s="129">
        <v>-74714</v>
      </c>
      <c r="DE90" s="129">
        <v>0</v>
      </c>
      <c r="DF90" s="129">
        <v>-74714</v>
      </c>
      <c r="DG90" s="129">
        <v>0</v>
      </c>
      <c r="DH90" s="129">
        <v>0</v>
      </c>
      <c r="DI90" s="129">
        <v>0</v>
      </c>
      <c r="DJ90" s="129">
        <v>-160440</v>
      </c>
      <c r="DK90" s="129">
        <v>0</v>
      </c>
      <c r="DL90" s="129">
        <v>0</v>
      </c>
      <c r="DM90" s="129">
        <v>0</v>
      </c>
      <c r="DN90" s="129">
        <v>-160440</v>
      </c>
      <c r="DO90" s="129">
        <v>0</v>
      </c>
      <c r="DP90" s="129">
        <v>-160440</v>
      </c>
      <c r="DQ90" s="129">
        <v>39041989</v>
      </c>
      <c r="DR90" s="129">
        <v>0</v>
      </c>
      <c r="DS90" s="129">
        <v>39041989</v>
      </c>
      <c r="DT90" s="662" t="s">
        <v>53</v>
      </c>
      <c r="DU90" s="324" t="s">
        <v>552</v>
      </c>
      <c r="DV90" s="663" t="s">
        <v>512</v>
      </c>
      <c r="DW90" s="529" t="s">
        <v>1297</v>
      </c>
    </row>
    <row r="91" spans="1:127" ht="12.75" x14ac:dyDescent="0.2">
      <c r="A91" s="664">
        <v>84</v>
      </c>
      <c r="B91" s="665" t="s">
        <v>56</v>
      </c>
      <c r="C91" s="666" t="s">
        <v>486</v>
      </c>
      <c r="D91" s="667" t="s">
        <v>1218</v>
      </c>
      <c r="E91" s="668" t="s">
        <v>537</v>
      </c>
      <c r="F91" s="753" t="s">
        <v>1875</v>
      </c>
      <c r="G91" s="129">
        <v>253961775</v>
      </c>
      <c r="H91" s="129">
        <v>221000</v>
      </c>
      <c r="I91" s="129">
        <v>254182775</v>
      </c>
      <c r="J91" s="793">
        <v>49.9</v>
      </c>
      <c r="K91" s="129">
        <v>126726926</v>
      </c>
      <c r="L91" s="129">
        <v>110279</v>
      </c>
      <c r="M91" s="129">
        <v>0</v>
      </c>
      <c r="N91" s="129">
        <v>454297</v>
      </c>
      <c r="O91" s="129">
        <v>126726926</v>
      </c>
      <c r="P91" s="129">
        <v>564576</v>
      </c>
      <c r="Q91" s="129">
        <v>127291502</v>
      </c>
      <c r="R91" s="129">
        <v>-508138</v>
      </c>
      <c r="S91" s="129">
        <v>0</v>
      </c>
      <c r="T91" s="129">
        <v>-508138</v>
      </c>
      <c r="U91" s="129">
        <v>8114633</v>
      </c>
      <c r="V91" s="129">
        <v>0</v>
      </c>
      <c r="W91" s="129">
        <v>8114633</v>
      </c>
      <c r="X91" s="129">
        <v>7606495</v>
      </c>
      <c r="Y91" s="129">
        <v>0</v>
      </c>
      <c r="Z91" s="129">
        <v>0</v>
      </c>
      <c r="AA91" s="129">
        <v>0</v>
      </c>
      <c r="AB91" s="129">
        <v>7606495</v>
      </c>
      <c r="AC91" s="129">
        <v>0</v>
      </c>
      <c r="AD91" s="129">
        <v>7606495</v>
      </c>
      <c r="AE91" s="129">
        <v>-7606495</v>
      </c>
      <c r="AF91" s="129">
        <v>0</v>
      </c>
      <c r="AG91" s="129">
        <v>-7606495</v>
      </c>
      <c r="AH91" s="129">
        <v>-14620627</v>
      </c>
      <c r="AI91" s="129">
        <v>0</v>
      </c>
      <c r="AJ91" s="129">
        <v>-14620627</v>
      </c>
      <c r="AK91" s="129">
        <v>-11746</v>
      </c>
      <c r="AL91" s="129">
        <v>0</v>
      </c>
      <c r="AM91" s="129">
        <v>-11746</v>
      </c>
      <c r="AN91" s="129">
        <v>2192683</v>
      </c>
      <c r="AO91" s="129">
        <v>2873</v>
      </c>
      <c r="AP91" s="129">
        <v>2195556</v>
      </c>
      <c r="AQ91" s="129">
        <v>-12427944</v>
      </c>
      <c r="AR91" s="129">
        <v>2873</v>
      </c>
      <c r="AS91" s="129">
        <v>-12425071</v>
      </c>
      <c r="AT91" s="129">
        <v>-4523198</v>
      </c>
      <c r="AU91" s="129">
        <v>0</v>
      </c>
      <c r="AV91" s="129">
        <v>-4523198</v>
      </c>
      <c r="AW91" s="129">
        <v>-113510</v>
      </c>
      <c r="AX91" s="129">
        <v>0</v>
      </c>
      <c r="AY91" s="129">
        <v>-113510</v>
      </c>
      <c r="AZ91" s="129">
        <v>-53864</v>
      </c>
      <c r="BA91" s="129">
        <v>0</v>
      </c>
      <c r="BB91" s="129">
        <v>-53864</v>
      </c>
      <c r="BC91" s="129">
        <v>0</v>
      </c>
      <c r="BD91" s="129">
        <v>0</v>
      </c>
      <c r="BE91" s="129">
        <v>0</v>
      </c>
      <c r="BF91" s="129">
        <v>-17118516</v>
      </c>
      <c r="BG91" s="129">
        <v>2873</v>
      </c>
      <c r="BH91" s="129">
        <v>0</v>
      </c>
      <c r="BI91" s="129">
        <v>11835</v>
      </c>
      <c r="BJ91" s="129">
        <v>-17118516</v>
      </c>
      <c r="BK91" s="129">
        <v>14708</v>
      </c>
      <c r="BL91" s="129">
        <v>-17103808</v>
      </c>
      <c r="BM91" s="129">
        <v>0</v>
      </c>
      <c r="BN91" s="129">
        <v>0</v>
      </c>
      <c r="BO91" s="129">
        <v>0</v>
      </c>
      <c r="BP91" s="129">
        <v>-1960517</v>
      </c>
      <c r="BQ91" s="129">
        <v>0</v>
      </c>
      <c r="BR91" s="129">
        <v>-1960517</v>
      </c>
      <c r="BS91" s="129">
        <v>-1960517</v>
      </c>
      <c r="BT91" s="129">
        <v>0</v>
      </c>
      <c r="BU91" s="129">
        <v>0</v>
      </c>
      <c r="BV91" s="129">
        <v>0</v>
      </c>
      <c r="BW91" s="129">
        <v>-1960517</v>
      </c>
      <c r="BX91" s="129">
        <v>0</v>
      </c>
      <c r="BY91" s="129">
        <v>-1960517</v>
      </c>
      <c r="BZ91" s="129">
        <v>-128708</v>
      </c>
      <c r="CA91" s="129">
        <v>0</v>
      </c>
      <c r="CB91" s="129">
        <v>-128708</v>
      </c>
      <c r="CC91" s="129">
        <v>-412693</v>
      </c>
      <c r="CD91" s="129">
        <v>0</v>
      </c>
      <c r="CE91" s="129">
        <v>-412693</v>
      </c>
      <c r="CF91" s="129">
        <v>-21710</v>
      </c>
      <c r="CG91" s="129">
        <v>0</v>
      </c>
      <c r="CH91" s="129">
        <v>-21710</v>
      </c>
      <c r="CI91" s="129">
        <v>0</v>
      </c>
      <c r="CJ91" s="129">
        <v>0</v>
      </c>
      <c r="CK91" s="129">
        <v>0</v>
      </c>
      <c r="CL91" s="129">
        <v>-32731</v>
      </c>
      <c r="CM91" s="129">
        <v>0</v>
      </c>
      <c r="CN91" s="129">
        <v>-32731</v>
      </c>
      <c r="CO91" s="129">
        <v>-83453</v>
      </c>
      <c r="CP91" s="129">
        <v>0</v>
      </c>
      <c r="CQ91" s="129">
        <v>-83453</v>
      </c>
      <c r="CR91" s="129">
        <v>0</v>
      </c>
      <c r="CS91" s="129">
        <v>-83453</v>
      </c>
      <c r="CT91" s="129">
        <v>-679295</v>
      </c>
      <c r="CU91" s="129">
        <v>0</v>
      </c>
      <c r="CV91" s="129">
        <v>0</v>
      </c>
      <c r="CW91" s="129">
        <v>0</v>
      </c>
      <c r="CX91" s="129">
        <v>-679295</v>
      </c>
      <c r="CY91" s="129">
        <v>0</v>
      </c>
      <c r="CZ91" s="129">
        <v>-679295</v>
      </c>
      <c r="DA91" s="129">
        <v>-53864</v>
      </c>
      <c r="DB91" s="129">
        <v>0</v>
      </c>
      <c r="DC91" s="129">
        <v>-53864</v>
      </c>
      <c r="DD91" s="129">
        <v>-174530</v>
      </c>
      <c r="DE91" s="129">
        <v>0</v>
      </c>
      <c r="DF91" s="129">
        <v>-174530</v>
      </c>
      <c r="DG91" s="129">
        <v>-1500</v>
      </c>
      <c r="DH91" s="129">
        <v>0</v>
      </c>
      <c r="DI91" s="129">
        <v>-1500</v>
      </c>
      <c r="DJ91" s="129">
        <v>-229894</v>
      </c>
      <c r="DK91" s="129">
        <v>0</v>
      </c>
      <c r="DL91" s="129">
        <v>0</v>
      </c>
      <c r="DM91" s="129">
        <v>0</v>
      </c>
      <c r="DN91" s="129">
        <v>-229894</v>
      </c>
      <c r="DO91" s="129">
        <v>0</v>
      </c>
      <c r="DP91" s="129">
        <v>-229894</v>
      </c>
      <c r="DQ91" s="129">
        <v>114345199</v>
      </c>
      <c r="DR91" s="129">
        <v>579284</v>
      </c>
      <c r="DS91" s="129">
        <v>114924483</v>
      </c>
      <c r="DT91" s="662" t="s">
        <v>537</v>
      </c>
      <c r="DU91" s="324" t="s">
        <v>486</v>
      </c>
      <c r="DV91" s="663" t="s">
        <v>538</v>
      </c>
      <c r="DW91" s="529" t="s">
        <v>1298</v>
      </c>
    </row>
    <row r="92" spans="1:127" ht="12.75" x14ac:dyDescent="0.2">
      <c r="A92" s="664">
        <v>85</v>
      </c>
      <c r="B92" s="665" t="s">
        <v>58</v>
      </c>
      <c r="C92" s="666" t="s">
        <v>1201</v>
      </c>
      <c r="D92" s="667" t="s">
        <v>1228</v>
      </c>
      <c r="E92" s="668" t="s">
        <v>57</v>
      </c>
      <c r="F92" s="753" t="s">
        <v>1879</v>
      </c>
      <c r="G92" s="129">
        <v>138855800</v>
      </c>
      <c r="H92" s="129">
        <v>0</v>
      </c>
      <c r="I92" s="129">
        <v>138855800</v>
      </c>
      <c r="J92" s="793">
        <v>49.9</v>
      </c>
      <c r="K92" s="129">
        <v>69289044</v>
      </c>
      <c r="L92" s="129">
        <v>0</v>
      </c>
      <c r="M92" s="129">
        <v>-1184843</v>
      </c>
      <c r="N92" s="129">
        <v>0</v>
      </c>
      <c r="O92" s="129">
        <v>68104201</v>
      </c>
      <c r="P92" s="129">
        <v>0</v>
      </c>
      <c r="Q92" s="129">
        <v>68104201</v>
      </c>
      <c r="R92" s="129">
        <v>-36599</v>
      </c>
      <c r="S92" s="129">
        <v>0</v>
      </c>
      <c r="T92" s="129">
        <v>-36599</v>
      </c>
      <c r="U92" s="129">
        <v>1222551</v>
      </c>
      <c r="V92" s="129">
        <v>0</v>
      </c>
      <c r="W92" s="129">
        <v>1222551</v>
      </c>
      <c r="X92" s="129">
        <v>1185952</v>
      </c>
      <c r="Y92" s="129">
        <v>0</v>
      </c>
      <c r="Z92" s="129">
        <v>0</v>
      </c>
      <c r="AA92" s="129">
        <v>0</v>
      </c>
      <c r="AB92" s="129">
        <v>1185952</v>
      </c>
      <c r="AC92" s="129">
        <v>0</v>
      </c>
      <c r="AD92" s="129">
        <v>1185952</v>
      </c>
      <c r="AE92" s="129">
        <v>-1185952</v>
      </c>
      <c r="AF92" s="129">
        <v>0</v>
      </c>
      <c r="AG92" s="129">
        <v>-1185952</v>
      </c>
      <c r="AH92" s="129">
        <v>-4845944</v>
      </c>
      <c r="AI92" s="129">
        <v>0</v>
      </c>
      <c r="AJ92" s="129">
        <v>-4845944</v>
      </c>
      <c r="AK92" s="129">
        <v>0</v>
      </c>
      <c r="AL92" s="129">
        <v>0</v>
      </c>
      <c r="AM92" s="129">
        <v>0</v>
      </c>
      <c r="AN92" s="129">
        <v>1338879</v>
      </c>
      <c r="AO92" s="129">
        <v>0</v>
      </c>
      <c r="AP92" s="129">
        <v>1338879</v>
      </c>
      <c r="AQ92" s="129">
        <v>-3507065</v>
      </c>
      <c r="AR92" s="129">
        <v>0</v>
      </c>
      <c r="AS92" s="129">
        <v>-3507065</v>
      </c>
      <c r="AT92" s="129">
        <v>-3357077</v>
      </c>
      <c r="AU92" s="129">
        <v>0</v>
      </c>
      <c r="AV92" s="129">
        <v>-3357077</v>
      </c>
      <c r="AW92" s="129">
        <v>-48254</v>
      </c>
      <c r="AX92" s="129">
        <v>0</v>
      </c>
      <c r="AY92" s="129">
        <v>-48254</v>
      </c>
      <c r="AZ92" s="129">
        <v>0</v>
      </c>
      <c r="BA92" s="129">
        <v>0</v>
      </c>
      <c r="BB92" s="129">
        <v>0</v>
      </c>
      <c r="BC92" s="129">
        <v>0</v>
      </c>
      <c r="BD92" s="129">
        <v>0</v>
      </c>
      <c r="BE92" s="129">
        <v>0</v>
      </c>
      <c r="BF92" s="129">
        <v>-6912396</v>
      </c>
      <c r="BG92" s="129">
        <v>0</v>
      </c>
      <c r="BH92" s="129">
        <v>0</v>
      </c>
      <c r="BI92" s="129">
        <v>0</v>
      </c>
      <c r="BJ92" s="129">
        <v>-6912396</v>
      </c>
      <c r="BK92" s="129">
        <v>0</v>
      </c>
      <c r="BL92" s="129">
        <v>-6912396</v>
      </c>
      <c r="BM92" s="129">
        <v>-225998</v>
      </c>
      <c r="BN92" s="129">
        <v>0</v>
      </c>
      <c r="BO92" s="129">
        <v>-225998</v>
      </c>
      <c r="BP92" s="129">
        <v>-1605926</v>
      </c>
      <c r="BQ92" s="129">
        <v>0</v>
      </c>
      <c r="BR92" s="129">
        <v>-1605926</v>
      </c>
      <c r="BS92" s="129">
        <v>-1831924</v>
      </c>
      <c r="BT92" s="129">
        <v>0</v>
      </c>
      <c r="BU92" s="129">
        <v>-600000</v>
      </c>
      <c r="BV92" s="129">
        <v>0</v>
      </c>
      <c r="BW92" s="129">
        <v>-2431924</v>
      </c>
      <c r="BX92" s="129">
        <v>0</v>
      </c>
      <c r="BY92" s="129">
        <v>-2431924</v>
      </c>
      <c r="BZ92" s="129">
        <v>-136394</v>
      </c>
      <c r="CA92" s="129">
        <v>0</v>
      </c>
      <c r="CB92" s="129">
        <v>-136394</v>
      </c>
      <c r="CC92" s="129">
        <v>-63000</v>
      </c>
      <c r="CD92" s="129">
        <v>0</v>
      </c>
      <c r="CE92" s="129">
        <v>-63000</v>
      </c>
      <c r="CF92" s="129">
        <v>-13000</v>
      </c>
      <c r="CG92" s="129">
        <v>0</v>
      </c>
      <c r="CH92" s="129">
        <v>-13000</v>
      </c>
      <c r="CI92" s="129">
        <v>0</v>
      </c>
      <c r="CJ92" s="129">
        <v>0</v>
      </c>
      <c r="CK92" s="129">
        <v>0</v>
      </c>
      <c r="CL92" s="129">
        <v>0</v>
      </c>
      <c r="CM92" s="129">
        <v>0</v>
      </c>
      <c r="CN92" s="129">
        <v>0</v>
      </c>
      <c r="CO92" s="129">
        <v>0</v>
      </c>
      <c r="CP92" s="129">
        <v>0</v>
      </c>
      <c r="CQ92" s="129">
        <v>0</v>
      </c>
      <c r="CR92" s="129">
        <v>0</v>
      </c>
      <c r="CS92" s="129">
        <v>0</v>
      </c>
      <c r="CT92" s="129">
        <v>-212394</v>
      </c>
      <c r="CU92" s="129">
        <v>0</v>
      </c>
      <c r="CV92" s="129">
        <v>0</v>
      </c>
      <c r="CW92" s="129">
        <v>0</v>
      </c>
      <c r="CX92" s="129">
        <v>-212394</v>
      </c>
      <c r="CY92" s="129">
        <v>0</v>
      </c>
      <c r="CZ92" s="129">
        <v>-212394</v>
      </c>
      <c r="DA92" s="129">
        <v>0</v>
      </c>
      <c r="DB92" s="129">
        <v>0</v>
      </c>
      <c r="DC92" s="129">
        <v>0</v>
      </c>
      <c r="DD92" s="129">
        <v>-27061</v>
      </c>
      <c r="DE92" s="129">
        <v>0</v>
      </c>
      <c r="DF92" s="129">
        <v>-27061</v>
      </c>
      <c r="DG92" s="129">
        <v>-1500</v>
      </c>
      <c r="DH92" s="129">
        <v>0</v>
      </c>
      <c r="DI92" s="129">
        <v>-1500</v>
      </c>
      <c r="DJ92" s="129">
        <v>-28561</v>
      </c>
      <c r="DK92" s="129">
        <v>0</v>
      </c>
      <c r="DL92" s="129">
        <v>0</v>
      </c>
      <c r="DM92" s="129">
        <v>0</v>
      </c>
      <c r="DN92" s="129">
        <v>-28561</v>
      </c>
      <c r="DO92" s="129">
        <v>0</v>
      </c>
      <c r="DP92" s="129">
        <v>-28561</v>
      </c>
      <c r="DQ92" s="129">
        <v>59704878</v>
      </c>
      <c r="DR92" s="129">
        <v>0</v>
      </c>
      <c r="DS92" s="129">
        <v>59704878</v>
      </c>
      <c r="DT92" s="662" t="s">
        <v>57</v>
      </c>
      <c r="DU92" s="324" t="s">
        <v>564</v>
      </c>
      <c r="DV92" s="663" t="s">
        <v>1917</v>
      </c>
      <c r="DW92" s="529" t="s">
        <v>1299</v>
      </c>
    </row>
    <row r="93" spans="1:127" ht="12.75" x14ac:dyDescent="0.2">
      <c r="A93" s="664">
        <v>86</v>
      </c>
      <c r="B93" s="665" t="s">
        <v>1021</v>
      </c>
      <c r="C93" s="666" t="s">
        <v>1201</v>
      </c>
      <c r="D93" s="667" t="s">
        <v>1211</v>
      </c>
      <c r="E93" s="668" t="s">
        <v>1020</v>
      </c>
      <c r="F93" s="753" t="s">
        <v>1879</v>
      </c>
      <c r="G93" s="129">
        <v>231480725</v>
      </c>
      <c r="H93" s="129">
        <v>1243850</v>
      </c>
      <c r="I93" s="129">
        <v>232724575</v>
      </c>
      <c r="J93" s="793">
        <v>49.9</v>
      </c>
      <c r="K93" s="129">
        <v>115508882</v>
      </c>
      <c r="L93" s="129">
        <v>620681</v>
      </c>
      <c r="M93" s="129">
        <v>-1500000</v>
      </c>
      <c r="N93" s="129">
        <v>0</v>
      </c>
      <c r="O93" s="129">
        <v>114008882</v>
      </c>
      <c r="P93" s="129">
        <v>620681</v>
      </c>
      <c r="Q93" s="129">
        <v>114629563</v>
      </c>
      <c r="R93" s="129">
        <v>-485564</v>
      </c>
      <c r="S93" s="129">
        <v>0</v>
      </c>
      <c r="T93" s="129">
        <v>-485564</v>
      </c>
      <c r="U93" s="129">
        <v>3640084</v>
      </c>
      <c r="V93" s="129">
        <v>0</v>
      </c>
      <c r="W93" s="129">
        <v>3640084</v>
      </c>
      <c r="X93" s="129">
        <v>3154520</v>
      </c>
      <c r="Y93" s="129">
        <v>0</v>
      </c>
      <c r="Z93" s="129">
        <v>0</v>
      </c>
      <c r="AA93" s="129">
        <v>0</v>
      </c>
      <c r="AB93" s="129">
        <v>3154520</v>
      </c>
      <c r="AC93" s="129">
        <v>0</v>
      </c>
      <c r="AD93" s="129">
        <v>3154520</v>
      </c>
      <c r="AE93" s="129">
        <v>-3154520</v>
      </c>
      <c r="AF93" s="129">
        <v>0</v>
      </c>
      <c r="AG93" s="129">
        <v>-3154520</v>
      </c>
      <c r="AH93" s="129">
        <v>-12171178</v>
      </c>
      <c r="AI93" s="129">
        <v>-55714</v>
      </c>
      <c r="AJ93" s="129">
        <v>-12226892</v>
      </c>
      <c r="AK93" s="129">
        <v>0</v>
      </c>
      <c r="AL93" s="129">
        <v>0</v>
      </c>
      <c r="AM93" s="129">
        <v>0</v>
      </c>
      <c r="AN93" s="129">
        <v>2132909</v>
      </c>
      <c r="AO93" s="129">
        <v>9389</v>
      </c>
      <c r="AP93" s="129">
        <v>2142298</v>
      </c>
      <c r="AQ93" s="129">
        <v>-10038269</v>
      </c>
      <c r="AR93" s="129">
        <v>-46325</v>
      </c>
      <c r="AS93" s="129">
        <v>-10084594</v>
      </c>
      <c r="AT93" s="129">
        <v>-6512724</v>
      </c>
      <c r="AU93" s="129">
        <v>0</v>
      </c>
      <c r="AV93" s="129">
        <v>-6512724</v>
      </c>
      <c r="AW93" s="129">
        <v>-76392</v>
      </c>
      <c r="AX93" s="129">
        <v>0</v>
      </c>
      <c r="AY93" s="129">
        <v>-76392</v>
      </c>
      <c r="AZ93" s="129">
        <v>-60008</v>
      </c>
      <c r="BA93" s="129">
        <v>0</v>
      </c>
      <c r="BB93" s="129">
        <v>-60008</v>
      </c>
      <c r="BC93" s="129">
        <v>0</v>
      </c>
      <c r="BD93" s="129">
        <v>0</v>
      </c>
      <c r="BE93" s="129">
        <v>0</v>
      </c>
      <c r="BF93" s="129">
        <v>-16687393</v>
      </c>
      <c r="BG93" s="129">
        <v>-46325</v>
      </c>
      <c r="BH93" s="129">
        <v>0</v>
      </c>
      <c r="BI93" s="129">
        <v>0</v>
      </c>
      <c r="BJ93" s="129">
        <v>-16687393</v>
      </c>
      <c r="BK93" s="129">
        <v>-46325</v>
      </c>
      <c r="BL93" s="129">
        <v>-16733718</v>
      </c>
      <c r="BM93" s="129">
        <v>-59000</v>
      </c>
      <c r="BN93" s="129">
        <v>0</v>
      </c>
      <c r="BO93" s="129">
        <v>-59000</v>
      </c>
      <c r="BP93" s="129">
        <v>-1771600</v>
      </c>
      <c r="BQ93" s="129">
        <v>0</v>
      </c>
      <c r="BR93" s="129">
        <v>-1771600</v>
      </c>
      <c r="BS93" s="129">
        <v>-1830600</v>
      </c>
      <c r="BT93" s="129">
        <v>0</v>
      </c>
      <c r="BU93" s="129">
        <v>0</v>
      </c>
      <c r="BV93" s="129">
        <v>0</v>
      </c>
      <c r="BW93" s="129">
        <v>-1830600</v>
      </c>
      <c r="BX93" s="129">
        <v>0</v>
      </c>
      <c r="BY93" s="129">
        <v>-1830600</v>
      </c>
      <c r="BZ93" s="129">
        <v>-138043</v>
      </c>
      <c r="CA93" s="129">
        <v>0</v>
      </c>
      <c r="CB93" s="129">
        <v>-138043</v>
      </c>
      <c r="CC93" s="129">
        <v>-337444</v>
      </c>
      <c r="CD93" s="129">
        <v>0</v>
      </c>
      <c r="CE93" s="129">
        <v>-337444</v>
      </c>
      <c r="CF93" s="129">
        <v>-1784</v>
      </c>
      <c r="CG93" s="129">
        <v>0</v>
      </c>
      <c r="CH93" s="129">
        <v>-1784</v>
      </c>
      <c r="CI93" s="129">
        <v>0</v>
      </c>
      <c r="CJ93" s="129">
        <v>0</v>
      </c>
      <c r="CK93" s="129">
        <v>0</v>
      </c>
      <c r="CL93" s="129">
        <v>-2275</v>
      </c>
      <c r="CM93" s="129">
        <v>0</v>
      </c>
      <c r="CN93" s="129">
        <v>-2275</v>
      </c>
      <c r="CO93" s="129">
        <v>-32277</v>
      </c>
      <c r="CP93" s="129">
        <v>-33458</v>
      </c>
      <c r="CQ93" s="129">
        <v>-65735</v>
      </c>
      <c r="CR93" s="129">
        <v>-4790</v>
      </c>
      <c r="CS93" s="129">
        <v>0</v>
      </c>
      <c r="CT93" s="129">
        <v>-511823</v>
      </c>
      <c r="CU93" s="129">
        <v>-33458</v>
      </c>
      <c r="CV93" s="129">
        <v>0</v>
      </c>
      <c r="CW93" s="129">
        <v>0</v>
      </c>
      <c r="CX93" s="129">
        <v>-511823</v>
      </c>
      <c r="CY93" s="129">
        <v>-33458</v>
      </c>
      <c r="CZ93" s="129">
        <v>-545281</v>
      </c>
      <c r="DA93" s="129">
        <v>-84113</v>
      </c>
      <c r="DB93" s="129">
        <v>0</v>
      </c>
      <c r="DC93" s="129">
        <v>-84113</v>
      </c>
      <c r="DD93" s="129">
        <v>-166445</v>
      </c>
      <c r="DE93" s="129">
        <v>0</v>
      </c>
      <c r="DF93" s="129">
        <v>-166445</v>
      </c>
      <c r="DG93" s="129">
        <v>0</v>
      </c>
      <c r="DH93" s="129">
        <v>0</v>
      </c>
      <c r="DI93" s="129">
        <v>0</v>
      </c>
      <c r="DJ93" s="129">
        <v>-250558</v>
      </c>
      <c r="DK93" s="129">
        <v>0</v>
      </c>
      <c r="DL93" s="129">
        <v>0</v>
      </c>
      <c r="DM93" s="129">
        <v>0</v>
      </c>
      <c r="DN93" s="129">
        <v>-250558</v>
      </c>
      <c r="DO93" s="129">
        <v>0</v>
      </c>
      <c r="DP93" s="129">
        <v>-250558</v>
      </c>
      <c r="DQ93" s="129">
        <v>97883028</v>
      </c>
      <c r="DR93" s="129">
        <v>540898</v>
      </c>
      <c r="DS93" s="129">
        <v>98423926</v>
      </c>
      <c r="DT93" s="662" t="s">
        <v>1020</v>
      </c>
      <c r="DU93" s="324" t="s">
        <v>565</v>
      </c>
      <c r="DV93" s="663" t="s">
        <v>512</v>
      </c>
      <c r="DW93" s="529" t="s">
        <v>1300</v>
      </c>
    </row>
    <row r="94" spans="1:127" ht="12.75" x14ac:dyDescent="0.2">
      <c r="A94" s="664">
        <v>87</v>
      </c>
      <c r="B94" s="665" t="s">
        <v>60</v>
      </c>
      <c r="C94" s="666" t="s">
        <v>1201</v>
      </c>
      <c r="D94" s="667" t="s">
        <v>1202</v>
      </c>
      <c r="E94" s="668" t="s">
        <v>59</v>
      </c>
      <c r="F94" s="753" t="s">
        <v>1890</v>
      </c>
      <c r="G94" s="129">
        <v>92871352</v>
      </c>
      <c r="H94" s="129">
        <v>0</v>
      </c>
      <c r="I94" s="129">
        <v>92871352</v>
      </c>
      <c r="J94" s="793">
        <v>49.9</v>
      </c>
      <c r="K94" s="129">
        <v>46342805</v>
      </c>
      <c r="L94" s="129">
        <v>0</v>
      </c>
      <c r="M94" s="129">
        <v>168137</v>
      </c>
      <c r="N94" s="129">
        <v>0</v>
      </c>
      <c r="O94" s="129">
        <v>46510942</v>
      </c>
      <c r="P94" s="129">
        <v>0</v>
      </c>
      <c r="Q94" s="129">
        <v>46510942</v>
      </c>
      <c r="R94" s="129">
        <v>-130673</v>
      </c>
      <c r="S94" s="129">
        <v>0</v>
      </c>
      <c r="T94" s="129">
        <v>-130673</v>
      </c>
      <c r="U94" s="129">
        <v>21479</v>
      </c>
      <c r="V94" s="129">
        <v>0</v>
      </c>
      <c r="W94" s="129">
        <v>21479</v>
      </c>
      <c r="X94" s="129">
        <v>-109194</v>
      </c>
      <c r="Y94" s="129">
        <v>0</v>
      </c>
      <c r="Z94" s="129">
        <v>0</v>
      </c>
      <c r="AA94" s="129">
        <v>0</v>
      </c>
      <c r="AB94" s="129">
        <v>-109194</v>
      </c>
      <c r="AC94" s="129">
        <v>0</v>
      </c>
      <c r="AD94" s="129">
        <v>-109194</v>
      </c>
      <c r="AE94" s="129">
        <v>109194</v>
      </c>
      <c r="AF94" s="129">
        <v>0</v>
      </c>
      <c r="AG94" s="129">
        <v>109194</v>
      </c>
      <c r="AH94" s="129">
        <v>-3714808</v>
      </c>
      <c r="AI94" s="129">
        <v>0</v>
      </c>
      <c r="AJ94" s="129">
        <v>-3714808</v>
      </c>
      <c r="AK94" s="129">
        <v>0</v>
      </c>
      <c r="AL94" s="129">
        <v>0</v>
      </c>
      <c r="AM94" s="129">
        <v>0</v>
      </c>
      <c r="AN94" s="129">
        <v>877964</v>
      </c>
      <c r="AO94" s="129">
        <v>0</v>
      </c>
      <c r="AP94" s="129">
        <v>877964</v>
      </c>
      <c r="AQ94" s="129">
        <v>-2836844</v>
      </c>
      <c r="AR94" s="129">
        <v>0</v>
      </c>
      <c r="AS94" s="129">
        <v>-2836844</v>
      </c>
      <c r="AT94" s="129">
        <v>-4100806</v>
      </c>
      <c r="AU94" s="129">
        <v>0</v>
      </c>
      <c r="AV94" s="129">
        <v>-4100806</v>
      </c>
      <c r="AW94" s="129">
        <v>-170865</v>
      </c>
      <c r="AX94" s="129">
        <v>0</v>
      </c>
      <c r="AY94" s="129">
        <v>-170865</v>
      </c>
      <c r="AZ94" s="129">
        <v>0</v>
      </c>
      <c r="BA94" s="129">
        <v>0</v>
      </c>
      <c r="BB94" s="129">
        <v>0</v>
      </c>
      <c r="BC94" s="129">
        <v>0</v>
      </c>
      <c r="BD94" s="129">
        <v>0</v>
      </c>
      <c r="BE94" s="129">
        <v>0</v>
      </c>
      <c r="BF94" s="129">
        <v>-7108515</v>
      </c>
      <c r="BG94" s="129">
        <v>0</v>
      </c>
      <c r="BH94" s="129">
        <v>0</v>
      </c>
      <c r="BI94" s="129">
        <v>0</v>
      </c>
      <c r="BJ94" s="129">
        <v>-7108515</v>
      </c>
      <c r="BK94" s="129">
        <v>0</v>
      </c>
      <c r="BL94" s="129">
        <v>-7108515</v>
      </c>
      <c r="BM94" s="129">
        <v>0</v>
      </c>
      <c r="BN94" s="129">
        <v>0</v>
      </c>
      <c r="BO94" s="129">
        <v>0</v>
      </c>
      <c r="BP94" s="129">
        <v>-673661</v>
      </c>
      <c r="BQ94" s="129">
        <v>0</v>
      </c>
      <c r="BR94" s="129">
        <v>-673661</v>
      </c>
      <c r="BS94" s="129">
        <v>-673661</v>
      </c>
      <c r="BT94" s="129">
        <v>0</v>
      </c>
      <c r="BU94" s="129">
        <v>0</v>
      </c>
      <c r="BV94" s="129">
        <v>0</v>
      </c>
      <c r="BW94" s="129">
        <v>-673661</v>
      </c>
      <c r="BX94" s="129">
        <v>0</v>
      </c>
      <c r="BY94" s="129">
        <v>-673661</v>
      </c>
      <c r="BZ94" s="129">
        <v>-104241</v>
      </c>
      <c r="CA94" s="129">
        <v>0</v>
      </c>
      <c r="CB94" s="129">
        <v>-104241</v>
      </c>
      <c r="CC94" s="129">
        <v>-67195</v>
      </c>
      <c r="CD94" s="129">
        <v>0</v>
      </c>
      <c r="CE94" s="129">
        <v>-67195</v>
      </c>
      <c r="CF94" s="129">
        <v>0</v>
      </c>
      <c r="CG94" s="129">
        <v>0</v>
      </c>
      <c r="CH94" s="129">
        <v>0</v>
      </c>
      <c r="CI94" s="129">
        <v>0</v>
      </c>
      <c r="CJ94" s="129">
        <v>0</v>
      </c>
      <c r="CK94" s="129">
        <v>0</v>
      </c>
      <c r="CL94" s="129">
        <v>0</v>
      </c>
      <c r="CM94" s="129">
        <v>0</v>
      </c>
      <c r="CN94" s="129">
        <v>0</v>
      </c>
      <c r="CO94" s="129">
        <v>0</v>
      </c>
      <c r="CP94" s="129">
        <v>0</v>
      </c>
      <c r="CQ94" s="129">
        <v>0</v>
      </c>
      <c r="CR94" s="129">
        <v>0</v>
      </c>
      <c r="CS94" s="129">
        <v>0</v>
      </c>
      <c r="CT94" s="129">
        <v>-171436</v>
      </c>
      <c r="CU94" s="129">
        <v>0</v>
      </c>
      <c r="CV94" s="129">
        <v>0</v>
      </c>
      <c r="CW94" s="129">
        <v>0</v>
      </c>
      <c r="CX94" s="129">
        <v>-171436</v>
      </c>
      <c r="CY94" s="129">
        <v>0</v>
      </c>
      <c r="CZ94" s="129">
        <v>-171436</v>
      </c>
      <c r="DA94" s="129">
        <v>0</v>
      </c>
      <c r="DB94" s="129">
        <v>0</v>
      </c>
      <c r="DC94" s="129">
        <v>0</v>
      </c>
      <c r="DD94" s="129">
        <v>-42230</v>
      </c>
      <c r="DE94" s="129">
        <v>0</v>
      </c>
      <c r="DF94" s="129">
        <v>-42230</v>
      </c>
      <c r="DG94" s="129">
        <v>0</v>
      </c>
      <c r="DH94" s="129">
        <v>0</v>
      </c>
      <c r="DI94" s="129">
        <v>0</v>
      </c>
      <c r="DJ94" s="129">
        <v>-42230</v>
      </c>
      <c r="DK94" s="129">
        <v>0</v>
      </c>
      <c r="DL94" s="129">
        <v>0</v>
      </c>
      <c r="DM94" s="129">
        <v>0</v>
      </c>
      <c r="DN94" s="129">
        <v>-42230</v>
      </c>
      <c r="DO94" s="129">
        <v>0</v>
      </c>
      <c r="DP94" s="129">
        <v>-42230</v>
      </c>
      <c r="DQ94" s="129">
        <v>38405906</v>
      </c>
      <c r="DR94" s="129">
        <v>0</v>
      </c>
      <c r="DS94" s="129">
        <v>38405906</v>
      </c>
      <c r="DT94" s="662" t="s">
        <v>59</v>
      </c>
      <c r="DU94" s="324" t="s">
        <v>525</v>
      </c>
      <c r="DV94" s="663" t="s">
        <v>524</v>
      </c>
      <c r="DW94" s="529" t="s">
        <v>1301</v>
      </c>
    </row>
    <row r="95" spans="1:127" ht="12.75" x14ac:dyDescent="0.2">
      <c r="A95" s="664">
        <v>88</v>
      </c>
      <c r="B95" s="665" t="s">
        <v>62</v>
      </c>
      <c r="C95" s="666" t="s">
        <v>1201</v>
      </c>
      <c r="D95" s="667" t="s">
        <v>1202</v>
      </c>
      <c r="E95" s="668" t="s">
        <v>61</v>
      </c>
      <c r="F95" s="753" t="s">
        <v>1875</v>
      </c>
      <c r="G95" s="129">
        <v>136854159</v>
      </c>
      <c r="H95" s="129">
        <v>0</v>
      </c>
      <c r="I95" s="129">
        <v>136854159</v>
      </c>
      <c r="J95" s="793">
        <v>49.9</v>
      </c>
      <c r="K95" s="129">
        <v>68290225</v>
      </c>
      <c r="L95" s="129">
        <v>0</v>
      </c>
      <c r="M95" s="129">
        <v>0</v>
      </c>
      <c r="N95" s="129">
        <v>0</v>
      </c>
      <c r="O95" s="129">
        <v>68290225</v>
      </c>
      <c r="P95" s="129">
        <v>0</v>
      </c>
      <c r="Q95" s="129">
        <v>68290225</v>
      </c>
      <c r="R95" s="129">
        <v>-85441</v>
      </c>
      <c r="S95" s="129">
        <v>0</v>
      </c>
      <c r="T95" s="129">
        <v>-85441</v>
      </c>
      <c r="U95" s="129">
        <v>230796</v>
      </c>
      <c r="V95" s="129">
        <v>0</v>
      </c>
      <c r="W95" s="129">
        <v>230796</v>
      </c>
      <c r="X95" s="129">
        <v>145355</v>
      </c>
      <c r="Y95" s="129">
        <v>0</v>
      </c>
      <c r="Z95" s="129">
        <v>0</v>
      </c>
      <c r="AA95" s="129">
        <v>0</v>
      </c>
      <c r="AB95" s="129">
        <v>145355</v>
      </c>
      <c r="AC95" s="129">
        <v>0</v>
      </c>
      <c r="AD95" s="129">
        <v>145355</v>
      </c>
      <c r="AE95" s="129">
        <v>-145355</v>
      </c>
      <c r="AF95" s="129">
        <v>0</v>
      </c>
      <c r="AG95" s="129">
        <v>-145355</v>
      </c>
      <c r="AH95" s="129">
        <v>-3216278</v>
      </c>
      <c r="AI95" s="129">
        <v>0</v>
      </c>
      <c r="AJ95" s="129">
        <v>-3216278</v>
      </c>
      <c r="AK95" s="129">
        <v>-11203</v>
      </c>
      <c r="AL95" s="129">
        <v>0</v>
      </c>
      <c r="AM95" s="129">
        <v>-11203</v>
      </c>
      <c r="AN95" s="129">
        <v>1361363</v>
      </c>
      <c r="AO95" s="129">
        <v>0</v>
      </c>
      <c r="AP95" s="129">
        <v>1361363</v>
      </c>
      <c r="AQ95" s="129">
        <v>-1854916</v>
      </c>
      <c r="AR95" s="129">
        <v>0</v>
      </c>
      <c r="AS95" s="129">
        <v>-1854916</v>
      </c>
      <c r="AT95" s="129">
        <v>-2454987</v>
      </c>
      <c r="AU95" s="129">
        <v>0</v>
      </c>
      <c r="AV95" s="129">
        <v>-2454987</v>
      </c>
      <c r="AW95" s="129">
        <v>0</v>
      </c>
      <c r="AX95" s="129">
        <v>0</v>
      </c>
      <c r="AY95" s="129">
        <v>0</v>
      </c>
      <c r="AZ95" s="129">
        <v>0</v>
      </c>
      <c r="BA95" s="129">
        <v>0</v>
      </c>
      <c r="BB95" s="129">
        <v>0</v>
      </c>
      <c r="BC95" s="129">
        <v>0</v>
      </c>
      <c r="BD95" s="129">
        <v>0</v>
      </c>
      <c r="BE95" s="129">
        <v>0</v>
      </c>
      <c r="BF95" s="129">
        <v>-4309902</v>
      </c>
      <c r="BG95" s="129">
        <v>0</v>
      </c>
      <c r="BH95" s="129">
        <v>0</v>
      </c>
      <c r="BI95" s="129">
        <v>0</v>
      </c>
      <c r="BJ95" s="129">
        <v>-4309902</v>
      </c>
      <c r="BK95" s="129">
        <v>0</v>
      </c>
      <c r="BL95" s="129">
        <v>-4309902</v>
      </c>
      <c r="BM95" s="129">
        <v>0</v>
      </c>
      <c r="BN95" s="129">
        <v>0</v>
      </c>
      <c r="BO95" s="129">
        <v>0</v>
      </c>
      <c r="BP95" s="129">
        <v>-470530</v>
      </c>
      <c r="BQ95" s="129">
        <v>0</v>
      </c>
      <c r="BR95" s="129">
        <v>-470530</v>
      </c>
      <c r="BS95" s="129">
        <v>-470530</v>
      </c>
      <c r="BT95" s="129">
        <v>0</v>
      </c>
      <c r="BU95" s="129">
        <v>0</v>
      </c>
      <c r="BV95" s="129">
        <v>0</v>
      </c>
      <c r="BW95" s="129">
        <v>-470530</v>
      </c>
      <c r="BX95" s="129">
        <v>0</v>
      </c>
      <c r="BY95" s="129">
        <v>-470530</v>
      </c>
      <c r="BZ95" s="129">
        <v>-82330</v>
      </c>
      <c r="CA95" s="129">
        <v>0</v>
      </c>
      <c r="CB95" s="129">
        <v>-82330</v>
      </c>
      <c r="CC95" s="129">
        <v>-445056</v>
      </c>
      <c r="CD95" s="129">
        <v>0</v>
      </c>
      <c r="CE95" s="129">
        <v>-445056</v>
      </c>
      <c r="CF95" s="129">
        <v>0</v>
      </c>
      <c r="CG95" s="129">
        <v>0</v>
      </c>
      <c r="CH95" s="129">
        <v>0</v>
      </c>
      <c r="CI95" s="129">
        <v>0</v>
      </c>
      <c r="CJ95" s="129">
        <v>0</v>
      </c>
      <c r="CK95" s="129">
        <v>0</v>
      </c>
      <c r="CL95" s="129">
        <v>0</v>
      </c>
      <c r="CM95" s="129">
        <v>0</v>
      </c>
      <c r="CN95" s="129">
        <v>0</v>
      </c>
      <c r="CO95" s="129">
        <v>0</v>
      </c>
      <c r="CP95" s="129">
        <v>0</v>
      </c>
      <c r="CQ95" s="129">
        <v>0</v>
      </c>
      <c r="CR95" s="129">
        <v>0</v>
      </c>
      <c r="CS95" s="129">
        <v>0</v>
      </c>
      <c r="CT95" s="129">
        <v>-527386</v>
      </c>
      <c r="CU95" s="129">
        <v>0</v>
      </c>
      <c r="CV95" s="129">
        <v>0</v>
      </c>
      <c r="CW95" s="129">
        <v>0</v>
      </c>
      <c r="CX95" s="129">
        <v>-527386</v>
      </c>
      <c r="CY95" s="129">
        <v>0</v>
      </c>
      <c r="CZ95" s="129">
        <v>-527386</v>
      </c>
      <c r="DA95" s="129">
        <v>0</v>
      </c>
      <c r="DB95" s="129">
        <v>0</v>
      </c>
      <c r="DC95" s="129">
        <v>0</v>
      </c>
      <c r="DD95" s="129">
        <v>-3058</v>
      </c>
      <c r="DE95" s="129">
        <v>0</v>
      </c>
      <c r="DF95" s="129">
        <v>-3058</v>
      </c>
      <c r="DG95" s="129">
        <v>0</v>
      </c>
      <c r="DH95" s="129">
        <v>0</v>
      </c>
      <c r="DI95" s="129">
        <v>0</v>
      </c>
      <c r="DJ95" s="129">
        <v>-3058</v>
      </c>
      <c r="DK95" s="129">
        <v>0</v>
      </c>
      <c r="DL95" s="129">
        <v>0</v>
      </c>
      <c r="DM95" s="129">
        <v>0</v>
      </c>
      <c r="DN95" s="129">
        <v>-3058</v>
      </c>
      <c r="DO95" s="129">
        <v>0</v>
      </c>
      <c r="DP95" s="129">
        <v>-3058</v>
      </c>
      <c r="DQ95" s="129">
        <v>63124704</v>
      </c>
      <c r="DR95" s="129">
        <v>0</v>
      </c>
      <c r="DS95" s="129">
        <v>63124704</v>
      </c>
      <c r="DT95" s="662" t="s">
        <v>61</v>
      </c>
      <c r="DU95" s="324" t="s">
        <v>532</v>
      </c>
      <c r="DV95" s="663" t="s">
        <v>1914</v>
      </c>
      <c r="DW95" s="529" t="s">
        <v>1302</v>
      </c>
    </row>
    <row r="96" spans="1:127" ht="14.25" x14ac:dyDescent="0.2">
      <c r="A96" s="664">
        <v>89</v>
      </c>
      <c r="B96" s="665" t="s">
        <v>64</v>
      </c>
      <c r="C96" s="666" t="s">
        <v>1201</v>
      </c>
      <c r="D96" s="667" t="s">
        <v>1204</v>
      </c>
      <c r="E96" s="668" t="s">
        <v>1868</v>
      </c>
      <c r="F96" s="753" t="s">
        <v>1878</v>
      </c>
      <c r="G96" s="129">
        <v>58972488</v>
      </c>
      <c r="H96" s="129">
        <v>0</v>
      </c>
      <c r="I96" s="129">
        <v>58972488</v>
      </c>
      <c r="J96" s="793">
        <v>49.9</v>
      </c>
      <c r="K96" s="129">
        <v>29427272</v>
      </c>
      <c r="L96" s="129">
        <v>0</v>
      </c>
      <c r="M96" s="129">
        <v>0</v>
      </c>
      <c r="N96" s="129">
        <v>0</v>
      </c>
      <c r="O96" s="129">
        <v>29427272</v>
      </c>
      <c r="P96" s="129">
        <v>0</v>
      </c>
      <c r="Q96" s="129">
        <v>29427272</v>
      </c>
      <c r="R96" s="129">
        <v>-79275</v>
      </c>
      <c r="S96" s="129">
        <v>0</v>
      </c>
      <c r="T96" s="129">
        <v>-79275</v>
      </c>
      <c r="U96" s="129">
        <v>4758</v>
      </c>
      <c r="V96" s="129">
        <v>0</v>
      </c>
      <c r="W96" s="129">
        <v>4758</v>
      </c>
      <c r="X96" s="129">
        <v>-74517</v>
      </c>
      <c r="Y96" s="129">
        <v>0</v>
      </c>
      <c r="Z96" s="129">
        <v>0</v>
      </c>
      <c r="AA96" s="129">
        <v>0</v>
      </c>
      <c r="AB96" s="129">
        <v>-74517</v>
      </c>
      <c r="AC96" s="129">
        <v>0</v>
      </c>
      <c r="AD96" s="129">
        <v>-74517</v>
      </c>
      <c r="AE96" s="129">
        <v>74517</v>
      </c>
      <c r="AF96" s="129">
        <v>0</v>
      </c>
      <c r="AG96" s="129">
        <v>74517</v>
      </c>
      <c r="AH96" s="129">
        <v>-4333597</v>
      </c>
      <c r="AI96" s="129">
        <v>0</v>
      </c>
      <c r="AJ96" s="129">
        <v>-4333597</v>
      </c>
      <c r="AK96" s="129">
        <v>0</v>
      </c>
      <c r="AL96" s="129">
        <v>0</v>
      </c>
      <c r="AM96" s="129">
        <v>0</v>
      </c>
      <c r="AN96" s="129">
        <v>479738</v>
      </c>
      <c r="AO96" s="129">
        <v>0</v>
      </c>
      <c r="AP96" s="129">
        <v>479738</v>
      </c>
      <c r="AQ96" s="129">
        <v>-3853859</v>
      </c>
      <c r="AR96" s="129">
        <v>0</v>
      </c>
      <c r="AS96" s="129">
        <v>-3853859</v>
      </c>
      <c r="AT96" s="129">
        <v>-1461048</v>
      </c>
      <c r="AU96" s="129">
        <v>0</v>
      </c>
      <c r="AV96" s="129">
        <v>-1461048</v>
      </c>
      <c r="AW96" s="129">
        <v>-87695</v>
      </c>
      <c r="AX96" s="129">
        <v>0</v>
      </c>
      <c r="AY96" s="129">
        <v>-87695</v>
      </c>
      <c r="AZ96" s="129">
        <v>-63282</v>
      </c>
      <c r="BA96" s="129">
        <v>0</v>
      </c>
      <c r="BB96" s="129">
        <v>-63282</v>
      </c>
      <c r="BC96" s="129">
        <v>0</v>
      </c>
      <c r="BD96" s="129">
        <v>0</v>
      </c>
      <c r="BE96" s="129">
        <v>0</v>
      </c>
      <c r="BF96" s="129">
        <v>-5465884</v>
      </c>
      <c r="BG96" s="129">
        <v>0</v>
      </c>
      <c r="BH96" s="129">
        <v>0</v>
      </c>
      <c r="BI96" s="129">
        <v>0</v>
      </c>
      <c r="BJ96" s="129">
        <v>-5465884</v>
      </c>
      <c r="BK96" s="129">
        <v>0</v>
      </c>
      <c r="BL96" s="129">
        <v>-5465884</v>
      </c>
      <c r="BM96" s="129">
        <v>0</v>
      </c>
      <c r="BN96" s="129">
        <v>0</v>
      </c>
      <c r="BO96" s="129">
        <v>0</v>
      </c>
      <c r="BP96" s="129">
        <v>-351279</v>
      </c>
      <c r="BQ96" s="129">
        <v>0</v>
      </c>
      <c r="BR96" s="129">
        <v>-351279</v>
      </c>
      <c r="BS96" s="129">
        <v>-351279</v>
      </c>
      <c r="BT96" s="129">
        <v>0</v>
      </c>
      <c r="BU96" s="129">
        <v>-171976</v>
      </c>
      <c r="BV96" s="129">
        <v>0</v>
      </c>
      <c r="BW96" s="129">
        <v>-523255</v>
      </c>
      <c r="BX96" s="129">
        <v>0</v>
      </c>
      <c r="BY96" s="129">
        <v>-523255</v>
      </c>
      <c r="BZ96" s="129">
        <v>-63588</v>
      </c>
      <c r="CA96" s="129">
        <v>0</v>
      </c>
      <c r="CB96" s="129">
        <v>-63588</v>
      </c>
      <c r="CC96" s="129">
        <v>-29995</v>
      </c>
      <c r="CD96" s="129">
        <v>0</v>
      </c>
      <c r="CE96" s="129">
        <v>-29995</v>
      </c>
      <c r="CF96" s="129">
        <v>-3482</v>
      </c>
      <c r="CG96" s="129">
        <v>0</v>
      </c>
      <c r="CH96" s="129">
        <v>-3482</v>
      </c>
      <c r="CI96" s="129">
        <v>0</v>
      </c>
      <c r="CJ96" s="129">
        <v>0</v>
      </c>
      <c r="CK96" s="129">
        <v>0</v>
      </c>
      <c r="CL96" s="129">
        <v>-1969</v>
      </c>
      <c r="CM96" s="129">
        <v>0</v>
      </c>
      <c r="CN96" s="129">
        <v>-1969</v>
      </c>
      <c r="CO96" s="129">
        <v>0</v>
      </c>
      <c r="CP96" s="129">
        <v>0</v>
      </c>
      <c r="CQ96" s="129">
        <v>0</v>
      </c>
      <c r="CR96" s="129">
        <v>0</v>
      </c>
      <c r="CS96" s="129">
        <v>0</v>
      </c>
      <c r="CT96" s="129">
        <v>-99034</v>
      </c>
      <c r="CU96" s="129">
        <v>0</v>
      </c>
      <c r="CV96" s="129">
        <v>0</v>
      </c>
      <c r="CW96" s="129">
        <v>0</v>
      </c>
      <c r="CX96" s="129">
        <v>-99034</v>
      </c>
      <c r="CY96" s="129">
        <v>0</v>
      </c>
      <c r="CZ96" s="129">
        <v>-99034</v>
      </c>
      <c r="DA96" s="129">
        <v>-63282</v>
      </c>
      <c r="DB96" s="129">
        <v>0</v>
      </c>
      <c r="DC96" s="129">
        <v>-63282</v>
      </c>
      <c r="DD96" s="129">
        <v>0</v>
      </c>
      <c r="DE96" s="129">
        <v>0</v>
      </c>
      <c r="DF96" s="129">
        <v>0</v>
      </c>
      <c r="DG96" s="129">
        <v>-1500</v>
      </c>
      <c r="DH96" s="129">
        <v>0</v>
      </c>
      <c r="DI96" s="129">
        <v>-1500</v>
      </c>
      <c r="DJ96" s="129">
        <v>-64782</v>
      </c>
      <c r="DK96" s="129">
        <v>0</v>
      </c>
      <c r="DL96" s="129">
        <v>0</v>
      </c>
      <c r="DM96" s="129">
        <v>0</v>
      </c>
      <c r="DN96" s="129">
        <v>-64782</v>
      </c>
      <c r="DO96" s="129">
        <v>0</v>
      </c>
      <c r="DP96" s="129">
        <v>-64782</v>
      </c>
      <c r="DQ96" s="129">
        <v>23199800</v>
      </c>
      <c r="DR96" s="129">
        <v>0</v>
      </c>
      <c r="DS96" s="129">
        <v>23199800</v>
      </c>
      <c r="DT96" s="662" t="s">
        <v>63</v>
      </c>
      <c r="DU96" s="324" t="s">
        <v>513</v>
      </c>
      <c r="DV96" s="663" t="s">
        <v>512</v>
      </c>
      <c r="DW96" s="529" t="s">
        <v>1303</v>
      </c>
    </row>
    <row r="97" spans="1:127" ht="12.75" x14ac:dyDescent="0.2">
      <c r="A97" s="664">
        <v>90</v>
      </c>
      <c r="B97" s="665" t="s">
        <v>66</v>
      </c>
      <c r="C97" s="666" t="s">
        <v>1201</v>
      </c>
      <c r="D97" s="667" t="s">
        <v>1202</v>
      </c>
      <c r="E97" s="668" t="s">
        <v>65</v>
      </c>
      <c r="F97" s="753" t="s">
        <v>1875</v>
      </c>
      <c r="G97" s="129">
        <v>157082526</v>
      </c>
      <c r="H97" s="129">
        <v>0</v>
      </c>
      <c r="I97" s="129">
        <v>157082526</v>
      </c>
      <c r="J97" s="793">
        <v>49.9</v>
      </c>
      <c r="K97" s="129">
        <v>78384180</v>
      </c>
      <c r="L97" s="129">
        <v>0</v>
      </c>
      <c r="M97" s="129">
        <v>0</v>
      </c>
      <c r="N97" s="129">
        <v>0</v>
      </c>
      <c r="O97" s="129">
        <v>78384180</v>
      </c>
      <c r="P97" s="129">
        <v>0</v>
      </c>
      <c r="Q97" s="129">
        <v>78384180</v>
      </c>
      <c r="R97" s="129">
        <v>-190891</v>
      </c>
      <c r="S97" s="129">
        <v>0</v>
      </c>
      <c r="T97" s="129">
        <v>-190891</v>
      </c>
      <c r="U97" s="129">
        <v>54314</v>
      </c>
      <c r="V97" s="129">
        <v>0</v>
      </c>
      <c r="W97" s="129">
        <v>54314</v>
      </c>
      <c r="X97" s="129">
        <v>-136577</v>
      </c>
      <c r="Y97" s="129">
        <v>0</v>
      </c>
      <c r="Z97" s="129">
        <v>0</v>
      </c>
      <c r="AA97" s="129">
        <v>0</v>
      </c>
      <c r="AB97" s="129">
        <v>-136577</v>
      </c>
      <c r="AC97" s="129">
        <v>0</v>
      </c>
      <c r="AD97" s="129">
        <v>-136577</v>
      </c>
      <c r="AE97" s="129">
        <v>136577</v>
      </c>
      <c r="AF97" s="129">
        <v>0</v>
      </c>
      <c r="AG97" s="129">
        <v>136577</v>
      </c>
      <c r="AH97" s="129">
        <v>-3843119</v>
      </c>
      <c r="AI97" s="129">
        <v>0</v>
      </c>
      <c r="AJ97" s="129">
        <v>-3843119</v>
      </c>
      <c r="AK97" s="129">
        <v>0</v>
      </c>
      <c r="AL97" s="129">
        <v>0</v>
      </c>
      <c r="AM97" s="129">
        <v>0</v>
      </c>
      <c r="AN97" s="129">
        <v>1534805</v>
      </c>
      <c r="AO97" s="129">
        <v>0</v>
      </c>
      <c r="AP97" s="129">
        <v>1534805</v>
      </c>
      <c r="AQ97" s="129">
        <v>-2308314</v>
      </c>
      <c r="AR97" s="129">
        <v>0</v>
      </c>
      <c r="AS97" s="129">
        <v>-2308314</v>
      </c>
      <c r="AT97" s="129">
        <v>-5675548</v>
      </c>
      <c r="AU97" s="129">
        <v>0</v>
      </c>
      <c r="AV97" s="129">
        <v>-5675548</v>
      </c>
      <c r="AW97" s="129">
        <v>-58184</v>
      </c>
      <c r="AX97" s="129">
        <v>0</v>
      </c>
      <c r="AY97" s="129">
        <v>-58184</v>
      </c>
      <c r="AZ97" s="129">
        <v>0</v>
      </c>
      <c r="BA97" s="129">
        <v>0</v>
      </c>
      <c r="BB97" s="129">
        <v>0</v>
      </c>
      <c r="BC97" s="129">
        <v>0</v>
      </c>
      <c r="BD97" s="129">
        <v>0</v>
      </c>
      <c r="BE97" s="129">
        <v>0</v>
      </c>
      <c r="BF97" s="129">
        <v>-8042046</v>
      </c>
      <c r="BG97" s="129">
        <v>0</v>
      </c>
      <c r="BH97" s="129">
        <v>0</v>
      </c>
      <c r="BI97" s="129">
        <v>0</v>
      </c>
      <c r="BJ97" s="129">
        <v>-8042046</v>
      </c>
      <c r="BK97" s="129">
        <v>0</v>
      </c>
      <c r="BL97" s="129">
        <v>-8042046</v>
      </c>
      <c r="BM97" s="129">
        <v>0</v>
      </c>
      <c r="BN97" s="129">
        <v>0</v>
      </c>
      <c r="BO97" s="129">
        <v>0</v>
      </c>
      <c r="BP97" s="129">
        <v>-2464986</v>
      </c>
      <c r="BQ97" s="129">
        <v>0</v>
      </c>
      <c r="BR97" s="129">
        <v>-2464986</v>
      </c>
      <c r="BS97" s="129">
        <v>-2464986</v>
      </c>
      <c r="BT97" s="129">
        <v>0</v>
      </c>
      <c r="BU97" s="129">
        <v>0</v>
      </c>
      <c r="BV97" s="129">
        <v>0</v>
      </c>
      <c r="BW97" s="129">
        <v>-2464986</v>
      </c>
      <c r="BX97" s="129">
        <v>0</v>
      </c>
      <c r="BY97" s="129">
        <v>-2464986</v>
      </c>
      <c r="BZ97" s="129">
        <v>-148323</v>
      </c>
      <c r="CA97" s="129">
        <v>0</v>
      </c>
      <c r="CB97" s="129">
        <v>-148323</v>
      </c>
      <c r="CC97" s="129">
        <v>-493261</v>
      </c>
      <c r="CD97" s="129">
        <v>0</v>
      </c>
      <c r="CE97" s="129">
        <v>-493261</v>
      </c>
      <c r="CF97" s="129">
        <v>0</v>
      </c>
      <c r="CG97" s="129">
        <v>0</v>
      </c>
      <c r="CH97" s="129">
        <v>0</v>
      </c>
      <c r="CI97" s="129">
        <v>0</v>
      </c>
      <c r="CJ97" s="129">
        <v>0</v>
      </c>
      <c r="CK97" s="129">
        <v>0</v>
      </c>
      <c r="CL97" s="129">
        <v>0</v>
      </c>
      <c r="CM97" s="129">
        <v>0</v>
      </c>
      <c r="CN97" s="129">
        <v>0</v>
      </c>
      <c r="CO97" s="129">
        <v>0</v>
      </c>
      <c r="CP97" s="129">
        <v>0</v>
      </c>
      <c r="CQ97" s="129">
        <v>0</v>
      </c>
      <c r="CR97" s="129">
        <v>0</v>
      </c>
      <c r="CS97" s="129">
        <v>0</v>
      </c>
      <c r="CT97" s="129">
        <v>-641584</v>
      </c>
      <c r="CU97" s="129">
        <v>0</v>
      </c>
      <c r="CV97" s="129">
        <v>0</v>
      </c>
      <c r="CW97" s="129">
        <v>0</v>
      </c>
      <c r="CX97" s="129">
        <v>-641584</v>
      </c>
      <c r="CY97" s="129">
        <v>0</v>
      </c>
      <c r="CZ97" s="129">
        <v>-641584</v>
      </c>
      <c r="DA97" s="129">
        <v>0</v>
      </c>
      <c r="DB97" s="129">
        <v>0</v>
      </c>
      <c r="DC97" s="129">
        <v>0</v>
      </c>
      <c r="DD97" s="129">
        <v>-77450</v>
      </c>
      <c r="DE97" s="129">
        <v>0</v>
      </c>
      <c r="DF97" s="129">
        <v>-77450</v>
      </c>
      <c r="DG97" s="129">
        <v>0</v>
      </c>
      <c r="DH97" s="129">
        <v>0</v>
      </c>
      <c r="DI97" s="129">
        <v>0</v>
      </c>
      <c r="DJ97" s="129">
        <v>-77450</v>
      </c>
      <c r="DK97" s="129">
        <v>0</v>
      </c>
      <c r="DL97" s="129">
        <v>0</v>
      </c>
      <c r="DM97" s="129">
        <v>0</v>
      </c>
      <c r="DN97" s="129">
        <v>-77450</v>
      </c>
      <c r="DO97" s="129">
        <v>0</v>
      </c>
      <c r="DP97" s="129">
        <v>-77450</v>
      </c>
      <c r="DQ97" s="129">
        <v>67021537</v>
      </c>
      <c r="DR97" s="129">
        <v>0</v>
      </c>
      <c r="DS97" s="129">
        <v>67021537</v>
      </c>
      <c r="DT97" s="662" t="s">
        <v>65</v>
      </c>
      <c r="DU97" s="324" t="s">
        <v>566</v>
      </c>
      <c r="DV97" s="663" t="s">
        <v>512</v>
      </c>
      <c r="DW97" s="529" t="s">
        <v>1304</v>
      </c>
    </row>
    <row r="98" spans="1:127" ht="12.75" x14ac:dyDescent="0.2">
      <c r="A98" s="664">
        <v>91</v>
      </c>
      <c r="B98" s="665" t="s">
        <v>68</v>
      </c>
      <c r="C98" s="666" t="s">
        <v>1213</v>
      </c>
      <c r="D98" s="667" t="s">
        <v>1214</v>
      </c>
      <c r="E98" s="668" t="s">
        <v>67</v>
      </c>
      <c r="F98" s="753" t="s">
        <v>1879</v>
      </c>
      <c r="G98" s="129">
        <v>271668548</v>
      </c>
      <c r="H98" s="129">
        <v>0</v>
      </c>
      <c r="I98" s="129">
        <v>271668548</v>
      </c>
      <c r="J98" s="793">
        <v>49.9</v>
      </c>
      <c r="K98" s="129">
        <v>135562605</v>
      </c>
      <c r="L98" s="129">
        <v>0</v>
      </c>
      <c r="M98" s="129">
        <v>0</v>
      </c>
      <c r="N98" s="129">
        <v>0</v>
      </c>
      <c r="O98" s="129">
        <v>135562605</v>
      </c>
      <c r="P98" s="129">
        <v>0</v>
      </c>
      <c r="Q98" s="129">
        <v>135562605</v>
      </c>
      <c r="R98" s="129">
        <v>-210804</v>
      </c>
      <c r="S98" s="129">
        <v>0</v>
      </c>
      <c r="T98" s="129">
        <v>-210804</v>
      </c>
      <c r="U98" s="129">
        <v>847859</v>
      </c>
      <c r="V98" s="129">
        <v>0</v>
      </c>
      <c r="W98" s="129">
        <v>847859</v>
      </c>
      <c r="X98" s="129">
        <v>637055</v>
      </c>
      <c r="Y98" s="129">
        <v>0</v>
      </c>
      <c r="Z98" s="129">
        <v>0</v>
      </c>
      <c r="AA98" s="129">
        <v>0</v>
      </c>
      <c r="AB98" s="129">
        <v>637055</v>
      </c>
      <c r="AC98" s="129">
        <v>0</v>
      </c>
      <c r="AD98" s="129">
        <v>637055</v>
      </c>
      <c r="AE98" s="129">
        <v>-637055</v>
      </c>
      <c r="AF98" s="129">
        <v>0</v>
      </c>
      <c r="AG98" s="129">
        <v>-637055</v>
      </c>
      <c r="AH98" s="129">
        <v>-7760753</v>
      </c>
      <c r="AI98" s="129">
        <v>0</v>
      </c>
      <c r="AJ98" s="129">
        <v>-7760753</v>
      </c>
      <c r="AK98" s="129">
        <v>0</v>
      </c>
      <c r="AL98" s="129">
        <v>0</v>
      </c>
      <c r="AM98" s="129">
        <v>0</v>
      </c>
      <c r="AN98" s="129">
        <v>2606602</v>
      </c>
      <c r="AO98" s="129">
        <v>0</v>
      </c>
      <c r="AP98" s="129">
        <v>2606602</v>
      </c>
      <c r="AQ98" s="129">
        <v>-5154151</v>
      </c>
      <c r="AR98" s="129">
        <v>0</v>
      </c>
      <c r="AS98" s="129">
        <v>-5154151</v>
      </c>
      <c r="AT98" s="129">
        <v>-7230060</v>
      </c>
      <c r="AU98" s="129">
        <v>0</v>
      </c>
      <c r="AV98" s="129">
        <v>-7230060</v>
      </c>
      <c r="AW98" s="129">
        <v>-126489</v>
      </c>
      <c r="AX98" s="129">
        <v>0</v>
      </c>
      <c r="AY98" s="129">
        <v>-126489</v>
      </c>
      <c r="AZ98" s="129">
        <v>0</v>
      </c>
      <c r="BA98" s="129">
        <v>0</v>
      </c>
      <c r="BB98" s="129">
        <v>0</v>
      </c>
      <c r="BC98" s="129">
        <v>0</v>
      </c>
      <c r="BD98" s="129">
        <v>0</v>
      </c>
      <c r="BE98" s="129">
        <v>0</v>
      </c>
      <c r="BF98" s="129">
        <v>-12510700</v>
      </c>
      <c r="BG98" s="129">
        <v>0</v>
      </c>
      <c r="BH98" s="129">
        <v>0</v>
      </c>
      <c r="BI98" s="129">
        <v>0</v>
      </c>
      <c r="BJ98" s="129">
        <v>-12510700</v>
      </c>
      <c r="BK98" s="129">
        <v>0</v>
      </c>
      <c r="BL98" s="129">
        <v>-12510700</v>
      </c>
      <c r="BM98" s="129">
        <v>0</v>
      </c>
      <c r="BN98" s="129">
        <v>0</v>
      </c>
      <c r="BO98" s="129">
        <v>0</v>
      </c>
      <c r="BP98" s="129">
        <v>-1265913</v>
      </c>
      <c r="BQ98" s="129">
        <v>0</v>
      </c>
      <c r="BR98" s="129">
        <v>-1265913</v>
      </c>
      <c r="BS98" s="129">
        <v>-1265913</v>
      </c>
      <c r="BT98" s="129">
        <v>0</v>
      </c>
      <c r="BU98" s="129">
        <v>0</v>
      </c>
      <c r="BV98" s="129">
        <v>0</v>
      </c>
      <c r="BW98" s="129">
        <v>-1265913</v>
      </c>
      <c r="BX98" s="129">
        <v>0</v>
      </c>
      <c r="BY98" s="129">
        <v>-1265913</v>
      </c>
      <c r="BZ98" s="129">
        <v>-181576</v>
      </c>
      <c r="CA98" s="129">
        <v>0</v>
      </c>
      <c r="CB98" s="129">
        <v>-181576</v>
      </c>
      <c r="CC98" s="129">
        <v>-209675</v>
      </c>
      <c r="CD98" s="129">
        <v>0</v>
      </c>
      <c r="CE98" s="129">
        <v>-209675</v>
      </c>
      <c r="CF98" s="129">
        <v>0</v>
      </c>
      <c r="CG98" s="129">
        <v>0</v>
      </c>
      <c r="CH98" s="129">
        <v>0</v>
      </c>
      <c r="CI98" s="129">
        <v>0</v>
      </c>
      <c r="CJ98" s="129">
        <v>0</v>
      </c>
      <c r="CK98" s="129">
        <v>0</v>
      </c>
      <c r="CL98" s="129">
        <v>0</v>
      </c>
      <c r="CM98" s="129">
        <v>0</v>
      </c>
      <c r="CN98" s="129">
        <v>0</v>
      </c>
      <c r="CO98" s="129">
        <v>0</v>
      </c>
      <c r="CP98" s="129">
        <v>0</v>
      </c>
      <c r="CQ98" s="129">
        <v>0</v>
      </c>
      <c r="CR98" s="129">
        <v>0</v>
      </c>
      <c r="CS98" s="129">
        <v>0</v>
      </c>
      <c r="CT98" s="129">
        <v>-391251</v>
      </c>
      <c r="CU98" s="129">
        <v>0</v>
      </c>
      <c r="CV98" s="129">
        <v>0</v>
      </c>
      <c r="CW98" s="129">
        <v>0</v>
      </c>
      <c r="CX98" s="129">
        <v>-391251</v>
      </c>
      <c r="CY98" s="129">
        <v>0</v>
      </c>
      <c r="CZ98" s="129">
        <v>-391251</v>
      </c>
      <c r="DA98" s="129">
        <v>0</v>
      </c>
      <c r="DB98" s="129">
        <v>0</v>
      </c>
      <c r="DC98" s="129">
        <v>0</v>
      </c>
      <c r="DD98" s="129">
        <v>-29241</v>
      </c>
      <c r="DE98" s="129">
        <v>0</v>
      </c>
      <c r="DF98" s="129">
        <v>-29241</v>
      </c>
      <c r="DG98" s="129">
        <v>-1500</v>
      </c>
      <c r="DH98" s="129">
        <v>0</v>
      </c>
      <c r="DI98" s="129">
        <v>-1500</v>
      </c>
      <c r="DJ98" s="129">
        <v>-30741</v>
      </c>
      <c r="DK98" s="129">
        <v>0</v>
      </c>
      <c r="DL98" s="129">
        <v>0</v>
      </c>
      <c r="DM98" s="129">
        <v>0</v>
      </c>
      <c r="DN98" s="129">
        <v>-30741</v>
      </c>
      <c r="DO98" s="129">
        <v>0</v>
      </c>
      <c r="DP98" s="129">
        <v>-30741</v>
      </c>
      <c r="DQ98" s="129">
        <v>122001055</v>
      </c>
      <c r="DR98" s="129">
        <v>0</v>
      </c>
      <c r="DS98" s="129">
        <v>122001055</v>
      </c>
      <c r="DT98" s="662" t="s">
        <v>67</v>
      </c>
      <c r="DU98" s="324" t="s">
        <v>576</v>
      </c>
      <c r="DV98" s="669" t="s">
        <v>485</v>
      </c>
      <c r="DW98" s="529" t="s">
        <v>1305</v>
      </c>
    </row>
    <row r="99" spans="1:127" ht="12.75" x14ac:dyDescent="0.2">
      <c r="A99" s="664">
        <v>92</v>
      </c>
      <c r="B99" s="665" t="s">
        <v>70</v>
      </c>
      <c r="C99" s="666" t="s">
        <v>1201</v>
      </c>
      <c r="D99" s="667" t="s">
        <v>1211</v>
      </c>
      <c r="E99" s="668" t="s">
        <v>69</v>
      </c>
      <c r="F99" s="753" t="s">
        <v>1875</v>
      </c>
      <c r="G99" s="129">
        <v>96582661</v>
      </c>
      <c r="H99" s="129">
        <v>0</v>
      </c>
      <c r="I99" s="129">
        <v>96582661</v>
      </c>
      <c r="J99" s="793">
        <v>49.9</v>
      </c>
      <c r="K99" s="129">
        <v>48194748</v>
      </c>
      <c r="L99" s="129">
        <v>0</v>
      </c>
      <c r="M99" s="129">
        <v>0</v>
      </c>
      <c r="N99" s="129">
        <v>0</v>
      </c>
      <c r="O99" s="129">
        <v>48194748</v>
      </c>
      <c r="P99" s="129">
        <v>0</v>
      </c>
      <c r="Q99" s="129">
        <v>48194748</v>
      </c>
      <c r="R99" s="129">
        <v>-118070</v>
      </c>
      <c r="S99" s="129">
        <v>0</v>
      </c>
      <c r="T99" s="129">
        <v>-118070</v>
      </c>
      <c r="U99" s="129">
        <v>67015</v>
      </c>
      <c r="V99" s="129">
        <v>0</v>
      </c>
      <c r="W99" s="129">
        <v>67015</v>
      </c>
      <c r="X99" s="129">
        <v>-51055</v>
      </c>
      <c r="Y99" s="129">
        <v>0</v>
      </c>
      <c r="Z99" s="129">
        <v>0</v>
      </c>
      <c r="AA99" s="129">
        <v>0</v>
      </c>
      <c r="AB99" s="129">
        <v>-51055</v>
      </c>
      <c r="AC99" s="129">
        <v>0</v>
      </c>
      <c r="AD99" s="129">
        <v>-51055</v>
      </c>
      <c r="AE99" s="129">
        <v>51055</v>
      </c>
      <c r="AF99" s="129">
        <v>0</v>
      </c>
      <c r="AG99" s="129">
        <v>51055</v>
      </c>
      <c r="AH99" s="129">
        <v>-5788683</v>
      </c>
      <c r="AI99" s="129">
        <v>0</v>
      </c>
      <c r="AJ99" s="129">
        <v>-5788683</v>
      </c>
      <c r="AK99" s="129">
        <v>0</v>
      </c>
      <c r="AL99" s="129">
        <v>0</v>
      </c>
      <c r="AM99" s="129">
        <v>0</v>
      </c>
      <c r="AN99" s="129">
        <v>699706</v>
      </c>
      <c r="AO99" s="129">
        <v>0</v>
      </c>
      <c r="AP99" s="129">
        <v>699706</v>
      </c>
      <c r="AQ99" s="129">
        <v>-5088977</v>
      </c>
      <c r="AR99" s="129">
        <v>0</v>
      </c>
      <c r="AS99" s="129">
        <v>-5088977</v>
      </c>
      <c r="AT99" s="129">
        <v>-3528835</v>
      </c>
      <c r="AU99" s="129">
        <v>0</v>
      </c>
      <c r="AV99" s="129">
        <v>-3528835</v>
      </c>
      <c r="AW99" s="129">
        <v>-34939</v>
      </c>
      <c r="AX99" s="129">
        <v>0</v>
      </c>
      <c r="AY99" s="129">
        <v>-34939</v>
      </c>
      <c r="AZ99" s="129">
        <v>-6042</v>
      </c>
      <c r="BA99" s="129">
        <v>0</v>
      </c>
      <c r="BB99" s="129">
        <v>-6042</v>
      </c>
      <c r="BC99" s="129">
        <v>0</v>
      </c>
      <c r="BD99" s="129">
        <v>0</v>
      </c>
      <c r="BE99" s="129">
        <v>0</v>
      </c>
      <c r="BF99" s="129">
        <v>-8658793</v>
      </c>
      <c r="BG99" s="129">
        <v>0</v>
      </c>
      <c r="BH99" s="129">
        <v>0</v>
      </c>
      <c r="BI99" s="129">
        <v>0</v>
      </c>
      <c r="BJ99" s="129">
        <v>-8658793</v>
      </c>
      <c r="BK99" s="129">
        <v>0</v>
      </c>
      <c r="BL99" s="129">
        <v>-8658793</v>
      </c>
      <c r="BM99" s="129">
        <v>0</v>
      </c>
      <c r="BN99" s="129">
        <v>0</v>
      </c>
      <c r="BO99" s="129">
        <v>0</v>
      </c>
      <c r="BP99" s="129">
        <v>-662597</v>
      </c>
      <c r="BQ99" s="129">
        <v>0</v>
      </c>
      <c r="BR99" s="129">
        <v>-662597</v>
      </c>
      <c r="BS99" s="129">
        <v>-662597</v>
      </c>
      <c r="BT99" s="129">
        <v>0</v>
      </c>
      <c r="BU99" s="129">
        <v>0</v>
      </c>
      <c r="BV99" s="129">
        <v>0</v>
      </c>
      <c r="BW99" s="129">
        <v>-662597</v>
      </c>
      <c r="BX99" s="129">
        <v>0</v>
      </c>
      <c r="BY99" s="129">
        <v>-662597</v>
      </c>
      <c r="BZ99" s="129">
        <v>-20751</v>
      </c>
      <c r="CA99" s="129">
        <v>0</v>
      </c>
      <c r="CB99" s="129">
        <v>-20751</v>
      </c>
      <c r="CC99" s="129">
        <v>-45601</v>
      </c>
      <c r="CD99" s="129">
        <v>0</v>
      </c>
      <c r="CE99" s="129">
        <v>-45601</v>
      </c>
      <c r="CF99" s="129">
        <v>0</v>
      </c>
      <c r="CG99" s="129">
        <v>0</v>
      </c>
      <c r="CH99" s="129">
        <v>0</v>
      </c>
      <c r="CI99" s="129">
        <v>0</v>
      </c>
      <c r="CJ99" s="129">
        <v>0</v>
      </c>
      <c r="CK99" s="129">
        <v>0</v>
      </c>
      <c r="CL99" s="129">
        <v>-6148</v>
      </c>
      <c r="CM99" s="129">
        <v>0</v>
      </c>
      <c r="CN99" s="129">
        <v>-6148</v>
      </c>
      <c r="CO99" s="129">
        <v>0</v>
      </c>
      <c r="CP99" s="129">
        <v>0</v>
      </c>
      <c r="CQ99" s="129">
        <v>0</v>
      </c>
      <c r="CR99" s="129">
        <v>0</v>
      </c>
      <c r="CS99" s="129">
        <v>0</v>
      </c>
      <c r="CT99" s="129">
        <v>-72500</v>
      </c>
      <c r="CU99" s="129">
        <v>0</v>
      </c>
      <c r="CV99" s="129">
        <v>0</v>
      </c>
      <c r="CW99" s="129">
        <v>0</v>
      </c>
      <c r="CX99" s="129">
        <v>-72500</v>
      </c>
      <c r="CY99" s="129">
        <v>0</v>
      </c>
      <c r="CZ99" s="129">
        <v>-72500</v>
      </c>
      <c r="DA99" s="129">
        <v>-6042</v>
      </c>
      <c r="DB99" s="129">
        <v>0</v>
      </c>
      <c r="DC99" s="129">
        <v>-6042</v>
      </c>
      <c r="DD99" s="129">
        <v>-118</v>
      </c>
      <c r="DE99" s="129">
        <v>0</v>
      </c>
      <c r="DF99" s="129">
        <v>-118</v>
      </c>
      <c r="DG99" s="129">
        <v>0</v>
      </c>
      <c r="DH99" s="129">
        <v>0</v>
      </c>
      <c r="DI99" s="129">
        <v>0</v>
      </c>
      <c r="DJ99" s="129">
        <v>-6160</v>
      </c>
      <c r="DK99" s="129">
        <v>0</v>
      </c>
      <c r="DL99" s="129">
        <v>0</v>
      </c>
      <c r="DM99" s="129">
        <v>0</v>
      </c>
      <c r="DN99" s="129">
        <v>-6160</v>
      </c>
      <c r="DO99" s="129">
        <v>0</v>
      </c>
      <c r="DP99" s="129">
        <v>-6160</v>
      </c>
      <c r="DQ99" s="129">
        <v>38743643</v>
      </c>
      <c r="DR99" s="129">
        <v>0</v>
      </c>
      <c r="DS99" s="129">
        <v>38743643</v>
      </c>
      <c r="DT99" s="662" t="s">
        <v>69</v>
      </c>
      <c r="DU99" s="324" t="s">
        <v>528</v>
      </c>
      <c r="DV99" s="663" t="s">
        <v>1913</v>
      </c>
      <c r="DW99" s="529" t="s">
        <v>1306</v>
      </c>
    </row>
    <row r="100" spans="1:127" ht="12.75" x14ac:dyDescent="0.2">
      <c r="A100" s="664">
        <v>93</v>
      </c>
      <c r="B100" s="665" t="s">
        <v>71</v>
      </c>
      <c r="C100" s="666" t="s">
        <v>1201</v>
      </c>
      <c r="D100" s="667" t="s">
        <v>1202</v>
      </c>
      <c r="E100" s="668" t="s">
        <v>822</v>
      </c>
      <c r="F100" s="753" t="s">
        <v>1900</v>
      </c>
      <c r="G100" s="129">
        <v>64353619</v>
      </c>
      <c r="H100" s="129">
        <v>0</v>
      </c>
      <c r="I100" s="129">
        <v>64353619</v>
      </c>
      <c r="J100" s="793">
        <v>49.9</v>
      </c>
      <c r="K100" s="129">
        <v>32112456</v>
      </c>
      <c r="L100" s="129">
        <v>0</v>
      </c>
      <c r="M100" s="129">
        <v>0</v>
      </c>
      <c r="N100" s="129">
        <v>0</v>
      </c>
      <c r="O100" s="129">
        <v>32112456</v>
      </c>
      <c r="P100" s="129">
        <v>0</v>
      </c>
      <c r="Q100" s="129">
        <v>32112456</v>
      </c>
      <c r="R100" s="129">
        <v>-47348</v>
      </c>
      <c r="S100" s="129">
        <v>0</v>
      </c>
      <c r="T100" s="129">
        <v>-47348</v>
      </c>
      <c r="U100" s="129">
        <v>153441</v>
      </c>
      <c r="V100" s="129">
        <v>0</v>
      </c>
      <c r="W100" s="129">
        <v>153441</v>
      </c>
      <c r="X100" s="129">
        <v>106093</v>
      </c>
      <c r="Y100" s="129">
        <v>0</v>
      </c>
      <c r="Z100" s="129">
        <v>0</v>
      </c>
      <c r="AA100" s="129">
        <v>0</v>
      </c>
      <c r="AB100" s="129">
        <v>106093</v>
      </c>
      <c r="AC100" s="129">
        <v>0</v>
      </c>
      <c r="AD100" s="129">
        <v>106093</v>
      </c>
      <c r="AE100" s="129">
        <v>-106093</v>
      </c>
      <c r="AF100" s="129">
        <v>0</v>
      </c>
      <c r="AG100" s="129">
        <v>-106093</v>
      </c>
      <c r="AH100" s="129">
        <v>-2005869</v>
      </c>
      <c r="AI100" s="129">
        <v>0</v>
      </c>
      <c r="AJ100" s="129">
        <v>-2005869</v>
      </c>
      <c r="AK100" s="129">
        <v>0</v>
      </c>
      <c r="AL100" s="129">
        <v>0</v>
      </c>
      <c r="AM100" s="129">
        <v>0</v>
      </c>
      <c r="AN100" s="129">
        <v>626343</v>
      </c>
      <c r="AO100" s="129">
        <v>0</v>
      </c>
      <c r="AP100" s="129">
        <v>626343</v>
      </c>
      <c r="AQ100" s="129">
        <v>-1379526</v>
      </c>
      <c r="AR100" s="129">
        <v>0</v>
      </c>
      <c r="AS100" s="129">
        <v>-1379526</v>
      </c>
      <c r="AT100" s="129">
        <v>-3443324</v>
      </c>
      <c r="AU100" s="129">
        <v>0</v>
      </c>
      <c r="AV100" s="129">
        <v>-3443324</v>
      </c>
      <c r="AW100" s="129">
        <v>-48538</v>
      </c>
      <c r="AX100" s="129">
        <v>0</v>
      </c>
      <c r="AY100" s="129">
        <v>-48538</v>
      </c>
      <c r="AZ100" s="129">
        <v>0</v>
      </c>
      <c r="BA100" s="129">
        <v>0</v>
      </c>
      <c r="BB100" s="129">
        <v>0</v>
      </c>
      <c r="BC100" s="129">
        <v>0</v>
      </c>
      <c r="BD100" s="129">
        <v>0</v>
      </c>
      <c r="BE100" s="129">
        <v>0</v>
      </c>
      <c r="BF100" s="129">
        <v>-4871388</v>
      </c>
      <c r="BG100" s="129">
        <v>0</v>
      </c>
      <c r="BH100" s="129">
        <v>0</v>
      </c>
      <c r="BI100" s="129">
        <v>0</v>
      </c>
      <c r="BJ100" s="129">
        <v>-4871388</v>
      </c>
      <c r="BK100" s="129">
        <v>0</v>
      </c>
      <c r="BL100" s="129">
        <v>-4871388</v>
      </c>
      <c r="BM100" s="129">
        <v>0</v>
      </c>
      <c r="BN100" s="129">
        <v>0</v>
      </c>
      <c r="BO100" s="129">
        <v>0</v>
      </c>
      <c r="BP100" s="129">
        <v>-625572</v>
      </c>
      <c r="BQ100" s="129">
        <v>0</v>
      </c>
      <c r="BR100" s="129">
        <v>-625572</v>
      </c>
      <c r="BS100" s="129">
        <v>-625572</v>
      </c>
      <c r="BT100" s="129">
        <v>0</v>
      </c>
      <c r="BU100" s="129">
        <v>-335000</v>
      </c>
      <c r="BV100" s="129">
        <v>0</v>
      </c>
      <c r="BW100" s="129">
        <v>-960572</v>
      </c>
      <c r="BX100" s="129">
        <v>0</v>
      </c>
      <c r="BY100" s="129">
        <v>-960572</v>
      </c>
      <c r="BZ100" s="129">
        <v>-85739</v>
      </c>
      <c r="CA100" s="129">
        <v>0</v>
      </c>
      <c r="CB100" s="129">
        <v>-85739</v>
      </c>
      <c r="CC100" s="129">
        <v>-608</v>
      </c>
      <c r="CD100" s="129">
        <v>0</v>
      </c>
      <c r="CE100" s="129">
        <v>-608</v>
      </c>
      <c r="CF100" s="129">
        <v>-8550</v>
      </c>
      <c r="CG100" s="129">
        <v>0</v>
      </c>
      <c r="CH100" s="129">
        <v>-8550</v>
      </c>
      <c r="CI100" s="129">
        <v>0</v>
      </c>
      <c r="CJ100" s="129">
        <v>0</v>
      </c>
      <c r="CK100" s="129">
        <v>0</v>
      </c>
      <c r="CL100" s="129">
        <v>0</v>
      </c>
      <c r="CM100" s="129">
        <v>0</v>
      </c>
      <c r="CN100" s="129">
        <v>0</v>
      </c>
      <c r="CO100" s="129">
        <v>0</v>
      </c>
      <c r="CP100" s="129">
        <v>0</v>
      </c>
      <c r="CQ100" s="129">
        <v>0</v>
      </c>
      <c r="CR100" s="129">
        <v>0</v>
      </c>
      <c r="CS100" s="129">
        <v>0</v>
      </c>
      <c r="CT100" s="129">
        <v>-94897</v>
      </c>
      <c r="CU100" s="129">
        <v>0</v>
      </c>
      <c r="CV100" s="129">
        <v>0</v>
      </c>
      <c r="CW100" s="129">
        <v>0</v>
      </c>
      <c r="CX100" s="129">
        <v>-94897</v>
      </c>
      <c r="CY100" s="129">
        <v>0</v>
      </c>
      <c r="CZ100" s="129">
        <v>-94897</v>
      </c>
      <c r="DA100" s="129">
        <v>-6199</v>
      </c>
      <c r="DB100" s="129">
        <v>0</v>
      </c>
      <c r="DC100" s="129">
        <v>-6199</v>
      </c>
      <c r="DD100" s="129">
        <v>-6199</v>
      </c>
      <c r="DE100" s="129">
        <v>0</v>
      </c>
      <c r="DF100" s="129">
        <v>-6199</v>
      </c>
      <c r="DG100" s="129">
        <v>0</v>
      </c>
      <c r="DH100" s="129">
        <v>0</v>
      </c>
      <c r="DI100" s="129">
        <v>0</v>
      </c>
      <c r="DJ100" s="129">
        <v>-12398</v>
      </c>
      <c r="DK100" s="129">
        <v>0</v>
      </c>
      <c r="DL100" s="129">
        <v>0</v>
      </c>
      <c r="DM100" s="129">
        <v>0</v>
      </c>
      <c r="DN100" s="129">
        <v>-12398</v>
      </c>
      <c r="DO100" s="129">
        <v>0</v>
      </c>
      <c r="DP100" s="129">
        <v>-12398</v>
      </c>
      <c r="DQ100" s="129">
        <v>26279294</v>
      </c>
      <c r="DR100" s="129">
        <v>0</v>
      </c>
      <c r="DS100" s="129">
        <v>26279294</v>
      </c>
      <c r="DT100" s="662" t="s">
        <v>822</v>
      </c>
      <c r="DU100" s="324" t="s">
        <v>566</v>
      </c>
      <c r="DV100" s="663" t="s">
        <v>512</v>
      </c>
      <c r="DW100" s="529" t="s">
        <v>1307</v>
      </c>
    </row>
    <row r="101" spans="1:127" ht="12.75" x14ac:dyDescent="0.2">
      <c r="A101" s="664">
        <v>94</v>
      </c>
      <c r="B101" s="665" t="s">
        <v>73</v>
      </c>
      <c r="C101" s="666" t="s">
        <v>1201</v>
      </c>
      <c r="D101" s="667" t="s">
        <v>1206</v>
      </c>
      <c r="E101" s="668" t="s">
        <v>72</v>
      </c>
      <c r="F101" s="753" t="s">
        <v>1873</v>
      </c>
      <c r="G101" s="129">
        <v>66602716</v>
      </c>
      <c r="H101" s="129">
        <v>0</v>
      </c>
      <c r="I101" s="129">
        <v>66602716</v>
      </c>
      <c r="J101" s="793">
        <v>49.9</v>
      </c>
      <c r="K101" s="129">
        <v>33234755</v>
      </c>
      <c r="L101" s="129">
        <v>0</v>
      </c>
      <c r="M101" s="129">
        <v>0</v>
      </c>
      <c r="N101" s="129">
        <v>0</v>
      </c>
      <c r="O101" s="129">
        <v>33234755</v>
      </c>
      <c r="P101" s="129">
        <v>0</v>
      </c>
      <c r="Q101" s="129">
        <v>33234755</v>
      </c>
      <c r="R101" s="129">
        <v>-55755</v>
      </c>
      <c r="S101" s="129">
        <v>0</v>
      </c>
      <c r="T101" s="129">
        <v>-55755</v>
      </c>
      <c r="U101" s="129">
        <v>10587</v>
      </c>
      <c r="V101" s="129">
        <v>0</v>
      </c>
      <c r="W101" s="129">
        <v>10587</v>
      </c>
      <c r="X101" s="129">
        <v>-45168</v>
      </c>
      <c r="Y101" s="129">
        <v>0</v>
      </c>
      <c r="Z101" s="129">
        <v>0</v>
      </c>
      <c r="AA101" s="129">
        <v>0</v>
      </c>
      <c r="AB101" s="129">
        <v>-45168</v>
      </c>
      <c r="AC101" s="129">
        <v>0</v>
      </c>
      <c r="AD101" s="129">
        <v>-45168</v>
      </c>
      <c r="AE101" s="129">
        <v>45168</v>
      </c>
      <c r="AF101" s="129">
        <v>0</v>
      </c>
      <c r="AG101" s="129">
        <v>45168</v>
      </c>
      <c r="AH101" s="129">
        <v>-4440690</v>
      </c>
      <c r="AI101" s="129">
        <v>0</v>
      </c>
      <c r="AJ101" s="129">
        <v>-4440690</v>
      </c>
      <c r="AK101" s="129">
        <v>-18486</v>
      </c>
      <c r="AL101" s="129">
        <v>0</v>
      </c>
      <c r="AM101" s="129">
        <v>-18486</v>
      </c>
      <c r="AN101" s="129">
        <v>508816</v>
      </c>
      <c r="AO101" s="129">
        <v>0</v>
      </c>
      <c r="AP101" s="129">
        <v>508816</v>
      </c>
      <c r="AQ101" s="129">
        <v>-3931874</v>
      </c>
      <c r="AR101" s="129">
        <v>0</v>
      </c>
      <c r="AS101" s="129">
        <v>-3931874</v>
      </c>
      <c r="AT101" s="129">
        <v>-2463649</v>
      </c>
      <c r="AU101" s="129">
        <v>0</v>
      </c>
      <c r="AV101" s="129">
        <v>-2463649</v>
      </c>
      <c r="AW101" s="129">
        <v>-53699</v>
      </c>
      <c r="AX101" s="129">
        <v>0</v>
      </c>
      <c r="AY101" s="129">
        <v>-53699</v>
      </c>
      <c r="AZ101" s="129">
        <v>0</v>
      </c>
      <c r="BA101" s="129">
        <v>0</v>
      </c>
      <c r="BB101" s="129">
        <v>0</v>
      </c>
      <c r="BC101" s="129">
        <v>0</v>
      </c>
      <c r="BD101" s="129">
        <v>0</v>
      </c>
      <c r="BE101" s="129">
        <v>0</v>
      </c>
      <c r="BF101" s="129">
        <v>-6449222</v>
      </c>
      <c r="BG101" s="129">
        <v>0</v>
      </c>
      <c r="BH101" s="129">
        <v>0</v>
      </c>
      <c r="BI101" s="129">
        <v>0</v>
      </c>
      <c r="BJ101" s="129">
        <v>-6449222</v>
      </c>
      <c r="BK101" s="129">
        <v>0</v>
      </c>
      <c r="BL101" s="129">
        <v>-6449222</v>
      </c>
      <c r="BM101" s="129">
        <v>0</v>
      </c>
      <c r="BN101" s="129">
        <v>0</v>
      </c>
      <c r="BO101" s="129">
        <v>0</v>
      </c>
      <c r="BP101" s="129">
        <v>-500000</v>
      </c>
      <c r="BQ101" s="129">
        <v>0</v>
      </c>
      <c r="BR101" s="129">
        <v>-500000</v>
      </c>
      <c r="BS101" s="129">
        <v>-500000</v>
      </c>
      <c r="BT101" s="129">
        <v>0</v>
      </c>
      <c r="BU101" s="129">
        <v>0</v>
      </c>
      <c r="BV101" s="129">
        <v>0</v>
      </c>
      <c r="BW101" s="129">
        <v>-500000</v>
      </c>
      <c r="BX101" s="129">
        <v>0</v>
      </c>
      <c r="BY101" s="129">
        <v>-500000</v>
      </c>
      <c r="BZ101" s="129">
        <v>-17838</v>
      </c>
      <c r="CA101" s="129">
        <v>0</v>
      </c>
      <c r="CB101" s="129">
        <v>-17838</v>
      </c>
      <c r="CC101" s="129">
        <v>-27491</v>
      </c>
      <c r="CD101" s="129">
        <v>0</v>
      </c>
      <c r="CE101" s="129">
        <v>-27491</v>
      </c>
      <c r="CF101" s="129">
        <v>0</v>
      </c>
      <c r="CG101" s="129">
        <v>0</v>
      </c>
      <c r="CH101" s="129">
        <v>0</v>
      </c>
      <c r="CI101" s="129">
        <v>0</v>
      </c>
      <c r="CJ101" s="129">
        <v>0</v>
      </c>
      <c r="CK101" s="129">
        <v>0</v>
      </c>
      <c r="CL101" s="129">
        <v>0</v>
      </c>
      <c r="CM101" s="129">
        <v>0</v>
      </c>
      <c r="CN101" s="129">
        <v>0</v>
      </c>
      <c r="CO101" s="129">
        <v>0</v>
      </c>
      <c r="CP101" s="129">
        <v>0</v>
      </c>
      <c r="CQ101" s="129">
        <v>0</v>
      </c>
      <c r="CR101" s="129">
        <v>0</v>
      </c>
      <c r="CS101" s="129">
        <v>0</v>
      </c>
      <c r="CT101" s="129">
        <v>-45329</v>
      </c>
      <c r="CU101" s="129">
        <v>0</v>
      </c>
      <c r="CV101" s="129">
        <v>0</v>
      </c>
      <c r="CW101" s="129">
        <v>0</v>
      </c>
      <c r="CX101" s="129">
        <v>-45329</v>
      </c>
      <c r="CY101" s="129">
        <v>0</v>
      </c>
      <c r="CZ101" s="129">
        <v>-45329</v>
      </c>
      <c r="DA101" s="129">
        <v>-7102</v>
      </c>
      <c r="DB101" s="129">
        <v>0</v>
      </c>
      <c r="DC101" s="129">
        <v>-7102</v>
      </c>
      <c r="DD101" s="129">
        <v>-17851</v>
      </c>
      <c r="DE101" s="129">
        <v>0</v>
      </c>
      <c r="DF101" s="129">
        <v>-17851</v>
      </c>
      <c r="DG101" s="129">
        <v>0</v>
      </c>
      <c r="DH101" s="129">
        <v>0</v>
      </c>
      <c r="DI101" s="129">
        <v>0</v>
      </c>
      <c r="DJ101" s="129">
        <v>-24953</v>
      </c>
      <c r="DK101" s="129">
        <v>0</v>
      </c>
      <c r="DL101" s="129">
        <v>0</v>
      </c>
      <c r="DM101" s="129">
        <v>0</v>
      </c>
      <c r="DN101" s="129">
        <v>-24953</v>
      </c>
      <c r="DO101" s="129">
        <v>0</v>
      </c>
      <c r="DP101" s="129">
        <v>-24953</v>
      </c>
      <c r="DQ101" s="129">
        <v>26170083</v>
      </c>
      <c r="DR101" s="129">
        <v>0</v>
      </c>
      <c r="DS101" s="129">
        <v>26170083</v>
      </c>
      <c r="DT101" s="662" t="s">
        <v>72</v>
      </c>
      <c r="DU101" s="324" t="s">
        <v>516</v>
      </c>
      <c r="DV101" s="663" t="s">
        <v>515</v>
      </c>
      <c r="DW101" s="529" t="s">
        <v>1308</v>
      </c>
    </row>
    <row r="102" spans="1:127" ht="12.75" x14ac:dyDescent="0.2">
      <c r="A102" s="664">
        <v>95</v>
      </c>
      <c r="B102" s="665" t="s">
        <v>75</v>
      </c>
      <c r="C102" s="666" t="s">
        <v>1201</v>
      </c>
      <c r="D102" s="667" t="s">
        <v>1224</v>
      </c>
      <c r="E102" s="668" t="s">
        <v>74</v>
      </c>
      <c r="F102" s="753" t="s">
        <v>1875</v>
      </c>
      <c r="G102" s="129">
        <v>192478194</v>
      </c>
      <c r="H102" s="129">
        <v>0</v>
      </c>
      <c r="I102" s="129">
        <v>192478194</v>
      </c>
      <c r="J102" s="793">
        <v>49.9</v>
      </c>
      <c r="K102" s="129">
        <v>96046619</v>
      </c>
      <c r="L102" s="129">
        <v>0</v>
      </c>
      <c r="M102" s="129">
        <v>0</v>
      </c>
      <c r="N102" s="129">
        <v>0</v>
      </c>
      <c r="O102" s="129">
        <v>96046619</v>
      </c>
      <c r="P102" s="129">
        <v>0</v>
      </c>
      <c r="Q102" s="129">
        <v>96046619</v>
      </c>
      <c r="R102" s="129">
        <v>-553886</v>
      </c>
      <c r="S102" s="129">
        <v>0</v>
      </c>
      <c r="T102" s="129">
        <v>-553886</v>
      </c>
      <c r="U102" s="129">
        <v>1250494</v>
      </c>
      <c r="V102" s="129">
        <v>0</v>
      </c>
      <c r="W102" s="129">
        <v>1250494</v>
      </c>
      <c r="X102" s="129">
        <v>696608</v>
      </c>
      <c r="Y102" s="129">
        <v>0</v>
      </c>
      <c r="Z102" s="129">
        <v>0</v>
      </c>
      <c r="AA102" s="129">
        <v>0</v>
      </c>
      <c r="AB102" s="129">
        <v>696608</v>
      </c>
      <c r="AC102" s="129">
        <v>0</v>
      </c>
      <c r="AD102" s="129">
        <v>696608</v>
      </c>
      <c r="AE102" s="129">
        <v>-696608</v>
      </c>
      <c r="AF102" s="129">
        <v>0</v>
      </c>
      <c r="AG102" s="129">
        <v>-696608</v>
      </c>
      <c r="AH102" s="129">
        <v>-4127594</v>
      </c>
      <c r="AI102" s="129">
        <v>0</v>
      </c>
      <c r="AJ102" s="129">
        <v>-4127594</v>
      </c>
      <c r="AK102" s="129">
        <v>0</v>
      </c>
      <c r="AL102" s="129">
        <v>0</v>
      </c>
      <c r="AM102" s="129">
        <v>0</v>
      </c>
      <c r="AN102" s="129">
        <v>1950174</v>
      </c>
      <c r="AO102" s="129">
        <v>0</v>
      </c>
      <c r="AP102" s="129">
        <v>1950174</v>
      </c>
      <c r="AQ102" s="129">
        <v>-2177420</v>
      </c>
      <c r="AR102" s="129">
        <v>0</v>
      </c>
      <c r="AS102" s="129">
        <v>-2177420</v>
      </c>
      <c r="AT102" s="129">
        <v>-7216218</v>
      </c>
      <c r="AU102" s="129">
        <v>0</v>
      </c>
      <c r="AV102" s="129">
        <v>-7216218</v>
      </c>
      <c r="AW102" s="129">
        <v>-42434</v>
      </c>
      <c r="AX102" s="129">
        <v>0</v>
      </c>
      <c r="AY102" s="129">
        <v>-42434</v>
      </c>
      <c r="AZ102" s="129">
        <v>0</v>
      </c>
      <c r="BA102" s="129">
        <v>0</v>
      </c>
      <c r="BB102" s="129">
        <v>0</v>
      </c>
      <c r="BC102" s="129">
        <v>0</v>
      </c>
      <c r="BD102" s="129">
        <v>0</v>
      </c>
      <c r="BE102" s="129">
        <v>0</v>
      </c>
      <c r="BF102" s="129">
        <v>-9436072</v>
      </c>
      <c r="BG102" s="129">
        <v>0</v>
      </c>
      <c r="BH102" s="129">
        <v>0</v>
      </c>
      <c r="BI102" s="129">
        <v>0</v>
      </c>
      <c r="BJ102" s="129">
        <v>-9436072</v>
      </c>
      <c r="BK102" s="129">
        <v>0</v>
      </c>
      <c r="BL102" s="129">
        <v>-9436072</v>
      </c>
      <c r="BM102" s="129">
        <v>0</v>
      </c>
      <c r="BN102" s="129">
        <v>0</v>
      </c>
      <c r="BO102" s="129">
        <v>0</v>
      </c>
      <c r="BP102" s="129">
        <v>-2334176</v>
      </c>
      <c r="BQ102" s="129">
        <v>0</v>
      </c>
      <c r="BR102" s="129">
        <v>-2334176</v>
      </c>
      <c r="BS102" s="129">
        <v>-2334176</v>
      </c>
      <c r="BT102" s="129">
        <v>0</v>
      </c>
      <c r="BU102" s="129">
        <v>0</v>
      </c>
      <c r="BV102" s="129">
        <v>0</v>
      </c>
      <c r="BW102" s="129">
        <v>-2334176</v>
      </c>
      <c r="BX102" s="129">
        <v>0</v>
      </c>
      <c r="BY102" s="129">
        <v>-2334176</v>
      </c>
      <c r="BZ102" s="129">
        <v>-181570</v>
      </c>
      <c r="CA102" s="129">
        <v>0</v>
      </c>
      <c r="CB102" s="129">
        <v>-181570</v>
      </c>
      <c r="CC102" s="129">
        <v>-7460</v>
      </c>
      <c r="CD102" s="129">
        <v>0</v>
      </c>
      <c r="CE102" s="129">
        <v>-7460</v>
      </c>
      <c r="CF102" s="129">
        <v>-4854</v>
      </c>
      <c r="CG102" s="129">
        <v>0</v>
      </c>
      <c r="CH102" s="129">
        <v>-4854</v>
      </c>
      <c r="CI102" s="129">
        <v>0</v>
      </c>
      <c r="CJ102" s="129">
        <v>0</v>
      </c>
      <c r="CK102" s="129">
        <v>0</v>
      </c>
      <c r="CL102" s="129">
        <v>0</v>
      </c>
      <c r="CM102" s="129">
        <v>0</v>
      </c>
      <c r="CN102" s="129">
        <v>0</v>
      </c>
      <c r="CO102" s="129">
        <v>0</v>
      </c>
      <c r="CP102" s="129">
        <v>0</v>
      </c>
      <c r="CQ102" s="129">
        <v>0</v>
      </c>
      <c r="CR102" s="129">
        <v>0</v>
      </c>
      <c r="CS102" s="129">
        <v>0</v>
      </c>
      <c r="CT102" s="129">
        <v>-193884</v>
      </c>
      <c r="CU102" s="129">
        <v>0</v>
      </c>
      <c r="CV102" s="129">
        <v>0</v>
      </c>
      <c r="CW102" s="129">
        <v>0</v>
      </c>
      <c r="CX102" s="129">
        <v>-193884</v>
      </c>
      <c r="CY102" s="129">
        <v>0</v>
      </c>
      <c r="CZ102" s="129">
        <v>-193884</v>
      </c>
      <c r="DA102" s="129">
        <v>0</v>
      </c>
      <c r="DB102" s="129">
        <v>0</v>
      </c>
      <c r="DC102" s="129">
        <v>0</v>
      </c>
      <c r="DD102" s="129">
        <v>-82391</v>
      </c>
      <c r="DE102" s="129">
        <v>0</v>
      </c>
      <c r="DF102" s="129">
        <v>-82391</v>
      </c>
      <c r="DG102" s="129">
        <v>0</v>
      </c>
      <c r="DH102" s="129">
        <v>0</v>
      </c>
      <c r="DI102" s="129">
        <v>0</v>
      </c>
      <c r="DJ102" s="129">
        <v>-82391</v>
      </c>
      <c r="DK102" s="129">
        <v>0</v>
      </c>
      <c r="DL102" s="129">
        <v>0</v>
      </c>
      <c r="DM102" s="129">
        <v>0</v>
      </c>
      <c r="DN102" s="129">
        <v>-82391</v>
      </c>
      <c r="DO102" s="129">
        <v>0</v>
      </c>
      <c r="DP102" s="129">
        <v>-82391</v>
      </c>
      <c r="DQ102" s="129">
        <v>84696704</v>
      </c>
      <c r="DR102" s="129">
        <v>0</v>
      </c>
      <c r="DS102" s="129">
        <v>84696704</v>
      </c>
      <c r="DT102" s="662" t="s">
        <v>74</v>
      </c>
      <c r="DU102" s="324" t="s">
        <v>521</v>
      </c>
      <c r="DV102" s="663" t="s">
        <v>519</v>
      </c>
      <c r="DW102" s="529" t="s">
        <v>1309</v>
      </c>
    </row>
    <row r="103" spans="1:127" ht="12.75" x14ac:dyDescent="0.2">
      <c r="A103" s="664">
        <v>96</v>
      </c>
      <c r="B103" s="665" t="s">
        <v>77</v>
      </c>
      <c r="C103" s="666" t="s">
        <v>1201</v>
      </c>
      <c r="D103" s="667" t="s">
        <v>1202</v>
      </c>
      <c r="E103" s="668" t="s">
        <v>76</v>
      </c>
      <c r="F103" s="753" t="s">
        <v>1874</v>
      </c>
      <c r="G103" s="129">
        <v>101068616</v>
      </c>
      <c r="H103" s="129">
        <v>883874</v>
      </c>
      <c r="I103" s="129">
        <v>101952490</v>
      </c>
      <c r="J103" s="793">
        <v>49.9</v>
      </c>
      <c r="K103" s="129">
        <v>50433239</v>
      </c>
      <c r="L103" s="129">
        <v>441053</v>
      </c>
      <c r="M103" s="129">
        <v>42914</v>
      </c>
      <c r="N103" s="129">
        <v>249500</v>
      </c>
      <c r="O103" s="129">
        <v>50476153</v>
      </c>
      <c r="P103" s="129">
        <v>690553</v>
      </c>
      <c r="Q103" s="129">
        <v>51166706</v>
      </c>
      <c r="R103" s="129">
        <v>-53174</v>
      </c>
      <c r="S103" s="129">
        <v>0</v>
      </c>
      <c r="T103" s="129">
        <v>-53174</v>
      </c>
      <c r="U103" s="129">
        <v>339070</v>
      </c>
      <c r="V103" s="129">
        <v>0</v>
      </c>
      <c r="W103" s="129">
        <v>339070</v>
      </c>
      <c r="X103" s="129">
        <v>285896</v>
      </c>
      <c r="Y103" s="129">
        <v>0</v>
      </c>
      <c r="Z103" s="129">
        <v>0</v>
      </c>
      <c r="AA103" s="129">
        <v>0</v>
      </c>
      <c r="AB103" s="129">
        <v>285896</v>
      </c>
      <c r="AC103" s="129">
        <v>0</v>
      </c>
      <c r="AD103" s="129">
        <v>285896</v>
      </c>
      <c r="AE103" s="129">
        <v>-285896</v>
      </c>
      <c r="AF103" s="129">
        <v>0</v>
      </c>
      <c r="AG103" s="129">
        <v>-285896</v>
      </c>
      <c r="AH103" s="129">
        <v>-3517799</v>
      </c>
      <c r="AI103" s="129">
        <v>-69419</v>
      </c>
      <c r="AJ103" s="129">
        <v>-3587218</v>
      </c>
      <c r="AK103" s="129">
        <v>-7660</v>
      </c>
      <c r="AL103" s="129">
        <v>0</v>
      </c>
      <c r="AM103" s="129">
        <v>-7660</v>
      </c>
      <c r="AN103" s="129">
        <v>907404</v>
      </c>
      <c r="AO103" s="129">
        <v>10788</v>
      </c>
      <c r="AP103" s="129">
        <v>918192</v>
      </c>
      <c r="AQ103" s="129">
        <v>-2610395</v>
      </c>
      <c r="AR103" s="129">
        <v>-58631</v>
      </c>
      <c r="AS103" s="129">
        <v>-2669026</v>
      </c>
      <c r="AT103" s="129">
        <v>-2636780</v>
      </c>
      <c r="AU103" s="129">
        <v>-92406</v>
      </c>
      <c r="AV103" s="129">
        <v>-2729186</v>
      </c>
      <c r="AW103" s="129">
        <v>0</v>
      </c>
      <c r="AX103" s="129">
        <v>0</v>
      </c>
      <c r="AY103" s="129">
        <v>0</v>
      </c>
      <c r="AZ103" s="129">
        <v>0</v>
      </c>
      <c r="BA103" s="129">
        <v>0</v>
      </c>
      <c r="BB103" s="129">
        <v>0</v>
      </c>
      <c r="BC103" s="129">
        <v>0</v>
      </c>
      <c r="BD103" s="129">
        <v>0</v>
      </c>
      <c r="BE103" s="129">
        <v>0</v>
      </c>
      <c r="BF103" s="129">
        <v>-5247175</v>
      </c>
      <c r="BG103" s="129">
        <v>-151037</v>
      </c>
      <c r="BH103" s="129">
        <v>0</v>
      </c>
      <c r="BI103" s="129">
        <v>0</v>
      </c>
      <c r="BJ103" s="129">
        <v>-5247175</v>
      </c>
      <c r="BK103" s="129">
        <v>-151037</v>
      </c>
      <c r="BL103" s="129">
        <v>-5398212</v>
      </c>
      <c r="BM103" s="129">
        <v>-7000</v>
      </c>
      <c r="BN103" s="129">
        <v>0</v>
      </c>
      <c r="BO103" s="129">
        <v>-7000</v>
      </c>
      <c r="BP103" s="129">
        <v>-1184903</v>
      </c>
      <c r="BQ103" s="129">
        <v>-9889</v>
      </c>
      <c r="BR103" s="129">
        <v>-1194792</v>
      </c>
      <c r="BS103" s="129">
        <v>-1191903</v>
      </c>
      <c r="BT103" s="129">
        <v>-9889</v>
      </c>
      <c r="BU103" s="129">
        <v>0</v>
      </c>
      <c r="BV103" s="129">
        <v>0</v>
      </c>
      <c r="BW103" s="129">
        <v>-1191903</v>
      </c>
      <c r="BX103" s="129">
        <v>-9889</v>
      </c>
      <c r="BY103" s="129">
        <v>-1201792</v>
      </c>
      <c r="BZ103" s="129">
        <v>-129536</v>
      </c>
      <c r="CA103" s="129">
        <v>-12974</v>
      </c>
      <c r="CB103" s="129">
        <v>-142510</v>
      </c>
      <c r="CC103" s="129">
        <v>-537062</v>
      </c>
      <c r="CD103" s="129">
        <v>0</v>
      </c>
      <c r="CE103" s="129">
        <v>-537062</v>
      </c>
      <c r="CF103" s="129">
        <v>0</v>
      </c>
      <c r="CG103" s="129">
        <v>0</v>
      </c>
      <c r="CH103" s="129">
        <v>0</v>
      </c>
      <c r="CI103" s="129">
        <v>0</v>
      </c>
      <c r="CJ103" s="129">
        <v>0</v>
      </c>
      <c r="CK103" s="129">
        <v>0</v>
      </c>
      <c r="CL103" s="129">
        <v>0</v>
      </c>
      <c r="CM103" s="129">
        <v>0</v>
      </c>
      <c r="CN103" s="129">
        <v>0</v>
      </c>
      <c r="CO103" s="129">
        <v>0</v>
      </c>
      <c r="CP103" s="129">
        <v>-179919</v>
      </c>
      <c r="CQ103" s="129">
        <v>-179919</v>
      </c>
      <c r="CR103" s="129">
        <v>-179919</v>
      </c>
      <c r="CS103" s="129">
        <v>0</v>
      </c>
      <c r="CT103" s="129">
        <v>-666598</v>
      </c>
      <c r="CU103" s="129">
        <v>-192893</v>
      </c>
      <c r="CV103" s="129">
        <v>0</v>
      </c>
      <c r="CW103" s="129">
        <v>0</v>
      </c>
      <c r="CX103" s="129">
        <v>-666598</v>
      </c>
      <c r="CY103" s="129">
        <v>-192893</v>
      </c>
      <c r="CZ103" s="129">
        <v>-859491</v>
      </c>
      <c r="DA103" s="129">
        <v>0</v>
      </c>
      <c r="DB103" s="129">
        <v>0</v>
      </c>
      <c r="DC103" s="129">
        <v>0</v>
      </c>
      <c r="DD103" s="129">
        <v>-7660</v>
      </c>
      <c r="DE103" s="129">
        <v>0</v>
      </c>
      <c r="DF103" s="129">
        <v>-7660</v>
      </c>
      <c r="DG103" s="129">
        <v>0</v>
      </c>
      <c r="DH103" s="129">
        <v>0</v>
      </c>
      <c r="DI103" s="129">
        <v>0</v>
      </c>
      <c r="DJ103" s="129">
        <v>-7660</v>
      </c>
      <c r="DK103" s="129">
        <v>0</v>
      </c>
      <c r="DL103" s="129">
        <v>0</v>
      </c>
      <c r="DM103" s="129">
        <v>0</v>
      </c>
      <c r="DN103" s="129">
        <v>-7660</v>
      </c>
      <c r="DO103" s="129">
        <v>0</v>
      </c>
      <c r="DP103" s="129">
        <v>-7660</v>
      </c>
      <c r="DQ103" s="129">
        <v>43648713</v>
      </c>
      <c r="DR103" s="129">
        <v>336734</v>
      </c>
      <c r="DS103" s="129">
        <v>43985447</v>
      </c>
      <c r="DT103" s="662" t="s">
        <v>76</v>
      </c>
      <c r="DU103" s="324" t="s">
        <v>532</v>
      </c>
      <c r="DV103" s="663" t="s">
        <v>1914</v>
      </c>
      <c r="DW103" s="529" t="s">
        <v>1310</v>
      </c>
    </row>
    <row r="104" spans="1:127" ht="12.75" x14ac:dyDescent="0.2">
      <c r="A104" s="664">
        <v>97</v>
      </c>
      <c r="B104" s="665" t="s">
        <v>79</v>
      </c>
      <c r="C104" s="666" t="s">
        <v>1201</v>
      </c>
      <c r="D104" s="667" t="s">
        <v>1211</v>
      </c>
      <c r="E104" s="668" t="s">
        <v>78</v>
      </c>
      <c r="F104" s="753" t="s">
        <v>1879</v>
      </c>
      <c r="G104" s="129">
        <v>66859534</v>
      </c>
      <c r="H104" s="129">
        <v>0</v>
      </c>
      <c r="I104" s="129">
        <v>66859534</v>
      </c>
      <c r="J104" s="793">
        <v>49.9</v>
      </c>
      <c r="K104" s="129">
        <v>33362907</v>
      </c>
      <c r="L104" s="129">
        <v>0</v>
      </c>
      <c r="M104" s="129">
        <v>0</v>
      </c>
      <c r="N104" s="129">
        <v>0</v>
      </c>
      <c r="O104" s="129">
        <v>33362907</v>
      </c>
      <c r="P104" s="129">
        <v>0</v>
      </c>
      <c r="Q104" s="129">
        <v>33362907</v>
      </c>
      <c r="R104" s="129">
        <v>-74285</v>
      </c>
      <c r="S104" s="129">
        <v>0</v>
      </c>
      <c r="T104" s="129">
        <v>-74285</v>
      </c>
      <c r="U104" s="129">
        <v>27591</v>
      </c>
      <c r="V104" s="129">
        <v>0</v>
      </c>
      <c r="W104" s="129">
        <v>27591</v>
      </c>
      <c r="X104" s="129">
        <v>-46694</v>
      </c>
      <c r="Y104" s="129">
        <v>0</v>
      </c>
      <c r="Z104" s="129">
        <v>0</v>
      </c>
      <c r="AA104" s="129">
        <v>0</v>
      </c>
      <c r="AB104" s="129">
        <v>-46694</v>
      </c>
      <c r="AC104" s="129">
        <v>0</v>
      </c>
      <c r="AD104" s="129">
        <v>-46694</v>
      </c>
      <c r="AE104" s="129">
        <v>46694</v>
      </c>
      <c r="AF104" s="129">
        <v>0</v>
      </c>
      <c r="AG104" s="129">
        <v>46694</v>
      </c>
      <c r="AH104" s="129">
        <v>-3983206</v>
      </c>
      <c r="AI104" s="129">
        <v>0</v>
      </c>
      <c r="AJ104" s="129">
        <v>-3983206</v>
      </c>
      <c r="AK104" s="129">
        <v>0</v>
      </c>
      <c r="AL104" s="129">
        <v>0</v>
      </c>
      <c r="AM104" s="129">
        <v>0</v>
      </c>
      <c r="AN104" s="129">
        <v>563752</v>
      </c>
      <c r="AO104" s="129">
        <v>0</v>
      </c>
      <c r="AP104" s="129">
        <v>563752</v>
      </c>
      <c r="AQ104" s="129">
        <v>-3419454</v>
      </c>
      <c r="AR104" s="129">
        <v>0</v>
      </c>
      <c r="AS104" s="129">
        <v>-3419454</v>
      </c>
      <c r="AT104" s="129">
        <v>-2576629</v>
      </c>
      <c r="AU104" s="129">
        <v>0</v>
      </c>
      <c r="AV104" s="129">
        <v>-2576629</v>
      </c>
      <c r="AW104" s="129">
        <v>-40172</v>
      </c>
      <c r="AX104" s="129">
        <v>0</v>
      </c>
      <c r="AY104" s="129">
        <v>-40172</v>
      </c>
      <c r="AZ104" s="129">
        <v>-18478</v>
      </c>
      <c r="BA104" s="129">
        <v>0</v>
      </c>
      <c r="BB104" s="129">
        <v>-18478</v>
      </c>
      <c r="BC104" s="129">
        <v>0</v>
      </c>
      <c r="BD104" s="129">
        <v>0</v>
      </c>
      <c r="BE104" s="129">
        <v>0</v>
      </c>
      <c r="BF104" s="129">
        <v>-6054733</v>
      </c>
      <c r="BG104" s="129">
        <v>0</v>
      </c>
      <c r="BH104" s="129">
        <v>-132370</v>
      </c>
      <c r="BI104" s="129">
        <v>0</v>
      </c>
      <c r="BJ104" s="129">
        <v>-6187103</v>
      </c>
      <c r="BK104" s="129">
        <v>0</v>
      </c>
      <c r="BL104" s="129">
        <v>-6187103</v>
      </c>
      <c r="BM104" s="129">
        <v>0</v>
      </c>
      <c r="BN104" s="129">
        <v>0</v>
      </c>
      <c r="BO104" s="129">
        <v>0</v>
      </c>
      <c r="BP104" s="129">
        <v>-420411</v>
      </c>
      <c r="BQ104" s="129">
        <v>0</v>
      </c>
      <c r="BR104" s="129">
        <v>-420411</v>
      </c>
      <c r="BS104" s="129">
        <v>-420411</v>
      </c>
      <c r="BT104" s="129">
        <v>0</v>
      </c>
      <c r="BU104" s="129">
        <v>0</v>
      </c>
      <c r="BV104" s="129">
        <v>0</v>
      </c>
      <c r="BW104" s="129">
        <v>-420411</v>
      </c>
      <c r="BX104" s="129">
        <v>0</v>
      </c>
      <c r="BY104" s="129">
        <v>-420411</v>
      </c>
      <c r="BZ104" s="129">
        <v>-27712</v>
      </c>
      <c r="CA104" s="129">
        <v>0</v>
      </c>
      <c r="CB104" s="129">
        <v>-27712</v>
      </c>
      <c r="CC104" s="129">
        <v>-32806</v>
      </c>
      <c r="CD104" s="129">
        <v>0</v>
      </c>
      <c r="CE104" s="129">
        <v>-32806</v>
      </c>
      <c r="CF104" s="129">
        <v>-1101</v>
      </c>
      <c r="CG104" s="129">
        <v>0</v>
      </c>
      <c r="CH104" s="129">
        <v>-1101</v>
      </c>
      <c r="CI104" s="129">
        <v>0</v>
      </c>
      <c r="CJ104" s="129">
        <v>0</v>
      </c>
      <c r="CK104" s="129">
        <v>0</v>
      </c>
      <c r="CL104" s="129">
        <v>-2420</v>
      </c>
      <c r="CM104" s="129">
        <v>0</v>
      </c>
      <c r="CN104" s="129">
        <v>-2420</v>
      </c>
      <c r="CO104" s="129">
        <v>0</v>
      </c>
      <c r="CP104" s="129">
        <v>0</v>
      </c>
      <c r="CQ104" s="129">
        <v>0</v>
      </c>
      <c r="CR104" s="129">
        <v>0</v>
      </c>
      <c r="CS104" s="129">
        <v>0</v>
      </c>
      <c r="CT104" s="129">
        <v>-64039</v>
      </c>
      <c r="CU104" s="129">
        <v>0</v>
      </c>
      <c r="CV104" s="129">
        <v>0</v>
      </c>
      <c r="CW104" s="129">
        <v>0</v>
      </c>
      <c r="CX104" s="129">
        <v>-64039</v>
      </c>
      <c r="CY104" s="129">
        <v>0</v>
      </c>
      <c r="CZ104" s="129">
        <v>-64039</v>
      </c>
      <c r="DA104" s="129">
        <v>-18478</v>
      </c>
      <c r="DB104" s="129">
        <v>0</v>
      </c>
      <c r="DC104" s="129">
        <v>-18478</v>
      </c>
      <c r="DD104" s="129">
        <v>-21678</v>
      </c>
      <c r="DE104" s="129">
        <v>0</v>
      </c>
      <c r="DF104" s="129">
        <v>-21678</v>
      </c>
      <c r="DG104" s="129">
        <v>0</v>
      </c>
      <c r="DH104" s="129">
        <v>0</v>
      </c>
      <c r="DI104" s="129">
        <v>0</v>
      </c>
      <c r="DJ104" s="129">
        <v>-40156</v>
      </c>
      <c r="DK104" s="129">
        <v>0</v>
      </c>
      <c r="DL104" s="129">
        <v>0</v>
      </c>
      <c r="DM104" s="129">
        <v>0</v>
      </c>
      <c r="DN104" s="129">
        <v>-40156</v>
      </c>
      <c r="DO104" s="129">
        <v>0</v>
      </c>
      <c r="DP104" s="129">
        <v>-40156</v>
      </c>
      <c r="DQ104" s="129">
        <v>26604504</v>
      </c>
      <c r="DR104" s="129">
        <v>0</v>
      </c>
      <c r="DS104" s="129">
        <v>26604504</v>
      </c>
      <c r="DT104" s="662" t="s">
        <v>78</v>
      </c>
      <c r="DU104" s="324" t="s">
        <v>503</v>
      </c>
      <c r="DV104" s="663" t="s">
        <v>502</v>
      </c>
      <c r="DW104" s="529" t="s">
        <v>1311</v>
      </c>
    </row>
    <row r="105" spans="1:127" ht="12.75" x14ac:dyDescent="0.2">
      <c r="A105" s="664">
        <v>98</v>
      </c>
      <c r="B105" s="665" t="s">
        <v>322</v>
      </c>
      <c r="C105" s="666" t="s">
        <v>1201</v>
      </c>
      <c r="D105" s="667" t="s">
        <v>1211</v>
      </c>
      <c r="E105" s="668" t="s">
        <v>1016</v>
      </c>
      <c r="F105" s="753" t="s">
        <v>1879</v>
      </c>
      <c r="G105" s="129">
        <v>77606393</v>
      </c>
      <c r="H105" s="129">
        <v>0</v>
      </c>
      <c r="I105" s="129">
        <v>77606393</v>
      </c>
      <c r="J105" s="793">
        <v>49.9</v>
      </c>
      <c r="K105" s="129">
        <v>38725590</v>
      </c>
      <c r="L105" s="129">
        <v>0</v>
      </c>
      <c r="M105" s="129">
        <v>387256</v>
      </c>
      <c r="N105" s="129">
        <v>0</v>
      </c>
      <c r="O105" s="129">
        <v>39112846</v>
      </c>
      <c r="P105" s="129">
        <v>0</v>
      </c>
      <c r="Q105" s="129">
        <v>39112846</v>
      </c>
      <c r="R105" s="129">
        <v>-241683</v>
      </c>
      <c r="S105" s="129">
        <v>0</v>
      </c>
      <c r="T105" s="129">
        <v>-241683</v>
      </c>
      <c r="U105" s="129">
        <v>333822</v>
      </c>
      <c r="V105" s="129">
        <v>0</v>
      </c>
      <c r="W105" s="129">
        <v>333822</v>
      </c>
      <c r="X105" s="129">
        <v>92139</v>
      </c>
      <c r="Y105" s="129">
        <v>0</v>
      </c>
      <c r="Z105" s="129">
        <v>85168</v>
      </c>
      <c r="AA105" s="129">
        <v>0</v>
      </c>
      <c r="AB105" s="129">
        <v>177307</v>
      </c>
      <c r="AC105" s="129">
        <v>0</v>
      </c>
      <c r="AD105" s="129">
        <v>177307</v>
      </c>
      <c r="AE105" s="129">
        <v>-177307</v>
      </c>
      <c r="AF105" s="129">
        <v>0</v>
      </c>
      <c r="AG105" s="129">
        <v>-177307</v>
      </c>
      <c r="AH105" s="129">
        <v>-4587976</v>
      </c>
      <c r="AI105" s="129">
        <v>0</v>
      </c>
      <c r="AJ105" s="129">
        <v>-4587976</v>
      </c>
      <c r="AK105" s="129">
        <v>-19935</v>
      </c>
      <c r="AL105" s="129">
        <v>0</v>
      </c>
      <c r="AM105" s="129">
        <v>-19935</v>
      </c>
      <c r="AN105" s="129">
        <v>661331</v>
      </c>
      <c r="AO105" s="129">
        <v>0</v>
      </c>
      <c r="AP105" s="129">
        <v>661331</v>
      </c>
      <c r="AQ105" s="129">
        <v>-3926645</v>
      </c>
      <c r="AR105" s="129">
        <v>0</v>
      </c>
      <c r="AS105" s="129">
        <v>-3926645</v>
      </c>
      <c r="AT105" s="129">
        <v>-2745610</v>
      </c>
      <c r="AU105" s="129">
        <v>0</v>
      </c>
      <c r="AV105" s="129">
        <v>-2745610</v>
      </c>
      <c r="AW105" s="129">
        <v>-99226</v>
      </c>
      <c r="AX105" s="129">
        <v>0</v>
      </c>
      <c r="AY105" s="129">
        <v>-99226</v>
      </c>
      <c r="AZ105" s="129">
        <v>-16781</v>
      </c>
      <c r="BA105" s="129">
        <v>0</v>
      </c>
      <c r="BB105" s="129">
        <v>-16781</v>
      </c>
      <c r="BC105" s="129">
        <v>0</v>
      </c>
      <c r="BD105" s="129">
        <v>0</v>
      </c>
      <c r="BE105" s="129">
        <v>0</v>
      </c>
      <c r="BF105" s="129">
        <v>-6788262</v>
      </c>
      <c r="BG105" s="129">
        <v>0</v>
      </c>
      <c r="BH105" s="129">
        <v>70532</v>
      </c>
      <c r="BI105" s="129">
        <v>0</v>
      </c>
      <c r="BJ105" s="129">
        <v>-6717730</v>
      </c>
      <c r="BK105" s="129">
        <v>0</v>
      </c>
      <c r="BL105" s="129">
        <v>-6717730</v>
      </c>
      <c r="BM105" s="129">
        <v>-8898</v>
      </c>
      <c r="BN105" s="129">
        <v>0</v>
      </c>
      <c r="BO105" s="129">
        <v>-8898</v>
      </c>
      <c r="BP105" s="129">
        <v>-928817</v>
      </c>
      <c r="BQ105" s="129">
        <v>0</v>
      </c>
      <c r="BR105" s="129">
        <v>-928817</v>
      </c>
      <c r="BS105" s="129">
        <v>-937715</v>
      </c>
      <c r="BT105" s="129">
        <v>0</v>
      </c>
      <c r="BU105" s="129">
        <v>46886</v>
      </c>
      <c r="BV105" s="129">
        <v>0</v>
      </c>
      <c r="BW105" s="129">
        <v>-890829</v>
      </c>
      <c r="BX105" s="129">
        <v>0</v>
      </c>
      <c r="BY105" s="129">
        <v>-890829</v>
      </c>
      <c r="BZ105" s="129">
        <v>-99227</v>
      </c>
      <c r="CA105" s="129">
        <v>0</v>
      </c>
      <c r="CB105" s="129">
        <v>-99227</v>
      </c>
      <c r="CC105" s="129">
        <v>-5259</v>
      </c>
      <c r="CD105" s="129">
        <v>0</v>
      </c>
      <c r="CE105" s="129">
        <v>-5259</v>
      </c>
      <c r="CF105" s="129">
        <v>-5050</v>
      </c>
      <c r="CG105" s="129">
        <v>0</v>
      </c>
      <c r="CH105" s="129">
        <v>-5050</v>
      </c>
      <c r="CI105" s="129">
        <v>0</v>
      </c>
      <c r="CJ105" s="129">
        <v>0</v>
      </c>
      <c r="CK105" s="129">
        <v>0</v>
      </c>
      <c r="CL105" s="129">
        <v>0</v>
      </c>
      <c r="CM105" s="129">
        <v>0</v>
      </c>
      <c r="CN105" s="129">
        <v>0</v>
      </c>
      <c r="CO105" s="129">
        <v>0</v>
      </c>
      <c r="CP105" s="129">
        <v>0</v>
      </c>
      <c r="CQ105" s="129">
        <v>0</v>
      </c>
      <c r="CR105" s="129">
        <v>0</v>
      </c>
      <c r="CS105" s="129">
        <v>0</v>
      </c>
      <c r="CT105" s="129">
        <v>-109536</v>
      </c>
      <c r="CU105" s="129">
        <v>0</v>
      </c>
      <c r="CV105" s="129">
        <v>-5477</v>
      </c>
      <c r="CW105" s="129">
        <v>0</v>
      </c>
      <c r="CX105" s="129">
        <v>-115013</v>
      </c>
      <c r="CY105" s="129">
        <v>0</v>
      </c>
      <c r="CZ105" s="129">
        <v>-115013</v>
      </c>
      <c r="DA105" s="129">
        <v>-15514</v>
      </c>
      <c r="DB105" s="129">
        <v>0</v>
      </c>
      <c r="DC105" s="129">
        <v>-15514</v>
      </c>
      <c r="DD105" s="129">
        <v>-26948</v>
      </c>
      <c r="DE105" s="129">
        <v>0</v>
      </c>
      <c r="DF105" s="129">
        <v>-26948</v>
      </c>
      <c r="DG105" s="129">
        <v>0</v>
      </c>
      <c r="DH105" s="129">
        <v>0</v>
      </c>
      <c r="DI105" s="129">
        <v>0</v>
      </c>
      <c r="DJ105" s="129">
        <v>-42462</v>
      </c>
      <c r="DK105" s="129">
        <v>0</v>
      </c>
      <c r="DL105" s="129">
        <v>0</v>
      </c>
      <c r="DM105" s="129">
        <v>0</v>
      </c>
      <c r="DN105" s="129">
        <v>-42462</v>
      </c>
      <c r="DO105" s="129">
        <v>0</v>
      </c>
      <c r="DP105" s="129">
        <v>-42462</v>
      </c>
      <c r="DQ105" s="129">
        <v>31524119</v>
      </c>
      <c r="DR105" s="129">
        <v>0</v>
      </c>
      <c r="DS105" s="129">
        <v>31524119</v>
      </c>
      <c r="DT105" s="662" t="s">
        <v>1016</v>
      </c>
      <c r="DU105" s="324" t="s">
        <v>565</v>
      </c>
      <c r="DV105" s="663" t="s">
        <v>542</v>
      </c>
      <c r="DW105" s="529" t="s">
        <v>1312</v>
      </c>
    </row>
    <row r="106" spans="1:127" ht="12.75" x14ac:dyDescent="0.2">
      <c r="A106" s="664">
        <v>99</v>
      </c>
      <c r="B106" s="665" t="s">
        <v>81</v>
      </c>
      <c r="C106" s="666" t="s">
        <v>1201</v>
      </c>
      <c r="D106" s="667" t="s">
        <v>1224</v>
      </c>
      <c r="E106" s="668" t="s">
        <v>80</v>
      </c>
      <c r="F106" s="753" t="s">
        <v>1875</v>
      </c>
      <c r="G106" s="129">
        <v>40624603</v>
      </c>
      <c r="H106" s="129">
        <v>0</v>
      </c>
      <c r="I106" s="129">
        <v>40624603</v>
      </c>
      <c r="J106" s="793">
        <v>49.9</v>
      </c>
      <c r="K106" s="129">
        <v>20271677</v>
      </c>
      <c r="L106" s="129">
        <v>0</v>
      </c>
      <c r="M106" s="129">
        <v>81586</v>
      </c>
      <c r="N106" s="129">
        <v>0</v>
      </c>
      <c r="O106" s="129">
        <v>20353263</v>
      </c>
      <c r="P106" s="129">
        <v>0</v>
      </c>
      <c r="Q106" s="129">
        <v>20353263</v>
      </c>
      <c r="R106" s="129">
        <v>-180427</v>
      </c>
      <c r="S106" s="129">
        <v>0</v>
      </c>
      <c r="T106" s="129">
        <v>-180427</v>
      </c>
      <c r="U106" s="129">
        <v>23724</v>
      </c>
      <c r="V106" s="129">
        <v>0</v>
      </c>
      <c r="W106" s="129">
        <v>23724</v>
      </c>
      <c r="X106" s="129">
        <v>-156703</v>
      </c>
      <c r="Y106" s="129">
        <v>0</v>
      </c>
      <c r="Z106" s="129">
        <v>0</v>
      </c>
      <c r="AA106" s="129">
        <v>0</v>
      </c>
      <c r="AB106" s="129">
        <v>-156703</v>
      </c>
      <c r="AC106" s="129">
        <v>0</v>
      </c>
      <c r="AD106" s="129">
        <v>-156703</v>
      </c>
      <c r="AE106" s="129">
        <v>156703</v>
      </c>
      <c r="AF106" s="129">
        <v>0</v>
      </c>
      <c r="AG106" s="129">
        <v>156703</v>
      </c>
      <c r="AH106" s="129">
        <v>-4074521</v>
      </c>
      <c r="AI106" s="129">
        <v>0</v>
      </c>
      <c r="AJ106" s="129">
        <v>-4074521</v>
      </c>
      <c r="AK106" s="129">
        <v>0</v>
      </c>
      <c r="AL106" s="129">
        <v>0</v>
      </c>
      <c r="AM106" s="129">
        <v>0</v>
      </c>
      <c r="AN106" s="129">
        <v>281781</v>
      </c>
      <c r="AO106" s="129">
        <v>0</v>
      </c>
      <c r="AP106" s="129">
        <v>281781</v>
      </c>
      <c r="AQ106" s="129">
        <v>-3792740</v>
      </c>
      <c r="AR106" s="129">
        <v>0</v>
      </c>
      <c r="AS106" s="129">
        <v>-3792740</v>
      </c>
      <c r="AT106" s="129">
        <v>-2100963</v>
      </c>
      <c r="AU106" s="129">
        <v>0</v>
      </c>
      <c r="AV106" s="129">
        <v>-2100963</v>
      </c>
      <c r="AW106" s="129">
        <v>-7444</v>
      </c>
      <c r="AX106" s="129">
        <v>0</v>
      </c>
      <c r="AY106" s="129">
        <v>-7444</v>
      </c>
      <c r="AZ106" s="129">
        <v>-19813</v>
      </c>
      <c r="BA106" s="129">
        <v>0</v>
      </c>
      <c r="BB106" s="129">
        <v>-19813</v>
      </c>
      <c r="BC106" s="129">
        <v>0</v>
      </c>
      <c r="BD106" s="129">
        <v>0</v>
      </c>
      <c r="BE106" s="129">
        <v>0</v>
      </c>
      <c r="BF106" s="129">
        <v>-5920960</v>
      </c>
      <c r="BG106" s="129">
        <v>0</v>
      </c>
      <c r="BH106" s="129">
        <v>0</v>
      </c>
      <c r="BI106" s="129">
        <v>0</v>
      </c>
      <c r="BJ106" s="129">
        <v>-5920960</v>
      </c>
      <c r="BK106" s="129">
        <v>0</v>
      </c>
      <c r="BL106" s="129">
        <v>-5920960</v>
      </c>
      <c r="BM106" s="129">
        <v>0</v>
      </c>
      <c r="BN106" s="129">
        <v>0</v>
      </c>
      <c r="BO106" s="129">
        <v>0</v>
      </c>
      <c r="BP106" s="129">
        <v>-313080</v>
      </c>
      <c r="BQ106" s="129">
        <v>0</v>
      </c>
      <c r="BR106" s="129">
        <v>-313080</v>
      </c>
      <c r="BS106" s="129">
        <v>-313080</v>
      </c>
      <c r="BT106" s="129">
        <v>0</v>
      </c>
      <c r="BU106" s="129">
        <v>0</v>
      </c>
      <c r="BV106" s="129">
        <v>0</v>
      </c>
      <c r="BW106" s="129">
        <v>-313080</v>
      </c>
      <c r="BX106" s="129">
        <v>0</v>
      </c>
      <c r="BY106" s="129">
        <v>-313080</v>
      </c>
      <c r="BZ106" s="129">
        <v>-25427</v>
      </c>
      <c r="CA106" s="129">
        <v>0</v>
      </c>
      <c r="CB106" s="129">
        <v>-25427</v>
      </c>
      <c r="CC106" s="129">
        <v>-22961</v>
      </c>
      <c r="CD106" s="129">
        <v>0</v>
      </c>
      <c r="CE106" s="129">
        <v>-22961</v>
      </c>
      <c r="CF106" s="129">
        <v>0</v>
      </c>
      <c r="CG106" s="129">
        <v>0</v>
      </c>
      <c r="CH106" s="129">
        <v>0</v>
      </c>
      <c r="CI106" s="129">
        <v>0</v>
      </c>
      <c r="CJ106" s="129">
        <v>0</v>
      </c>
      <c r="CK106" s="129">
        <v>0</v>
      </c>
      <c r="CL106" s="129">
        <v>0</v>
      </c>
      <c r="CM106" s="129">
        <v>0</v>
      </c>
      <c r="CN106" s="129">
        <v>0</v>
      </c>
      <c r="CO106" s="129">
        <v>0</v>
      </c>
      <c r="CP106" s="129">
        <v>0</v>
      </c>
      <c r="CQ106" s="129">
        <v>0</v>
      </c>
      <c r="CR106" s="129">
        <v>0</v>
      </c>
      <c r="CS106" s="129">
        <v>0</v>
      </c>
      <c r="CT106" s="129">
        <v>-48388</v>
      </c>
      <c r="CU106" s="129">
        <v>0</v>
      </c>
      <c r="CV106" s="129">
        <v>0</v>
      </c>
      <c r="CW106" s="129">
        <v>0</v>
      </c>
      <c r="CX106" s="129">
        <v>-48388</v>
      </c>
      <c r="CY106" s="129">
        <v>0</v>
      </c>
      <c r="CZ106" s="129">
        <v>-48388</v>
      </c>
      <c r="DA106" s="129">
        <v>-19813</v>
      </c>
      <c r="DB106" s="129">
        <v>0</v>
      </c>
      <c r="DC106" s="129">
        <v>-19813</v>
      </c>
      <c r="DD106" s="129">
        <v>-8945</v>
      </c>
      <c r="DE106" s="129">
        <v>0</v>
      </c>
      <c r="DF106" s="129">
        <v>-8945</v>
      </c>
      <c r="DG106" s="129">
        <v>0</v>
      </c>
      <c r="DH106" s="129">
        <v>0</v>
      </c>
      <c r="DI106" s="129">
        <v>0</v>
      </c>
      <c r="DJ106" s="129">
        <v>-28758</v>
      </c>
      <c r="DK106" s="129">
        <v>0</v>
      </c>
      <c r="DL106" s="129">
        <v>0</v>
      </c>
      <c r="DM106" s="129">
        <v>0</v>
      </c>
      <c r="DN106" s="129">
        <v>-28758</v>
      </c>
      <c r="DO106" s="129">
        <v>0</v>
      </c>
      <c r="DP106" s="129">
        <v>-28758</v>
      </c>
      <c r="DQ106" s="129">
        <v>13885374</v>
      </c>
      <c r="DR106" s="129">
        <v>0</v>
      </c>
      <c r="DS106" s="129">
        <v>13885374</v>
      </c>
      <c r="DT106" s="662" t="s">
        <v>80</v>
      </c>
      <c r="DU106" s="324" t="s">
        <v>529</v>
      </c>
      <c r="DV106" s="663" t="s">
        <v>512</v>
      </c>
      <c r="DW106" s="529" t="s">
        <v>1313</v>
      </c>
    </row>
    <row r="107" spans="1:127" ht="12.75" x14ac:dyDescent="0.2">
      <c r="A107" s="664">
        <v>100</v>
      </c>
      <c r="B107" s="665" t="s">
        <v>83</v>
      </c>
      <c r="C107" s="666" t="s">
        <v>1201</v>
      </c>
      <c r="D107" s="667" t="s">
        <v>1204</v>
      </c>
      <c r="E107" s="668" t="s">
        <v>82</v>
      </c>
      <c r="F107" s="753" t="s">
        <v>1885</v>
      </c>
      <c r="G107" s="129">
        <v>60590081</v>
      </c>
      <c r="H107" s="129">
        <v>6200820</v>
      </c>
      <c r="I107" s="129">
        <v>66790901</v>
      </c>
      <c r="J107" s="793">
        <v>49.9</v>
      </c>
      <c r="K107" s="129">
        <v>30234450</v>
      </c>
      <c r="L107" s="129">
        <v>3094209</v>
      </c>
      <c r="M107" s="129">
        <v>0</v>
      </c>
      <c r="N107" s="129">
        <v>0</v>
      </c>
      <c r="O107" s="129">
        <v>30234450</v>
      </c>
      <c r="P107" s="129">
        <v>3094209</v>
      </c>
      <c r="Q107" s="129">
        <v>33328659</v>
      </c>
      <c r="R107" s="129">
        <v>-44620</v>
      </c>
      <c r="S107" s="129">
        <v>0</v>
      </c>
      <c r="T107" s="129">
        <v>-44620</v>
      </c>
      <c r="U107" s="129">
        <v>29148</v>
      </c>
      <c r="V107" s="129">
        <v>14205</v>
      </c>
      <c r="W107" s="129">
        <v>43353</v>
      </c>
      <c r="X107" s="129">
        <v>-15472</v>
      </c>
      <c r="Y107" s="129">
        <v>14205</v>
      </c>
      <c r="Z107" s="129">
        <v>0</v>
      </c>
      <c r="AA107" s="129">
        <v>0</v>
      </c>
      <c r="AB107" s="129">
        <v>-15472</v>
      </c>
      <c r="AC107" s="129">
        <v>14205</v>
      </c>
      <c r="AD107" s="129">
        <v>-1267</v>
      </c>
      <c r="AE107" s="129">
        <v>15472</v>
      </c>
      <c r="AF107" s="129">
        <v>-14205</v>
      </c>
      <c r="AG107" s="129">
        <v>1267</v>
      </c>
      <c r="AH107" s="129">
        <v>-3788198</v>
      </c>
      <c r="AI107" s="129">
        <v>-47650</v>
      </c>
      <c r="AJ107" s="129">
        <v>-3835848</v>
      </c>
      <c r="AK107" s="129">
        <v>-3643</v>
      </c>
      <c r="AL107" s="129">
        <v>0</v>
      </c>
      <c r="AM107" s="129">
        <v>-3643</v>
      </c>
      <c r="AN107" s="129">
        <v>508485</v>
      </c>
      <c r="AO107" s="129">
        <v>69741</v>
      </c>
      <c r="AP107" s="129">
        <v>578226</v>
      </c>
      <c r="AQ107" s="129">
        <v>-3279713</v>
      </c>
      <c r="AR107" s="129">
        <v>22091</v>
      </c>
      <c r="AS107" s="129">
        <v>-3257622</v>
      </c>
      <c r="AT107" s="129">
        <v>-1283218</v>
      </c>
      <c r="AU107" s="129">
        <v>-48210</v>
      </c>
      <c r="AV107" s="129">
        <v>-1331428</v>
      </c>
      <c r="AW107" s="129">
        <v>-8059</v>
      </c>
      <c r="AX107" s="129">
        <v>0</v>
      </c>
      <c r="AY107" s="129">
        <v>-8059</v>
      </c>
      <c r="AZ107" s="129">
        <v>-4294</v>
      </c>
      <c r="BA107" s="129">
        <v>0</v>
      </c>
      <c r="BB107" s="129">
        <v>-4294</v>
      </c>
      <c r="BC107" s="129">
        <v>0</v>
      </c>
      <c r="BD107" s="129">
        <v>0</v>
      </c>
      <c r="BE107" s="129">
        <v>0</v>
      </c>
      <c r="BF107" s="129">
        <v>-4575284</v>
      </c>
      <c r="BG107" s="129">
        <v>-26119</v>
      </c>
      <c r="BH107" s="129">
        <v>0</v>
      </c>
      <c r="BI107" s="129">
        <v>0</v>
      </c>
      <c r="BJ107" s="129">
        <v>-4575284</v>
      </c>
      <c r="BK107" s="129">
        <v>-26119</v>
      </c>
      <c r="BL107" s="129">
        <v>-4601403</v>
      </c>
      <c r="BM107" s="129">
        <v>0</v>
      </c>
      <c r="BN107" s="129">
        <v>0</v>
      </c>
      <c r="BO107" s="129">
        <v>0</v>
      </c>
      <c r="BP107" s="129">
        <v>-382738</v>
      </c>
      <c r="BQ107" s="129">
        <v>0</v>
      </c>
      <c r="BR107" s="129">
        <v>-382738</v>
      </c>
      <c r="BS107" s="129">
        <v>-382738</v>
      </c>
      <c r="BT107" s="129">
        <v>0</v>
      </c>
      <c r="BU107" s="129">
        <v>0</v>
      </c>
      <c r="BV107" s="129">
        <v>0</v>
      </c>
      <c r="BW107" s="129">
        <v>-382738</v>
      </c>
      <c r="BX107" s="129">
        <v>0</v>
      </c>
      <c r="BY107" s="129">
        <v>-382738</v>
      </c>
      <c r="BZ107" s="129">
        <v>-56550</v>
      </c>
      <c r="CA107" s="129">
        <v>-276</v>
      </c>
      <c r="CB107" s="129">
        <v>-56826</v>
      </c>
      <c r="CC107" s="129">
        <v>-20595</v>
      </c>
      <c r="CD107" s="129">
        <v>0</v>
      </c>
      <c r="CE107" s="129">
        <v>-20595</v>
      </c>
      <c r="CF107" s="129">
        <v>-1113</v>
      </c>
      <c r="CG107" s="129">
        <v>0</v>
      </c>
      <c r="CH107" s="129">
        <v>-1113</v>
      </c>
      <c r="CI107" s="129">
        <v>0</v>
      </c>
      <c r="CJ107" s="129">
        <v>0</v>
      </c>
      <c r="CK107" s="129">
        <v>0</v>
      </c>
      <c r="CL107" s="129">
        <v>0</v>
      </c>
      <c r="CM107" s="129">
        <v>0</v>
      </c>
      <c r="CN107" s="129">
        <v>0</v>
      </c>
      <c r="CO107" s="129">
        <v>0</v>
      </c>
      <c r="CP107" s="129">
        <v>-231083</v>
      </c>
      <c r="CQ107" s="129">
        <v>-231083</v>
      </c>
      <c r="CR107" s="129">
        <v>-231083</v>
      </c>
      <c r="CS107" s="129">
        <v>0</v>
      </c>
      <c r="CT107" s="129">
        <v>-78258</v>
      </c>
      <c r="CU107" s="129">
        <v>-231359</v>
      </c>
      <c r="CV107" s="129">
        <v>0</v>
      </c>
      <c r="CW107" s="129">
        <v>0</v>
      </c>
      <c r="CX107" s="129">
        <v>-78258</v>
      </c>
      <c r="CY107" s="129">
        <v>-231359</v>
      </c>
      <c r="CZ107" s="129">
        <v>-309617</v>
      </c>
      <c r="DA107" s="129">
        <v>-4294</v>
      </c>
      <c r="DB107" s="129">
        <v>0</v>
      </c>
      <c r="DC107" s="129">
        <v>-4294</v>
      </c>
      <c r="DD107" s="129">
        <v>-10969</v>
      </c>
      <c r="DE107" s="129">
        <v>0</v>
      </c>
      <c r="DF107" s="129">
        <v>-10969</v>
      </c>
      <c r="DG107" s="129">
        <v>0</v>
      </c>
      <c r="DH107" s="129">
        <v>0</v>
      </c>
      <c r="DI107" s="129">
        <v>0</v>
      </c>
      <c r="DJ107" s="129">
        <v>-15263</v>
      </c>
      <c r="DK107" s="129">
        <v>0</v>
      </c>
      <c r="DL107" s="129">
        <v>0</v>
      </c>
      <c r="DM107" s="129">
        <v>0</v>
      </c>
      <c r="DN107" s="129">
        <v>-15263</v>
      </c>
      <c r="DO107" s="129">
        <v>0</v>
      </c>
      <c r="DP107" s="129">
        <v>-15263</v>
      </c>
      <c r="DQ107" s="129">
        <v>25167435</v>
      </c>
      <c r="DR107" s="129">
        <v>2850936</v>
      </c>
      <c r="DS107" s="129">
        <v>28018371</v>
      </c>
      <c r="DT107" s="662" t="s">
        <v>82</v>
      </c>
      <c r="DU107" s="324" t="s">
        <v>547</v>
      </c>
      <c r="DV107" s="663" t="s">
        <v>545</v>
      </c>
      <c r="DW107" s="529" t="s">
        <v>1314</v>
      </c>
    </row>
    <row r="108" spans="1:127" ht="12.75" x14ac:dyDescent="0.2">
      <c r="A108" s="664">
        <v>101</v>
      </c>
      <c r="B108" s="665" t="s">
        <v>85</v>
      </c>
      <c r="C108" s="666" t="s">
        <v>1217</v>
      </c>
      <c r="D108" s="667" t="s">
        <v>1283</v>
      </c>
      <c r="E108" s="668" t="s">
        <v>84</v>
      </c>
      <c r="F108" s="753" t="s">
        <v>1886</v>
      </c>
      <c r="G108" s="129">
        <v>213305445</v>
      </c>
      <c r="H108" s="129">
        <v>7086700</v>
      </c>
      <c r="I108" s="129">
        <v>220392145</v>
      </c>
      <c r="J108" s="793">
        <v>49.9</v>
      </c>
      <c r="K108" s="129">
        <v>106439417</v>
      </c>
      <c r="L108" s="129">
        <v>3536263</v>
      </c>
      <c r="M108" s="129">
        <v>19750</v>
      </c>
      <c r="N108" s="129">
        <v>199680</v>
      </c>
      <c r="O108" s="129">
        <v>106459167</v>
      </c>
      <c r="P108" s="129">
        <v>3735943</v>
      </c>
      <c r="Q108" s="129">
        <v>110195110</v>
      </c>
      <c r="R108" s="129">
        <v>-290678</v>
      </c>
      <c r="S108" s="129">
        <v>-7475</v>
      </c>
      <c r="T108" s="129">
        <v>-298153</v>
      </c>
      <c r="U108" s="129">
        <v>748649</v>
      </c>
      <c r="V108" s="129">
        <v>10757</v>
      </c>
      <c r="W108" s="129">
        <v>759406</v>
      </c>
      <c r="X108" s="129">
        <v>457971</v>
      </c>
      <c r="Y108" s="129">
        <v>3282</v>
      </c>
      <c r="Z108" s="129">
        <v>0</v>
      </c>
      <c r="AA108" s="129">
        <v>0</v>
      </c>
      <c r="AB108" s="129">
        <v>457971</v>
      </c>
      <c r="AC108" s="129">
        <v>3282</v>
      </c>
      <c r="AD108" s="129">
        <v>461253</v>
      </c>
      <c r="AE108" s="129">
        <v>-457971</v>
      </c>
      <c r="AF108" s="129">
        <v>-3282</v>
      </c>
      <c r="AG108" s="129">
        <v>-461253</v>
      </c>
      <c r="AH108" s="129">
        <v>-7115962</v>
      </c>
      <c r="AI108" s="129">
        <v>-140851</v>
      </c>
      <c r="AJ108" s="129">
        <v>-7256813</v>
      </c>
      <c r="AK108" s="129">
        <v>0</v>
      </c>
      <c r="AL108" s="129">
        <v>0</v>
      </c>
      <c r="AM108" s="129">
        <v>0</v>
      </c>
      <c r="AN108" s="129">
        <v>2117078</v>
      </c>
      <c r="AO108" s="129">
        <v>71160</v>
      </c>
      <c r="AP108" s="129">
        <v>2188238</v>
      </c>
      <c r="AQ108" s="129">
        <v>-4998884</v>
      </c>
      <c r="AR108" s="129">
        <v>-69691</v>
      </c>
      <c r="AS108" s="129">
        <v>-5068575</v>
      </c>
      <c r="AT108" s="129">
        <v>-3693742</v>
      </c>
      <c r="AU108" s="129">
        <v>-640246</v>
      </c>
      <c r="AV108" s="129">
        <v>-4333988</v>
      </c>
      <c r="AW108" s="129">
        <v>-94879</v>
      </c>
      <c r="AX108" s="129">
        <v>0</v>
      </c>
      <c r="AY108" s="129">
        <v>-94879</v>
      </c>
      <c r="AZ108" s="129">
        <v>0</v>
      </c>
      <c r="BA108" s="129">
        <v>0</v>
      </c>
      <c r="BB108" s="129">
        <v>0</v>
      </c>
      <c r="BC108" s="129">
        <v>0</v>
      </c>
      <c r="BD108" s="129">
        <v>0</v>
      </c>
      <c r="BE108" s="129">
        <v>0</v>
      </c>
      <c r="BF108" s="129">
        <v>-8787505</v>
      </c>
      <c r="BG108" s="129">
        <v>-709937</v>
      </c>
      <c r="BH108" s="129">
        <v>0</v>
      </c>
      <c r="BI108" s="129">
        <v>0</v>
      </c>
      <c r="BJ108" s="129">
        <v>-8787505</v>
      </c>
      <c r="BK108" s="129">
        <v>-709937</v>
      </c>
      <c r="BL108" s="129">
        <v>-9497442</v>
      </c>
      <c r="BM108" s="129">
        <v>0</v>
      </c>
      <c r="BN108" s="129">
        <v>0</v>
      </c>
      <c r="BO108" s="129">
        <v>0</v>
      </c>
      <c r="BP108" s="129">
        <v>-5000000</v>
      </c>
      <c r="BQ108" s="129">
        <v>-18355</v>
      </c>
      <c r="BR108" s="129">
        <v>-5018355</v>
      </c>
      <c r="BS108" s="129">
        <v>-5000000</v>
      </c>
      <c r="BT108" s="129">
        <v>-18355</v>
      </c>
      <c r="BU108" s="129">
        <v>0</v>
      </c>
      <c r="BV108" s="129">
        <v>0</v>
      </c>
      <c r="BW108" s="129">
        <v>-5000000</v>
      </c>
      <c r="BX108" s="129">
        <v>-18355</v>
      </c>
      <c r="BY108" s="129">
        <v>-5018355</v>
      </c>
      <c r="BZ108" s="129">
        <v>-82067</v>
      </c>
      <c r="CA108" s="129">
        <v>-676</v>
      </c>
      <c r="CB108" s="129">
        <v>-82743</v>
      </c>
      <c r="CC108" s="129">
        <v>-6400</v>
      </c>
      <c r="CD108" s="129">
        <v>0</v>
      </c>
      <c r="CE108" s="129">
        <v>-6400</v>
      </c>
      <c r="CF108" s="129">
        <v>-788</v>
      </c>
      <c r="CG108" s="129">
        <v>0</v>
      </c>
      <c r="CH108" s="129">
        <v>-788</v>
      </c>
      <c r="CI108" s="129">
        <v>0</v>
      </c>
      <c r="CJ108" s="129">
        <v>0</v>
      </c>
      <c r="CK108" s="129">
        <v>0</v>
      </c>
      <c r="CL108" s="129">
        <v>0</v>
      </c>
      <c r="CM108" s="129">
        <v>0</v>
      </c>
      <c r="CN108" s="129">
        <v>0</v>
      </c>
      <c r="CO108" s="129">
        <v>0</v>
      </c>
      <c r="CP108" s="129">
        <v>-91964</v>
      </c>
      <c r="CQ108" s="129">
        <v>-91964</v>
      </c>
      <c r="CR108" s="129">
        <v>-91694</v>
      </c>
      <c r="CS108" s="129">
        <v>0</v>
      </c>
      <c r="CT108" s="129">
        <v>-89255</v>
      </c>
      <c r="CU108" s="129">
        <v>-92640</v>
      </c>
      <c r="CV108" s="129">
        <v>0</v>
      </c>
      <c r="CW108" s="129">
        <v>0</v>
      </c>
      <c r="CX108" s="129">
        <v>-89255</v>
      </c>
      <c r="CY108" s="129">
        <v>-92640</v>
      </c>
      <c r="CZ108" s="129">
        <v>-181895</v>
      </c>
      <c r="DA108" s="129">
        <v>-13354</v>
      </c>
      <c r="DB108" s="129">
        <v>0</v>
      </c>
      <c r="DC108" s="129">
        <v>-13354</v>
      </c>
      <c r="DD108" s="129">
        <v>-37107</v>
      </c>
      <c r="DE108" s="129">
        <v>0</v>
      </c>
      <c r="DF108" s="129">
        <v>-37107</v>
      </c>
      <c r="DG108" s="129">
        <v>0</v>
      </c>
      <c r="DH108" s="129">
        <v>0</v>
      </c>
      <c r="DI108" s="129">
        <v>0</v>
      </c>
      <c r="DJ108" s="129">
        <v>-50461</v>
      </c>
      <c r="DK108" s="129">
        <v>0</v>
      </c>
      <c r="DL108" s="129">
        <v>0</v>
      </c>
      <c r="DM108" s="129">
        <v>0</v>
      </c>
      <c r="DN108" s="129">
        <v>-50461</v>
      </c>
      <c r="DO108" s="129">
        <v>0</v>
      </c>
      <c r="DP108" s="129">
        <v>-50461</v>
      </c>
      <c r="DQ108" s="129">
        <v>92989917</v>
      </c>
      <c r="DR108" s="129">
        <v>2918293</v>
      </c>
      <c r="DS108" s="129">
        <v>95908210</v>
      </c>
      <c r="DT108" s="662" t="s">
        <v>84</v>
      </c>
      <c r="DU108" s="324" t="s">
        <v>570</v>
      </c>
      <c r="DV108" s="663" t="s">
        <v>573</v>
      </c>
      <c r="DW108" s="529" t="s">
        <v>1315</v>
      </c>
    </row>
    <row r="109" spans="1:127" ht="12.75" x14ac:dyDescent="0.2">
      <c r="A109" s="664">
        <v>102</v>
      </c>
      <c r="B109" s="665" t="s">
        <v>87</v>
      </c>
      <c r="C109" s="666" t="s">
        <v>1201</v>
      </c>
      <c r="D109" s="667" t="s">
        <v>1206</v>
      </c>
      <c r="E109" s="668" t="s">
        <v>86</v>
      </c>
      <c r="F109" s="753" t="s">
        <v>1873</v>
      </c>
      <c r="G109" s="129">
        <v>58843357</v>
      </c>
      <c r="H109" s="129">
        <v>0</v>
      </c>
      <c r="I109" s="129">
        <v>58843357</v>
      </c>
      <c r="J109" s="793">
        <v>49.9</v>
      </c>
      <c r="K109" s="129">
        <v>29362835</v>
      </c>
      <c r="L109" s="129">
        <v>0</v>
      </c>
      <c r="M109" s="129">
        <v>0</v>
      </c>
      <c r="N109" s="129">
        <v>0</v>
      </c>
      <c r="O109" s="129">
        <v>29362835</v>
      </c>
      <c r="P109" s="129">
        <v>0</v>
      </c>
      <c r="Q109" s="129">
        <v>29362835</v>
      </c>
      <c r="R109" s="129">
        <v>-69925</v>
      </c>
      <c r="S109" s="129">
        <v>0</v>
      </c>
      <c r="T109" s="129">
        <v>-69925</v>
      </c>
      <c r="U109" s="129">
        <v>17997</v>
      </c>
      <c r="V109" s="129">
        <v>0</v>
      </c>
      <c r="W109" s="129">
        <v>17997</v>
      </c>
      <c r="X109" s="129">
        <v>-51928</v>
      </c>
      <c r="Y109" s="129">
        <v>0</v>
      </c>
      <c r="Z109" s="129">
        <v>0</v>
      </c>
      <c r="AA109" s="129">
        <v>0</v>
      </c>
      <c r="AB109" s="129">
        <v>-51928</v>
      </c>
      <c r="AC109" s="129">
        <v>0</v>
      </c>
      <c r="AD109" s="129">
        <v>-51928</v>
      </c>
      <c r="AE109" s="129">
        <v>51928</v>
      </c>
      <c r="AF109" s="129">
        <v>0</v>
      </c>
      <c r="AG109" s="129">
        <v>51928</v>
      </c>
      <c r="AH109" s="129">
        <v>-3135452</v>
      </c>
      <c r="AI109" s="129">
        <v>0</v>
      </c>
      <c r="AJ109" s="129">
        <v>-3135452</v>
      </c>
      <c r="AK109" s="129">
        <v>0</v>
      </c>
      <c r="AL109" s="129">
        <v>0</v>
      </c>
      <c r="AM109" s="129">
        <v>0</v>
      </c>
      <c r="AN109" s="129">
        <v>494417</v>
      </c>
      <c r="AO109" s="129">
        <v>0</v>
      </c>
      <c r="AP109" s="129">
        <v>494417</v>
      </c>
      <c r="AQ109" s="129">
        <v>-2641035</v>
      </c>
      <c r="AR109" s="129">
        <v>0</v>
      </c>
      <c r="AS109" s="129">
        <v>-2641035</v>
      </c>
      <c r="AT109" s="129">
        <v>-1853414</v>
      </c>
      <c r="AU109" s="129">
        <v>0</v>
      </c>
      <c r="AV109" s="129">
        <v>-1853414</v>
      </c>
      <c r="AW109" s="129">
        <v>-48947</v>
      </c>
      <c r="AX109" s="129">
        <v>0</v>
      </c>
      <c r="AY109" s="129">
        <v>-48947</v>
      </c>
      <c r="AZ109" s="129">
        <v>0</v>
      </c>
      <c r="BA109" s="129">
        <v>0</v>
      </c>
      <c r="BB109" s="129">
        <v>0</v>
      </c>
      <c r="BC109" s="129">
        <v>0</v>
      </c>
      <c r="BD109" s="129">
        <v>0</v>
      </c>
      <c r="BE109" s="129">
        <v>0</v>
      </c>
      <c r="BF109" s="129">
        <v>-4543396</v>
      </c>
      <c r="BG109" s="129">
        <v>0</v>
      </c>
      <c r="BH109" s="129">
        <v>0</v>
      </c>
      <c r="BI109" s="129">
        <v>0</v>
      </c>
      <c r="BJ109" s="129">
        <v>-4543396</v>
      </c>
      <c r="BK109" s="129">
        <v>0</v>
      </c>
      <c r="BL109" s="129">
        <v>-4543396</v>
      </c>
      <c r="BM109" s="129">
        <v>0</v>
      </c>
      <c r="BN109" s="129">
        <v>0</v>
      </c>
      <c r="BO109" s="129">
        <v>0</v>
      </c>
      <c r="BP109" s="129">
        <v>-251553</v>
      </c>
      <c r="BQ109" s="129">
        <v>0</v>
      </c>
      <c r="BR109" s="129">
        <v>-251553</v>
      </c>
      <c r="BS109" s="129">
        <v>-251553</v>
      </c>
      <c r="BT109" s="129">
        <v>0</v>
      </c>
      <c r="BU109" s="129">
        <v>0</v>
      </c>
      <c r="BV109" s="129">
        <v>0</v>
      </c>
      <c r="BW109" s="129">
        <v>-251553</v>
      </c>
      <c r="BX109" s="129">
        <v>0</v>
      </c>
      <c r="BY109" s="129">
        <v>-251553</v>
      </c>
      <c r="BZ109" s="129">
        <v>-82839</v>
      </c>
      <c r="CA109" s="129">
        <v>0</v>
      </c>
      <c r="CB109" s="129">
        <v>-82839</v>
      </c>
      <c r="CC109" s="129">
        <v>-52692</v>
      </c>
      <c r="CD109" s="129">
        <v>0</v>
      </c>
      <c r="CE109" s="129">
        <v>-52692</v>
      </c>
      <c r="CF109" s="129">
        <v>-6016</v>
      </c>
      <c r="CG109" s="129">
        <v>0</v>
      </c>
      <c r="CH109" s="129">
        <v>-6016</v>
      </c>
      <c r="CI109" s="129">
        <v>0</v>
      </c>
      <c r="CJ109" s="129">
        <v>0</v>
      </c>
      <c r="CK109" s="129">
        <v>0</v>
      </c>
      <c r="CL109" s="129">
        <v>0</v>
      </c>
      <c r="CM109" s="129">
        <v>0</v>
      </c>
      <c r="CN109" s="129">
        <v>0</v>
      </c>
      <c r="CO109" s="129">
        <v>0</v>
      </c>
      <c r="CP109" s="129">
        <v>0</v>
      </c>
      <c r="CQ109" s="129">
        <v>0</v>
      </c>
      <c r="CR109" s="129">
        <v>0</v>
      </c>
      <c r="CS109" s="129">
        <v>0</v>
      </c>
      <c r="CT109" s="129">
        <v>-141547</v>
      </c>
      <c r="CU109" s="129">
        <v>0</v>
      </c>
      <c r="CV109" s="129">
        <v>0</v>
      </c>
      <c r="CW109" s="129">
        <v>0</v>
      </c>
      <c r="CX109" s="129">
        <v>-141547</v>
      </c>
      <c r="CY109" s="129">
        <v>0</v>
      </c>
      <c r="CZ109" s="129">
        <v>-141547</v>
      </c>
      <c r="DA109" s="129">
        <v>0</v>
      </c>
      <c r="DB109" s="129">
        <v>0</v>
      </c>
      <c r="DC109" s="129">
        <v>0</v>
      </c>
      <c r="DD109" s="129">
        <v>-11754</v>
      </c>
      <c r="DE109" s="129">
        <v>0</v>
      </c>
      <c r="DF109" s="129">
        <v>-11754</v>
      </c>
      <c r="DG109" s="129">
        <v>0</v>
      </c>
      <c r="DH109" s="129">
        <v>0</v>
      </c>
      <c r="DI109" s="129">
        <v>0</v>
      </c>
      <c r="DJ109" s="129">
        <v>-11754</v>
      </c>
      <c r="DK109" s="129">
        <v>0</v>
      </c>
      <c r="DL109" s="129">
        <v>0</v>
      </c>
      <c r="DM109" s="129">
        <v>0</v>
      </c>
      <c r="DN109" s="129">
        <v>-11754</v>
      </c>
      <c r="DO109" s="129">
        <v>0</v>
      </c>
      <c r="DP109" s="129">
        <v>-11754</v>
      </c>
      <c r="DQ109" s="129">
        <v>24362656</v>
      </c>
      <c r="DR109" s="129">
        <v>0</v>
      </c>
      <c r="DS109" s="129">
        <v>24362656</v>
      </c>
      <c r="DT109" s="662" t="s">
        <v>86</v>
      </c>
      <c r="DU109" s="324" t="s">
        <v>559</v>
      </c>
      <c r="DV109" s="663" t="s">
        <v>558</v>
      </c>
      <c r="DW109" s="529" t="s">
        <v>1316</v>
      </c>
    </row>
    <row r="110" spans="1:127" ht="12.75" x14ac:dyDescent="0.2">
      <c r="A110" s="664">
        <v>103</v>
      </c>
      <c r="B110" s="665" t="s">
        <v>89</v>
      </c>
      <c r="C110" s="666" t="s">
        <v>1201</v>
      </c>
      <c r="D110" s="667" t="s">
        <v>1224</v>
      </c>
      <c r="E110" s="668" t="s">
        <v>88</v>
      </c>
      <c r="F110" s="753" t="s">
        <v>1901</v>
      </c>
      <c r="G110" s="129">
        <v>129978521</v>
      </c>
      <c r="H110" s="129">
        <v>0</v>
      </c>
      <c r="I110" s="129">
        <v>129978521</v>
      </c>
      <c r="J110" s="793">
        <v>49.9</v>
      </c>
      <c r="K110" s="129">
        <v>64859282</v>
      </c>
      <c r="L110" s="129">
        <v>0</v>
      </c>
      <c r="M110" s="129">
        <v>0</v>
      </c>
      <c r="N110" s="129">
        <v>0</v>
      </c>
      <c r="O110" s="129">
        <v>64859282</v>
      </c>
      <c r="P110" s="129">
        <v>0</v>
      </c>
      <c r="Q110" s="129">
        <v>64859282</v>
      </c>
      <c r="R110" s="129">
        <v>-52327</v>
      </c>
      <c r="S110" s="129">
        <v>0</v>
      </c>
      <c r="T110" s="129">
        <v>-52327</v>
      </c>
      <c r="U110" s="129">
        <v>383156</v>
      </c>
      <c r="V110" s="129">
        <v>0</v>
      </c>
      <c r="W110" s="129">
        <v>383156</v>
      </c>
      <c r="X110" s="129">
        <v>330829</v>
      </c>
      <c r="Y110" s="129">
        <v>0</v>
      </c>
      <c r="Z110" s="129">
        <v>0</v>
      </c>
      <c r="AA110" s="129">
        <v>0</v>
      </c>
      <c r="AB110" s="129">
        <v>330829</v>
      </c>
      <c r="AC110" s="129">
        <v>0</v>
      </c>
      <c r="AD110" s="129">
        <v>330829</v>
      </c>
      <c r="AE110" s="129">
        <v>-330829</v>
      </c>
      <c r="AF110" s="129">
        <v>0</v>
      </c>
      <c r="AG110" s="129">
        <v>-330829</v>
      </c>
      <c r="AH110" s="129">
        <v>-3331484</v>
      </c>
      <c r="AI110" s="129">
        <v>0</v>
      </c>
      <c r="AJ110" s="129">
        <v>-3331484</v>
      </c>
      <c r="AK110" s="129">
        <v>0</v>
      </c>
      <c r="AL110" s="129">
        <v>0</v>
      </c>
      <c r="AM110" s="129">
        <v>0</v>
      </c>
      <c r="AN110" s="129">
        <v>1285570</v>
      </c>
      <c r="AO110" s="129">
        <v>0</v>
      </c>
      <c r="AP110" s="129">
        <v>1285570</v>
      </c>
      <c r="AQ110" s="129">
        <v>-2045914</v>
      </c>
      <c r="AR110" s="129">
        <v>0</v>
      </c>
      <c r="AS110" s="129">
        <v>-2045914</v>
      </c>
      <c r="AT110" s="129">
        <v>-3844408</v>
      </c>
      <c r="AU110" s="129">
        <v>0</v>
      </c>
      <c r="AV110" s="129">
        <v>-3844408</v>
      </c>
      <c r="AW110" s="129">
        <v>-39834</v>
      </c>
      <c r="AX110" s="129">
        <v>0</v>
      </c>
      <c r="AY110" s="129">
        <v>-39834</v>
      </c>
      <c r="AZ110" s="129">
        <v>0</v>
      </c>
      <c r="BA110" s="129">
        <v>0</v>
      </c>
      <c r="BB110" s="129">
        <v>0</v>
      </c>
      <c r="BC110" s="129">
        <v>0</v>
      </c>
      <c r="BD110" s="129">
        <v>0</v>
      </c>
      <c r="BE110" s="129">
        <v>0</v>
      </c>
      <c r="BF110" s="129">
        <v>-5930156</v>
      </c>
      <c r="BG110" s="129">
        <v>0</v>
      </c>
      <c r="BH110" s="129">
        <v>0</v>
      </c>
      <c r="BI110" s="129">
        <v>0</v>
      </c>
      <c r="BJ110" s="129">
        <v>-5930156</v>
      </c>
      <c r="BK110" s="129">
        <v>0</v>
      </c>
      <c r="BL110" s="129">
        <v>-5930156</v>
      </c>
      <c r="BM110" s="129">
        <v>-185289</v>
      </c>
      <c r="BN110" s="129">
        <v>0</v>
      </c>
      <c r="BO110" s="129">
        <v>-185289</v>
      </c>
      <c r="BP110" s="129">
        <v>-1738944</v>
      </c>
      <c r="BQ110" s="129">
        <v>0</v>
      </c>
      <c r="BR110" s="129">
        <v>-1738944</v>
      </c>
      <c r="BS110" s="129">
        <v>-1924233</v>
      </c>
      <c r="BT110" s="129">
        <v>0</v>
      </c>
      <c r="BU110" s="129">
        <v>0</v>
      </c>
      <c r="BV110" s="129">
        <v>0</v>
      </c>
      <c r="BW110" s="129">
        <v>-1924233</v>
      </c>
      <c r="BX110" s="129">
        <v>0</v>
      </c>
      <c r="BY110" s="129">
        <v>-1924233</v>
      </c>
      <c r="BZ110" s="129">
        <v>0</v>
      </c>
      <c r="CA110" s="129">
        <v>0</v>
      </c>
      <c r="CB110" s="129">
        <v>0</v>
      </c>
      <c r="CC110" s="129">
        <v>-144175</v>
      </c>
      <c r="CD110" s="129">
        <v>0</v>
      </c>
      <c r="CE110" s="129">
        <v>-144175</v>
      </c>
      <c r="CF110" s="129">
        <v>0</v>
      </c>
      <c r="CG110" s="129">
        <v>0</v>
      </c>
      <c r="CH110" s="129">
        <v>0</v>
      </c>
      <c r="CI110" s="129">
        <v>0</v>
      </c>
      <c r="CJ110" s="129">
        <v>0</v>
      </c>
      <c r="CK110" s="129">
        <v>0</v>
      </c>
      <c r="CL110" s="129">
        <v>0</v>
      </c>
      <c r="CM110" s="129">
        <v>0</v>
      </c>
      <c r="CN110" s="129">
        <v>0</v>
      </c>
      <c r="CO110" s="129">
        <v>0</v>
      </c>
      <c r="CP110" s="129">
        <v>0</v>
      </c>
      <c r="CQ110" s="129">
        <v>0</v>
      </c>
      <c r="CR110" s="129">
        <v>0</v>
      </c>
      <c r="CS110" s="129">
        <v>0</v>
      </c>
      <c r="CT110" s="129">
        <v>-144175</v>
      </c>
      <c r="CU110" s="129">
        <v>0</v>
      </c>
      <c r="CV110" s="129">
        <v>0</v>
      </c>
      <c r="CW110" s="129">
        <v>0</v>
      </c>
      <c r="CX110" s="129">
        <v>-144175</v>
      </c>
      <c r="CY110" s="129">
        <v>0</v>
      </c>
      <c r="CZ110" s="129">
        <v>-144175</v>
      </c>
      <c r="DA110" s="129">
        <v>0</v>
      </c>
      <c r="DB110" s="129">
        <v>0</v>
      </c>
      <c r="DC110" s="129">
        <v>0</v>
      </c>
      <c r="DD110" s="129">
        <v>0</v>
      </c>
      <c r="DE110" s="129">
        <v>0</v>
      </c>
      <c r="DF110" s="129">
        <v>0</v>
      </c>
      <c r="DG110" s="129">
        <v>0</v>
      </c>
      <c r="DH110" s="129">
        <v>0</v>
      </c>
      <c r="DI110" s="129">
        <v>0</v>
      </c>
      <c r="DJ110" s="129">
        <v>0</v>
      </c>
      <c r="DK110" s="129">
        <v>0</v>
      </c>
      <c r="DL110" s="129">
        <v>0</v>
      </c>
      <c r="DM110" s="129">
        <v>0</v>
      </c>
      <c r="DN110" s="129">
        <v>0</v>
      </c>
      <c r="DO110" s="129">
        <v>0</v>
      </c>
      <c r="DP110" s="129">
        <v>0</v>
      </c>
      <c r="DQ110" s="129">
        <v>57191547</v>
      </c>
      <c r="DR110" s="129">
        <v>0</v>
      </c>
      <c r="DS110" s="129">
        <v>57191547</v>
      </c>
      <c r="DT110" s="662" t="s">
        <v>88</v>
      </c>
      <c r="DU110" s="324" t="s">
        <v>529</v>
      </c>
      <c r="DV110" s="663" t="s">
        <v>512</v>
      </c>
      <c r="DW110" s="529" t="s">
        <v>1317</v>
      </c>
    </row>
    <row r="111" spans="1:127" ht="12.75" x14ac:dyDescent="0.2">
      <c r="A111" s="664">
        <v>104</v>
      </c>
      <c r="B111" s="665" t="s">
        <v>91</v>
      </c>
      <c r="C111" s="666" t="s">
        <v>1201</v>
      </c>
      <c r="D111" s="667" t="s">
        <v>1202</v>
      </c>
      <c r="E111" s="668" t="s">
        <v>90</v>
      </c>
      <c r="F111" s="753" t="s">
        <v>1882</v>
      </c>
      <c r="G111" s="129">
        <v>41667118</v>
      </c>
      <c r="H111" s="129">
        <v>1990184</v>
      </c>
      <c r="I111" s="129">
        <v>43657302</v>
      </c>
      <c r="J111" s="793">
        <v>49.9</v>
      </c>
      <c r="K111" s="129">
        <v>20791892</v>
      </c>
      <c r="L111" s="129">
        <v>993102</v>
      </c>
      <c r="M111" s="129">
        <v>0</v>
      </c>
      <c r="N111" s="129">
        <v>0</v>
      </c>
      <c r="O111" s="129">
        <v>20791892</v>
      </c>
      <c r="P111" s="129">
        <v>993102</v>
      </c>
      <c r="Q111" s="129">
        <v>21784994</v>
      </c>
      <c r="R111" s="129">
        <v>-19552</v>
      </c>
      <c r="S111" s="129">
        <v>0</v>
      </c>
      <c r="T111" s="129">
        <v>-19552</v>
      </c>
      <c r="U111" s="129">
        <v>84923</v>
      </c>
      <c r="V111" s="129">
        <v>0</v>
      </c>
      <c r="W111" s="129">
        <v>84923</v>
      </c>
      <c r="X111" s="129">
        <v>65371</v>
      </c>
      <c r="Y111" s="129">
        <v>0</v>
      </c>
      <c r="Z111" s="129">
        <v>0</v>
      </c>
      <c r="AA111" s="129">
        <v>0</v>
      </c>
      <c r="AB111" s="129">
        <v>65371</v>
      </c>
      <c r="AC111" s="129">
        <v>0</v>
      </c>
      <c r="AD111" s="129">
        <v>65371</v>
      </c>
      <c r="AE111" s="129">
        <v>-65371</v>
      </c>
      <c r="AF111" s="129">
        <v>0</v>
      </c>
      <c r="AG111" s="129">
        <v>-65371</v>
      </c>
      <c r="AH111" s="129">
        <v>-2286134</v>
      </c>
      <c r="AI111" s="129">
        <v>-111149</v>
      </c>
      <c r="AJ111" s="129">
        <v>-2397283</v>
      </c>
      <c r="AK111" s="129">
        <v>0</v>
      </c>
      <c r="AL111" s="129">
        <v>0</v>
      </c>
      <c r="AM111" s="129">
        <v>0</v>
      </c>
      <c r="AN111" s="129">
        <v>352046</v>
      </c>
      <c r="AO111" s="129">
        <v>10508</v>
      </c>
      <c r="AP111" s="129">
        <v>362554</v>
      </c>
      <c r="AQ111" s="129">
        <v>-1934088</v>
      </c>
      <c r="AR111" s="129">
        <v>-100641</v>
      </c>
      <c r="AS111" s="129">
        <v>-2034729</v>
      </c>
      <c r="AT111" s="129">
        <v>-1410245</v>
      </c>
      <c r="AU111" s="129">
        <v>-21156</v>
      </c>
      <c r="AV111" s="129">
        <v>-1431401</v>
      </c>
      <c r="AW111" s="129">
        <v>-23043</v>
      </c>
      <c r="AX111" s="129">
        <v>0</v>
      </c>
      <c r="AY111" s="129">
        <v>-23043</v>
      </c>
      <c r="AZ111" s="129">
        <v>0</v>
      </c>
      <c r="BA111" s="129">
        <v>0</v>
      </c>
      <c r="BB111" s="129">
        <v>0</v>
      </c>
      <c r="BC111" s="129">
        <v>0</v>
      </c>
      <c r="BD111" s="129">
        <v>0</v>
      </c>
      <c r="BE111" s="129">
        <v>0</v>
      </c>
      <c r="BF111" s="129">
        <v>-3367376</v>
      </c>
      <c r="BG111" s="129">
        <v>-121797</v>
      </c>
      <c r="BH111" s="129">
        <v>0</v>
      </c>
      <c r="BI111" s="129">
        <v>0</v>
      </c>
      <c r="BJ111" s="129">
        <v>-3367376</v>
      </c>
      <c r="BK111" s="129">
        <v>-121797</v>
      </c>
      <c r="BL111" s="129">
        <v>-3489173</v>
      </c>
      <c r="BM111" s="129">
        <v>0</v>
      </c>
      <c r="BN111" s="129">
        <v>0</v>
      </c>
      <c r="BO111" s="129">
        <v>0</v>
      </c>
      <c r="BP111" s="129">
        <v>-125262</v>
      </c>
      <c r="BQ111" s="129">
        <v>-56632</v>
      </c>
      <c r="BR111" s="129">
        <v>-181894</v>
      </c>
      <c r="BS111" s="129">
        <v>-125262</v>
      </c>
      <c r="BT111" s="129">
        <v>-56632</v>
      </c>
      <c r="BU111" s="129">
        <v>0</v>
      </c>
      <c r="BV111" s="129">
        <v>0</v>
      </c>
      <c r="BW111" s="129">
        <v>-125262</v>
      </c>
      <c r="BX111" s="129">
        <v>-56632</v>
      </c>
      <c r="BY111" s="129">
        <v>-181894</v>
      </c>
      <c r="BZ111" s="129">
        <v>-136250</v>
      </c>
      <c r="CA111" s="129">
        <v>-5289</v>
      </c>
      <c r="CB111" s="129">
        <v>-141539</v>
      </c>
      <c r="CC111" s="129">
        <v>-71357</v>
      </c>
      <c r="CD111" s="129">
        <v>0</v>
      </c>
      <c r="CE111" s="129">
        <v>-71357</v>
      </c>
      <c r="CF111" s="129">
        <v>0</v>
      </c>
      <c r="CG111" s="129">
        <v>0</v>
      </c>
      <c r="CH111" s="129">
        <v>0</v>
      </c>
      <c r="CI111" s="129">
        <v>0</v>
      </c>
      <c r="CJ111" s="129">
        <v>0</v>
      </c>
      <c r="CK111" s="129">
        <v>0</v>
      </c>
      <c r="CL111" s="129">
        <v>0</v>
      </c>
      <c r="CM111" s="129">
        <v>0</v>
      </c>
      <c r="CN111" s="129">
        <v>0</v>
      </c>
      <c r="CO111" s="129">
        <v>0</v>
      </c>
      <c r="CP111" s="129">
        <v>-370804</v>
      </c>
      <c r="CQ111" s="129">
        <v>-370804</v>
      </c>
      <c r="CR111" s="129">
        <v>-370804</v>
      </c>
      <c r="CS111" s="129">
        <v>0</v>
      </c>
      <c r="CT111" s="129">
        <v>-207607</v>
      </c>
      <c r="CU111" s="129">
        <v>-376093</v>
      </c>
      <c r="CV111" s="129">
        <v>0</v>
      </c>
      <c r="CW111" s="129">
        <v>0</v>
      </c>
      <c r="CX111" s="129">
        <v>-207607</v>
      </c>
      <c r="CY111" s="129">
        <v>-376093</v>
      </c>
      <c r="CZ111" s="129">
        <v>-583700</v>
      </c>
      <c r="DA111" s="129">
        <v>0</v>
      </c>
      <c r="DB111" s="129">
        <v>0</v>
      </c>
      <c r="DC111" s="129">
        <v>0</v>
      </c>
      <c r="DD111" s="129">
        <v>-3669</v>
      </c>
      <c r="DE111" s="129">
        <v>0</v>
      </c>
      <c r="DF111" s="129">
        <v>-3669</v>
      </c>
      <c r="DG111" s="129">
        <v>0</v>
      </c>
      <c r="DH111" s="129">
        <v>0</v>
      </c>
      <c r="DI111" s="129">
        <v>0</v>
      </c>
      <c r="DJ111" s="129">
        <v>-3669</v>
      </c>
      <c r="DK111" s="129">
        <v>0</v>
      </c>
      <c r="DL111" s="129">
        <v>0</v>
      </c>
      <c r="DM111" s="129">
        <v>0</v>
      </c>
      <c r="DN111" s="129">
        <v>-3669</v>
      </c>
      <c r="DO111" s="129">
        <v>0</v>
      </c>
      <c r="DP111" s="129">
        <v>-3669</v>
      </c>
      <c r="DQ111" s="129">
        <v>17153349</v>
      </c>
      <c r="DR111" s="129">
        <v>438580</v>
      </c>
      <c r="DS111" s="129">
        <v>17591929</v>
      </c>
      <c r="DT111" s="662" t="s">
        <v>90</v>
      </c>
      <c r="DU111" s="324" t="s">
        <v>532</v>
      </c>
      <c r="DV111" s="663" t="s">
        <v>1914</v>
      </c>
      <c r="DW111" s="529" t="s">
        <v>1318</v>
      </c>
    </row>
    <row r="112" spans="1:127" ht="12.75" x14ac:dyDescent="0.2">
      <c r="A112" s="664">
        <v>105</v>
      </c>
      <c r="B112" s="665" t="s">
        <v>93</v>
      </c>
      <c r="C112" s="666" t="s">
        <v>1201</v>
      </c>
      <c r="D112" s="667" t="s">
        <v>1202</v>
      </c>
      <c r="E112" s="668" t="s">
        <v>92</v>
      </c>
      <c r="F112" s="753" t="s">
        <v>1879</v>
      </c>
      <c r="G112" s="129">
        <v>64636262</v>
      </c>
      <c r="H112" s="129">
        <v>0</v>
      </c>
      <c r="I112" s="129">
        <v>64636262</v>
      </c>
      <c r="J112" s="793">
        <v>49.9</v>
      </c>
      <c r="K112" s="129">
        <v>32253495</v>
      </c>
      <c r="L112" s="129">
        <v>0</v>
      </c>
      <c r="M112" s="129">
        <v>0</v>
      </c>
      <c r="N112" s="129">
        <v>375000</v>
      </c>
      <c r="O112" s="129">
        <v>32253495</v>
      </c>
      <c r="P112" s="129">
        <v>375000</v>
      </c>
      <c r="Q112" s="129">
        <v>32628495</v>
      </c>
      <c r="R112" s="129">
        <v>-99040</v>
      </c>
      <c r="S112" s="129">
        <v>0</v>
      </c>
      <c r="T112" s="129">
        <v>-99040</v>
      </c>
      <c r="U112" s="129">
        <v>62365</v>
      </c>
      <c r="V112" s="129">
        <v>0</v>
      </c>
      <c r="W112" s="129">
        <v>62365</v>
      </c>
      <c r="X112" s="129">
        <v>-36675</v>
      </c>
      <c r="Y112" s="129">
        <v>0</v>
      </c>
      <c r="Z112" s="129">
        <v>0</v>
      </c>
      <c r="AA112" s="129">
        <v>0</v>
      </c>
      <c r="AB112" s="129">
        <v>-36675</v>
      </c>
      <c r="AC112" s="129">
        <v>0</v>
      </c>
      <c r="AD112" s="129">
        <v>-36675</v>
      </c>
      <c r="AE112" s="129">
        <v>36675</v>
      </c>
      <c r="AF112" s="129">
        <v>0</v>
      </c>
      <c r="AG112" s="129">
        <v>36675</v>
      </c>
      <c r="AH112" s="129">
        <v>-3089605</v>
      </c>
      <c r="AI112" s="129">
        <v>0</v>
      </c>
      <c r="AJ112" s="129">
        <v>-3089605</v>
      </c>
      <c r="AK112" s="129">
        <v>0</v>
      </c>
      <c r="AL112" s="129">
        <v>0</v>
      </c>
      <c r="AM112" s="129">
        <v>0</v>
      </c>
      <c r="AN112" s="129">
        <v>582691</v>
      </c>
      <c r="AO112" s="129">
        <v>0</v>
      </c>
      <c r="AP112" s="129">
        <v>582691</v>
      </c>
      <c r="AQ112" s="129">
        <v>-2506914</v>
      </c>
      <c r="AR112" s="129">
        <v>0</v>
      </c>
      <c r="AS112" s="129">
        <v>-2506914</v>
      </c>
      <c r="AT112" s="129">
        <v>-2954226</v>
      </c>
      <c r="AU112" s="129">
        <v>0</v>
      </c>
      <c r="AV112" s="129">
        <v>-2954226</v>
      </c>
      <c r="AW112" s="129">
        <v>-44288</v>
      </c>
      <c r="AX112" s="129">
        <v>0</v>
      </c>
      <c r="AY112" s="129">
        <v>-44288</v>
      </c>
      <c r="AZ112" s="129">
        <v>-6182</v>
      </c>
      <c r="BA112" s="129">
        <v>0</v>
      </c>
      <c r="BB112" s="129">
        <v>-6182</v>
      </c>
      <c r="BC112" s="129">
        <v>0</v>
      </c>
      <c r="BD112" s="129">
        <v>0</v>
      </c>
      <c r="BE112" s="129">
        <v>0</v>
      </c>
      <c r="BF112" s="129">
        <v>-5511610</v>
      </c>
      <c r="BG112" s="129">
        <v>0</v>
      </c>
      <c r="BH112" s="129">
        <v>0</v>
      </c>
      <c r="BI112" s="129">
        <v>0</v>
      </c>
      <c r="BJ112" s="129">
        <v>-5511610</v>
      </c>
      <c r="BK112" s="129">
        <v>0</v>
      </c>
      <c r="BL112" s="129">
        <v>-5511610</v>
      </c>
      <c r="BM112" s="129">
        <v>0</v>
      </c>
      <c r="BN112" s="129">
        <v>0</v>
      </c>
      <c r="BO112" s="129">
        <v>0</v>
      </c>
      <c r="BP112" s="129">
        <v>-742226</v>
      </c>
      <c r="BQ112" s="129">
        <v>0</v>
      </c>
      <c r="BR112" s="129">
        <v>-742226</v>
      </c>
      <c r="BS112" s="129">
        <v>-742226</v>
      </c>
      <c r="BT112" s="129">
        <v>0</v>
      </c>
      <c r="BU112" s="129">
        <v>0</v>
      </c>
      <c r="BV112" s="129">
        <v>0</v>
      </c>
      <c r="BW112" s="129">
        <v>-742226</v>
      </c>
      <c r="BX112" s="129">
        <v>0</v>
      </c>
      <c r="BY112" s="129">
        <v>-742226</v>
      </c>
      <c r="BZ112" s="129">
        <v>-129000</v>
      </c>
      <c r="CA112" s="129">
        <v>0</v>
      </c>
      <c r="CB112" s="129">
        <v>-129000</v>
      </c>
      <c r="CC112" s="129">
        <v>0</v>
      </c>
      <c r="CD112" s="129">
        <v>0</v>
      </c>
      <c r="CE112" s="129">
        <v>0</v>
      </c>
      <c r="CF112" s="129">
        <v>0</v>
      </c>
      <c r="CG112" s="129">
        <v>0</v>
      </c>
      <c r="CH112" s="129">
        <v>0</v>
      </c>
      <c r="CI112" s="129">
        <v>0</v>
      </c>
      <c r="CJ112" s="129">
        <v>0</v>
      </c>
      <c r="CK112" s="129">
        <v>0</v>
      </c>
      <c r="CL112" s="129">
        <v>0</v>
      </c>
      <c r="CM112" s="129">
        <v>0</v>
      </c>
      <c r="CN112" s="129">
        <v>0</v>
      </c>
      <c r="CO112" s="129">
        <v>0</v>
      </c>
      <c r="CP112" s="129">
        <v>-41250</v>
      </c>
      <c r="CQ112" s="129">
        <v>-41250</v>
      </c>
      <c r="CR112" s="129">
        <v>-41250</v>
      </c>
      <c r="CS112" s="129">
        <v>0</v>
      </c>
      <c r="CT112" s="129">
        <v>-129000</v>
      </c>
      <c r="CU112" s="129">
        <v>-41250</v>
      </c>
      <c r="CV112" s="129">
        <v>0</v>
      </c>
      <c r="CW112" s="129">
        <v>0</v>
      </c>
      <c r="CX112" s="129">
        <v>-129000</v>
      </c>
      <c r="CY112" s="129">
        <v>-41250</v>
      </c>
      <c r="CZ112" s="129">
        <v>-170250</v>
      </c>
      <c r="DA112" s="129">
        <v>-6182</v>
      </c>
      <c r="DB112" s="129">
        <v>0</v>
      </c>
      <c r="DC112" s="129">
        <v>-6182</v>
      </c>
      <c r="DD112" s="129">
        <v>-16046</v>
      </c>
      <c r="DE112" s="129">
        <v>0</v>
      </c>
      <c r="DF112" s="129">
        <v>-16046</v>
      </c>
      <c r="DG112" s="129">
        <v>-1500</v>
      </c>
      <c r="DH112" s="129">
        <v>0</v>
      </c>
      <c r="DI112" s="129">
        <v>-1500</v>
      </c>
      <c r="DJ112" s="129">
        <v>-23728</v>
      </c>
      <c r="DK112" s="129">
        <v>0</v>
      </c>
      <c r="DL112" s="129">
        <v>0</v>
      </c>
      <c r="DM112" s="129">
        <v>0</v>
      </c>
      <c r="DN112" s="129">
        <v>-23728</v>
      </c>
      <c r="DO112" s="129">
        <v>0</v>
      </c>
      <c r="DP112" s="129">
        <v>-23728</v>
      </c>
      <c r="DQ112" s="129">
        <v>25810256</v>
      </c>
      <c r="DR112" s="129">
        <v>333750</v>
      </c>
      <c r="DS112" s="129">
        <v>26144006</v>
      </c>
      <c r="DT112" s="662" t="s">
        <v>92</v>
      </c>
      <c r="DU112" s="324" t="s">
        <v>543</v>
      </c>
      <c r="DV112" s="663" t="s">
        <v>542</v>
      </c>
      <c r="DW112" s="529" t="s">
        <v>1319</v>
      </c>
    </row>
    <row r="113" spans="1:127" ht="12.75" x14ac:dyDescent="0.2">
      <c r="A113" s="664">
        <v>106</v>
      </c>
      <c r="B113" s="665" t="s">
        <v>95</v>
      </c>
      <c r="C113" s="666" t="s">
        <v>1201</v>
      </c>
      <c r="D113" s="667" t="s">
        <v>1211</v>
      </c>
      <c r="E113" s="668" t="s">
        <v>94</v>
      </c>
      <c r="F113" s="753" t="s">
        <v>1877</v>
      </c>
      <c r="G113" s="129">
        <v>75891955</v>
      </c>
      <c r="H113" s="129">
        <v>3512350</v>
      </c>
      <c r="I113" s="129">
        <v>79404305</v>
      </c>
      <c r="J113" s="793">
        <v>49.9</v>
      </c>
      <c r="K113" s="129">
        <v>37870086</v>
      </c>
      <c r="L113" s="129">
        <v>1752663</v>
      </c>
      <c r="M113" s="129">
        <v>0</v>
      </c>
      <c r="N113" s="129">
        <v>0</v>
      </c>
      <c r="O113" s="129">
        <v>37870086</v>
      </c>
      <c r="P113" s="129">
        <v>1752663</v>
      </c>
      <c r="Q113" s="129">
        <v>39622749</v>
      </c>
      <c r="R113" s="129">
        <v>-102540</v>
      </c>
      <c r="S113" s="129">
        <v>-248</v>
      </c>
      <c r="T113" s="129">
        <v>-102788</v>
      </c>
      <c r="U113" s="129">
        <v>515872</v>
      </c>
      <c r="V113" s="129">
        <v>0</v>
      </c>
      <c r="W113" s="129">
        <v>515872</v>
      </c>
      <c r="X113" s="129">
        <v>413332</v>
      </c>
      <c r="Y113" s="129">
        <v>-248</v>
      </c>
      <c r="Z113" s="129">
        <v>0</v>
      </c>
      <c r="AA113" s="129">
        <v>0</v>
      </c>
      <c r="AB113" s="129">
        <v>413332</v>
      </c>
      <c r="AC113" s="129">
        <v>-248</v>
      </c>
      <c r="AD113" s="129">
        <v>413084</v>
      </c>
      <c r="AE113" s="129">
        <v>-413332</v>
      </c>
      <c r="AF113" s="129">
        <v>248</v>
      </c>
      <c r="AG113" s="129">
        <v>-413084</v>
      </c>
      <c r="AH113" s="129">
        <v>-4286273</v>
      </c>
      <c r="AI113" s="129">
        <v>0</v>
      </c>
      <c r="AJ113" s="129">
        <v>-4286273</v>
      </c>
      <c r="AK113" s="129">
        <v>-8343</v>
      </c>
      <c r="AL113" s="129">
        <v>0</v>
      </c>
      <c r="AM113" s="129">
        <v>-8343</v>
      </c>
      <c r="AN113" s="129">
        <v>622984</v>
      </c>
      <c r="AO113" s="129">
        <v>39621</v>
      </c>
      <c r="AP113" s="129">
        <v>662605</v>
      </c>
      <c r="AQ113" s="129">
        <v>-3663289</v>
      </c>
      <c r="AR113" s="129">
        <v>39621</v>
      </c>
      <c r="AS113" s="129">
        <v>-3623668</v>
      </c>
      <c r="AT113" s="129">
        <v>-2168926</v>
      </c>
      <c r="AU113" s="129">
        <v>-20685</v>
      </c>
      <c r="AV113" s="129">
        <v>-2189611</v>
      </c>
      <c r="AW113" s="129">
        <v>0</v>
      </c>
      <c r="AX113" s="129">
        <v>0</v>
      </c>
      <c r="AY113" s="129">
        <v>0</v>
      </c>
      <c r="AZ113" s="129">
        <v>-699</v>
      </c>
      <c r="BA113" s="129">
        <v>0</v>
      </c>
      <c r="BB113" s="129">
        <v>-699</v>
      </c>
      <c r="BC113" s="129">
        <v>0</v>
      </c>
      <c r="BD113" s="129">
        <v>0</v>
      </c>
      <c r="BE113" s="129">
        <v>0</v>
      </c>
      <c r="BF113" s="129">
        <v>-5832914</v>
      </c>
      <c r="BG113" s="129">
        <v>18936</v>
      </c>
      <c r="BH113" s="129">
        <v>0</v>
      </c>
      <c r="BI113" s="129">
        <v>0</v>
      </c>
      <c r="BJ113" s="129">
        <v>-5832914</v>
      </c>
      <c r="BK113" s="129">
        <v>18936</v>
      </c>
      <c r="BL113" s="129">
        <v>-5813978</v>
      </c>
      <c r="BM113" s="129">
        <v>0</v>
      </c>
      <c r="BN113" s="129">
        <v>0</v>
      </c>
      <c r="BO113" s="129">
        <v>0</v>
      </c>
      <c r="BP113" s="129">
        <v>-818178</v>
      </c>
      <c r="BQ113" s="129">
        <v>-1024</v>
      </c>
      <c r="BR113" s="129">
        <v>-819202</v>
      </c>
      <c r="BS113" s="129">
        <v>-818178</v>
      </c>
      <c r="BT113" s="129">
        <v>-1024</v>
      </c>
      <c r="BU113" s="129">
        <v>-560843</v>
      </c>
      <c r="BV113" s="129">
        <v>-67328</v>
      </c>
      <c r="BW113" s="129">
        <v>-1379021</v>
      </c>
      <c r="BX113" s="129">
        <v>-68352</v>
      </c>
      <c r="BY113" s="129">
        <v>-1447373</v>
      </c>
      <c r="BZ113" s="129">
        <v>-79799</v>
      </c>
      <c r="CA113" s="129">
        <v>-5171</v>
      </c>
      <c r="CB113" s="129">
        <v>-84970</v>
      </c>
      <c r="CC113" s="129">
        <v>-40906</v>
      </c>
      <c r="CD113" s="129">
        <v>0</v>
      </c>
      <c r="CE113" s="129">
        <v>-40906</v>
      </c>
      <c r="CF113" s="129">
        <v>0</v>
      </c>
      <c r="CG113" s="129">
        <v>0</v>
      </c>
      <c r="CH113" s="129">
        <v>0</v>
      </c>
      <c r="CI113" s="129">
        <v>0</v>
      </c>
      <c r="CJ113" s="129">
        <v>0</v>
      </c>
      <c r="CK113" s="129">
        <v>0</v>
      </c>
      <c r="CL113" s="129">
        <v>0</v>
      </c>
      <c r="CM113" s="129">
        <v>0</v>
      </c>
      <c r="CN113" s="129">
        <v>0</v>
      </c>
      <c r="CO113" s="129">
        <v>0</v>
      </c>
      <c r="CP113" s="129">
        <v>-279800</v>
      </c>
      <c r="CQ113" s="129">
        <v>-279800</v>
      </c>
      <c r="CR113" s="129">
        <v>-279800</v>
      </c>
      <c r="CS113" s="129">
        <v>0</v>
      </c>
      <c r="CT113" s="129">
        <v>-120705</v>
      </c>
      <c r="CU113" s="129">
        <v>-284971</v>
      </c>
      <c r="CV113" s="129">
        <v>0</v>
      </c>
      <c r="CW113" s="129">
        <v>0</v>
      </c>
      <c r="CX113" s="129">
        <v>-120705</v>
      </c>
      <c r="CY113" s="129">
        <v>-284971</v>
      </c>
      <c r="CZ113" s="129">
        <v>-405676</v>
      </c>
      <c r="DA113" s="129">
        <v>-699</v>
      </c>
      <c r="DB113" s="129">
        <v>0</v>
      </c>
      <c r="DC113" s="129">
        <v>-699</v>
      </c>
      <c r="DD113" s="129">
        <v>-11537</v>
      </c>
      <c r="DE113" s="129">
        <v>0</v>
      </c>
      <c r="DF113" s="129">
        <v>-11537</v>
      </c>
      <c r="DG113" s="129">
        <v>0</v>
      </c>
      <c r="DH113" s="129">
        <v>0</v>
      </c>
      <c r="DI113" s="129">
        <v>0</v>
      </c>
      <c r="DJ113" s="129">
        <v>-12236</v>
      </c>
      <c r="DK113" s="129">
        <v>0</v>
      </c>
      <c r="DL113" s="129">
        <v>0</v>
      </c>
      <c r="DM113" s="129">
        <v>0</v>
      </c>
      <c r="DN113" s="129">
        <v>-12236</v>
      </c>
      <c r="DO113" s="129">
        <v>0</v>
      </c>
      <c r="DP113" s="129">
        <v>-12236</v>
      </c>
      <c r="DQ113" s="129">
        <v>30938542</v>
      </c>
      <c r="DR113" s="129">
        <v>1418028</v>
      </c>
      <c r="DS113" s="129">
        <v>32356570</v>
      </c>
      <c r="DT113" s="662" t="s">
        <v>94</v>
      </c>
      <c r="DU113" s="324" t="s">
        <v>553</v>
      </c>
      <c r="DV113" s="663" t="s">
        <v>512</v>
      </c>
      <c r="DW113" s="529" t="s">
        <v>1320</v>
      </c>
    </row>
    <row r="114" spans="1:127" ht="12.75" x14ac:dyDescent="0.2">
      <c r="A114" s="664">
        <v>107</v>
      </c>
      <c r="B114" s="665" t="s">
        <v>97</v>
      </c>
      <c r="C114" s="666" t="s">
        <v>1257</v>
      </c>
      <c r="D114" s="667" t="s">
        <v>1214</v>
      </c>
      <c r="E114" s="668" t="s">
        <v>96</v>
      </c>
      <c r="F114" s="753" t="s">
        <v>1875</v>
      </c>
      <c r="G114" s="129">
        <v>246597331</v>
      </c>
      <c r="H114" s="129">
        <v>0</v>
      </c>
      <c r="I114" s="129">
        <v>246597331</v>
      </c>
      <c r="J114" s="793">
        <v>49.9</v>
      </c>
      <c r="K114" s="129">
        <v>123052068</v>
      </c>
      <c r="L114" s="129">
        <v>0</v>
      </c>
      <c r="M114" s="129">
        <v>0</v>
      </c>
      <c r="N114" s="129">
        <v>0</v>
      </c>
      <c r="O114" s="129">
        <v>123052068</v>
      </c>
      <c r="P114" s="129">
        <v>0</v>
      </c>
      <c r="Q114" s="129">
        <v>123052068</v>
      </c>
      <c r="R114" s="129">
        <v>-177511</v>
      </c>
      <c r="S114" s="129">
        <v>0</v>
      </c>
      <c r="T114" s="129">
        <v>-177511</v>
      </c>
      <c r="U114" s="129">
        <v>155451</v>
      </c>
      <c r="V114" s="129">
        <v>0</v>
      </c>
      <c r="W114" s="129">
        <v>155451</v>
      </c>
      <c r="X114" s="129">
        <v>-22060</v>
      </c>
      <c r="Y114" s="129">
        <v>0</v>
      </c>
      <c r="Z114" s="129">
        <v>0</v>
      </c>
      <c r="AA114" s="129">
        <v>0</v>
      </c>
      <c r="AB114" s="129">
        <v>-22060</v>
      </c>
      <c r="AC114" s="129">
        <v>0</v>
      </c>
      <c r="AD114" s="129">
        <v>-22060</v>
      </c>
      <c r="AE114" s="129">
        <v>22060</v>
      </c>
      <c r="AF114" s="129">
        <v>0</v>
      </c>
      <c r="AG114" s="129">
        <v>22060</v>
      </c>
      <c r="AH114" s="129">
        <v>-6021921</v>
      </c>
      <c r="AI114" s="129">
        <v>0</v>
      </c>
      <c r="AJ114" s="129">
        <v>-6021921</v>
      </c>
      <c r="AK114" s="129">
        <v>0</v>
      </c>
      <c r="AL114" s="129">
        <v>0</v>
      </c>
      <c r="AM114" s="129">
        <v>0</v>
      </c>
      <c r="AN114" s="129">
        <v>2579638</v>
      </c>
      <c r="AO114" s="129">
        <v>0</v>
      </c>
      <c r="AP114" s="129">
        <v>2579638</v>
      </c>
      <c r="AQ114" s="129">
        <v>-3442283</v>
      </c>
      <c r="AR114" s="129">
        <v>0</v>
      </c>
      <c r="AS114" s="129">
        <v>-3442283</v>
      </c>
      <c r="AT114" s="129">
        <v>-12064895</v>
      </c>
      <c r="AU114" s="129">
        <v>0</v>
      </c>
      <c r="AV114" s="129">
        <v>-12064895</v>
      </c>
      <c r="AW114" s="129">
        <v>-125010</v>
      </c>
      <c r="AX114" s="129">
        <v>0</v>
      </c>
      <c r="AY114" s="129">
        <v>-125010</v>
      </c>
      <c r="AZ114" s="129">
        <v>0</v>
      </c>
      <c r="BA114" s="129">
        <v>0</v>
      </c>
      <c r="BB114" s="129">
        <v>0</v>
      </c>
      <c r="BC114" s="129">
        <v>0</v>
      </c>
      <c r="BD114" s="129">
        <v>0</v>
      </c>
      <c r="BE114" s="129">
        <v>0</v>
      </c>
      <c r="BF114" s="129">
        <v>-15632188</v>
      </c>
      <c r="BG114" s="129">
        <v>0</v>
      </c>
      <c r="BH114" s="129">
        <v>0</v>
      </c>
      <c r="BI114" s="129">
        <v>0</v>
      </c>
      <c r="BJ114" s="129">
        <v>-15632188</v>
      </c>
      <c r="BK114" s="129">
        <v>0</v>
      </c>
      <c r="BL114" s="129">
        <v>-15632188</v>
      </c>
      <c r="BM114" s="129">
        <v>-3112</v>
      </c>
      <c r="BN114" s="129">
        <v>0</v>
      </c>
      <c r="BO114" s="129">
        <v>-3112</v>
      </c>
      <c r="BP114" s="129">
        <v>-3910341</v>
      </c>
      <c r="BQ114" s="129">
        <v>0</v>
      </c>
      <c r="BR114" s="129">
        <v>-3910341</v>
      </c>
      <c r="BS114" s="129">
        <v>-3913453</v>
      </c>
      <c r="BT114" s="129">
        <v>0</v>
      </c>
      <c r="BU114" s="129">
        <v>0</v>
      </c>
      <c r="BV114" s="129">
        <v>0</v>
      </c>
      <c r="BW114" s="129">
        <v>-3913453</v>
      </c>
      <c r="BX114" s="129">
        <v>0</v>
      </c>
      <c r="BY114" s="129">
        <v>-3913453</v>
      </c>
      <c r="BZ114" s="129">
        <v>-665986</v>
      </c>
      <c r="CA114" s="129">
        <v>0</v>
      </c>
      <c r="CB114" s="129">
        <v>-665986</v>
      </c>
      <c r="CC114" s="129">
        <v>-29902</v>
      </c>
      <c r="CD114" s="129">
        <v>0</v>
      </c>
      <c r="CE114" s="129">
        <v>-29902</v>
      </c>
      <c r="CF114" s="129">
        <v>0</v>
      </c>
      <c r="CG114" s="129">
        <v>0</v>
      </c>
      <c r="CH114" s="129">
        <v>0</v>
      </c>
      <c r="CI114" s="129">
        <v>0</v>
      </c>
      <c r="CJ114" s="129">
        <v>0</v>
      </c>
      <c r="CK114" s="129">
        <v>0</v>
      </c>
      <c r="CL114" s="129">
        <v>0</v>
      </c>
      <c r="CM114" s="129">
        <v>0</v>
      </c>
      <c r="CN114" s="129">
        <v>0</v>
      </c>
      <c r="CO114" s="129">
        <v>0</v>
      </c>
      <c r="CP114" s="129">
        <v>0</v>
      </c>
      <c r="CQ114" s="129">
        <v>0</v>
      </c>
      <c r="CR114" s="129">
        <v>0</v>
      </c>
      <c r="CS114" s="129">
        <v>0</v>
      </c>
      <c r="CT114" s="129">
        <v>-695888</v>
      </c>
      <c r="CU114" s="129">
        <v>0</v>
      </c>
      <c r="CV114" s="129">
        <v>0</v>
      </c>
      <c r="CW114" s="129">
        <v>0</v>
      </c>
      <c r="CX114" s="129">
        <v>-695888</v>
      </c>
      <c r="CY114" s="129">
        <v>0</v>
      </c>
      <c r="CZ114" s="129">
        <v>-695888</v>
      </c>
      <c r="DA114" s="129">
        <v>0</v>
      </c>
      <c r="DB114" s="129">
        <v>0</v>
      </c>
      <c r="DC114" s="129">
        <v>0</v>
      </c>
      <c r="DD114" s="129">
        <v>0</v>
      </c>
      <c r="DE114" s="129">
        <v>0</v>
      </c>
      <c r="DF114" s="129">
        <v>0</v>
      </c>
      <c r="DG114" s="129">
        <v>0</v>
      </c>
      <c r="DH114" s="129">
        <v>0</v>
      </c>
      <c r="DI114" s="129">
        <v>0</v>
      </c>
      <c r="DJ114" s="129">
        <v>0</v>
      </c>
      <c r="DK114" s="129">
        <v>0</v>
      </c>
      <c r="DL114" s="129">
        <v>0</v>
      </c>
      <c r="DM114" s="129">
        <v>0</v>
      </c>
      <c r="DN114" s="129">
        <v>0</v>
      </c>
      <c r="DO114" s="129">
        <v>0</v>
      </c>
      <c r="DP114" s="129">
        <v>0</v>
      </c>
      <c r="DQ114" s="129">
        <v>102788479</v>
      </c>
      <c r="DR114" s="129">
        <v>0</v>
      </c>
      <c r="DS114" s="129">
        <v>102788479</v>
      </c>
      <c r="DT114" s="662" t="s">
        <v>96</v>
      </c>
      <c r="DU114" s="324" t="s">
        <v>576</v>
      </c>
      <c r="DV114" s="669" t="s">
        <v>485</v>
      </c>
      <c r="DW114" s="529" t="s">
        <v>1321</v>
      </c>
    </row>
    <row r="115" spans="1:127" ht="12.75" x14ac:dyDescent="0.2">
      <c r="A115" s="664">
        <v>108</v>
      </c>
      <c r="B115" s="665" t="s">
        <v>99</v>
      </c>
      <c r="C115" s="666" t="s">
        <v>1201</v>
      </c>
      <c r="D115" s="667" t="s">
        <v>1202</v>
      </c>
      <c r="E115" s="668" t="s">
        <v>98</v>
      </c>
      <c r="F115" s="753" t="s">
        <v>1879</v>
      </c>
      <c r="G115" s="129">
        <v>217466225</v>
      </c>
      <c r="H115" s="129">
        <v>0</v>
      </c>
      <c r="I115" s="129">
        <v>217466225</v>
      </c>
      <c r="J115" s="793">
        <v>49.9</v>
      </c>
      <c r="K115" s="129">
        <v>108515646</v>
      </c>
      <c r="L115" s="129">
        <v>0</v>
      </c>
      <c r="M115" s="129">
        <v>-1500000</v>
      </c>
      <c r="N115" s="129">
        <v>0</v>
      </c>
      <c r="O115" s="129">
        <v>107015646</v>
      </c>
      <c r="P115" s="129">
        <v>0</v>
      </c>
      <c r="Q115" s="129">
        <v>107015646</v>
      </c>
      <c r="R115" s="129">
        <v>-198055</v>
      </c>
      <c r="S115" s="129">
        <v>0</v>
      </c>
      <c r="T115" s="129">
        <v>-198055</v>
      </c>
      <c r="U115" s="129">
        <v>132191</v>
      </c>
      <c r="V115" s="129">
        <v>0</v>
      </c>
      <c r="W115" s="129">
        <v>132191</v>
      </c>
      <c r="X115" s="129">
        <v>-65864</v>
      </c>
      <c r="Y115" s="129">
        <v>0</v>
      </c>
      <c r="Z115" s="129">
        <v>0</v>
      </c>
      <c r="AA115" s="129">
        <v>0</v>
      </c>
      <c r="AB115" s="129">
        <v>-65864</v>
      </c>
      <c r="AC115" s="129">
        <v>0</v>
      </c>
      <c r="AD115" s="129">
        <v>-65864</v>
      </c>
      <c r="AE115" s="129">
        <v>65864</v>
      </c>
      <c r="AF115" s="129">
        <v>0</v>
      </c>
      <c r="AG115" s="129">
        <v>65864</v>
      </c>
      <c r="AH115" s="129">
        <v>-3567283</v>
      </c>
      <c r="AI115" s="129">
        <v>0</v>
      </c>
      <c r="AJ115" s="129">
        <v>-3567283</v>
      </c>
      <c r="AK115" s="129">
        <v>-2329</v>
      </c>
      <c r="AL115" s="129">
        <v>0</v>
      </c>
      <c r="AM115" s="129">
        <v>-2329</v>
      </c>
      <c r="AN115" s="129">
        <v>2339302</v>
      </c>
      <c r="AO115" s="129">
        <v>0</v>
      </c>
      <c r="AP115" s="129">
        <v>2339302</v>
      </c>
      <c r="AQ115" s="129">
        <v>-1227981</v>
      </c>
      <c r="AR115" s="129">
        <v>0</v>
      </c>
      <c r="AS115" s="129">
        <v>-1227981</v>
      </c>
      <c r="AT115" s="129">
        <v>-11231809</v>
      </c>
      <c r="AU115" s="129">
        <v>0</v>
      </c>
      <c r="AV115" s="129">
        <v>-11231809</v>
      </c>
      <c r="AW115" s="129">
        <v>-37509</v>
      </c>
      <c r="AX115" s="129">
        <v>0</v>
      </c>
      <c r="AY115" s="129">
        <v>-37509</v>
      </c>
      <c r="AZ115" s="129">
        <v>-13549</v>
      </c>
      <c r="BA115" s="129">
        <v>0</v>
      </c>
      <c r="BB115" s="129">
        <v>-13549</v>
      </c>
      <c r="BC115" s="129">
        <v>0</v>
      </c>
      <c r="BD115" s="129">
        <v>0</v>
      </c>
      <c r="BE115" s="129">
        <v>0</v>
      </c>
      <c r="BF115" s="129">
        <v>-12510848</v>
      </c>
      <c r="BG115" s="129">
        <v>0</v>
      </c>
      <c r="BH115" s="129">
        <v>-590659</v>
      </c>
      <c r="BI115" s="129">
        <v>0</v>
      </c>
      <c r="BJ115" s="129">
        <v>-13101507</v>
      </c>
      <c r="BK115" s="129">
        <v>0</v>
      </c>
      <c r="BL115" s="129">
        <v>-13101507</v>
      </c>
      <c r="BM115" s="129">
        <v>0</v>
      </c>
      <c r="BN115" s="129">
        <v>0</v>
      </c>
      <c r="BO115" s="129">
        <v>0</v>
      </c>
      <c r="BP115" s="129">
        <v>-2772601</v>
      </c>
      <c r="BQ115" s="129">
        <v>0</v>
      </c>
      <c r="BR115" s="129">
        <v>-2772601</v>
      </c>
      <c r="BS115" s="129">
        <v>-2772601</v>
      </c>
      <c r="BT115" s="129">
        <v>0</v>
      </c>
      <c r="BU115" s="129">
        <v>-2744875</v>
      </c>
      <c r="BV115" s="129">
        <v>0</v>
      </c>
      <c r="BW115" s="129">
        <v>-5517476</v>
      </c>
      <c r="BX115" s="129">
        <v>0</v>
      </c>
      <c r="BY115" s="129">
        <v>-5517476</v>
      </c>
      <c r="BZ115" s="129">
        <v>-170171</v>
      </c>
      <c r="CA115" s="129">
        <v>0</v>
      </c>
      <c r="CB115" s="129">
        <v>-170171</v>
      </c>
      <c r="CC115" s="129">
        <v>-4252</v>
      </c>
      <c r="CD115" s="129">
        <v>0</v>
      </c>
      <c r="CE115" s="129">
        <v>-4252</v>
      </c>
      <c r="CF115" s="129">
        <v>0</v>
      </c>
      <c r="CG115" s="129">
        <v>0</v>
      </c>
      <c r="CH115" s="129">
        <v>0</v>
      </c>
      <c r="CI115" s="129">
        <v>0</v>
      </c>
      <c r="CJ115" s="129">
        <v>0</v>
      </c>
      <c r="CK115" s="129">
        <v>0</v>
      </c>
      <c r="CL115" s="129">
        <v>-19586</v>
      </c>
      <c r="CM115" s="129">
        <v>0</v>
      </c>
      <c r="CN115" s="129">
        <v>-19586</v>
      </c>
      <c r="CO115" s="129">
        <v>0</v>
      </c>
      <c r="CP115" s="129">
        <v>0</v>
      </c>
      <c r="CQ115" s="129">
        <v>0</v>
      </c>
      <c r="CR115" s="129">
        <v>0</v>
      </c>
      <c r="CS115" s="129">
        <v>0</v>
      </c>
      <c r="CT115" s="129">
        <v>-194009</v>
      </c>
      <c r="CU115" s="129">
        <v>0</v>
      </c>
      <c r="CV115" s="129">
        <v>0</v>
      </c>
      <c r="CW115" s="129">
        <v>0</v>
      </c>
      <c r="CX115" s="129">
        <v>-194009</v>
      </c>
      <c r="CY115" s="129">
        <v>0</v>
      </c>
      <c r="CZ115" s="129">
        <v>-194009</v>
      </c>
      <c r="DA115" s="129">
        <v>-13549</v>
      </c>
      <c r="DB115" s="129">
        <v>0</v>
      </c>
      <c r="DC115" s="129">
        <v>-13549</v>
      </c>
      <c r="DD115" s="129">
        <v>-17160</v>
      </c>
      <c r="DE115" s="129">
        <v>0</v>
      </c>
      <c r="DF115" s="129">
        <v>-17160</v>
      </c>
      <c r="DG115" s="129">
        <v>0</v>
      </c>
      <c r="DH115" s="129">
        <v>0</v>
      </c>
      <c r="DI115" s="129">
        <v>0</v>
      </c>
      <c r="DJ115" s="129">
        <v>-30709</v>
      </c>
      <c r="DK115" s="129">
        <v>0</v>
      </c>
      <c r="DL115" s="129">
        <v>0</v>
      </c>
      <c r="DM115" s="129">
        <v>0</v>
      </c>
      <c r="DN115" s="129">
        <v>-30709</v>
      </c>
      <c r="DO115" s="129">
        <v>0</v>
      </c>
      <c r="DP115" s="129">
        <v>-30709</v>
      </c>
      <c r="DQ115" s="129">
        <v>88106081</v>
      </c>
      <c r="DR115" s="129">
        <v>0</v>
      </c>
      <c r="DS115" s="129">
        <v>88106081</v>
      </c>
      <c r="DT115" s="662" t="s">
        <v>98</v>
      </c>
      <c r="DU115" s="324" t="s">
        <v>566</v>
      </c>
      <c r="DV115" s="663" t="s">
        <v>512</v>
      </c>
      <c r="DW115" s="529" t="s">
        <v>1322</v>
      </c>
    </row>
    <row r="116" spans="1:127" ht="12.75" x14ac:dyDescent="0.2">
      <c r="A116" s="664">
        <v>109</v>
      </c>
      <c r="B116" s="665" t="s">
        <v>101</v>
      </c>
      <c r="C116" s="666" t="s">
        <v>1257</v>
      </c>
      <c r="D116" s="667" t="s">
        <v>1214</v>
      </c>
      <c r="E116" s="668" t="s">
        <v>100</v>
      </c>
      <c r="F116" s="753" t="s">
        <v>1879</v>
      </c>
      <c r="G116" s="129">
        <v>400194161</v>
      </c>
      <c r="H116" s="129">
        <v>0</v>
      </c>
      <c r="I116" s="129">
        <v>400194161</v>
      </c>
      <c r="J116" s="793">
        <v>49.9</v>
      </c>
      <c r="K116" s="129">
        <v>199696886</v>
      </c>
      <c r="L116" s="129">
        <v>0</v>
      </c>
      <c r="M116" s="129">
        <v>-12000000</v>
      </c>
      <c r="N116" s="129">
        <v>0</v>
      </c>
      <c r="O116" s="129">
        <v>187696886</v>
      </c>
      <c r="P116" s="129">
        <v>0</v>
      </c>
      <c r="Q116" s="129">
        <v>187696886</v>
      </c>
      <c r="R116" s="129">
        <v>-4698000</v>
      </c>
      <c r="S116" s="129">
        <v>0</v>
      </c>
      <c r="T116" s="129">
        <v>-4698000</v>
      </c>
      <c r="U116" s="129">
        <v>355000</v>
      </c>
      <c r="V116" s="129">
        <v>0</v>
      </c>
      <c r="W116" s="129">
        <v>355000</v>
      </c>
      <c r="X116" s="129">
        <v>-4343000</v>
      </c>
      <c r="Y116" s="129">
        <v>0</v>
      </c>
      <c r="Z116" s="129">
        <v>0</v>
      </c>
      <c r="AA116" s="129">
        <v>0</v>
      </c>
      <c r="AB116" s="129">
        <v>-4343000</v>
      </c>
      <c r="AC116" s="129">
        <v>0</v>
      </c>
      <c r="AD116" s="129">
        <v>-4343000</v>
      </c>
      <c r="AE116" s="129">
        <v>4343000</v>
      </c>
      <c r="AF116" s="129">
        <v>0</v>
      </c>
      <c r="AG116" s="129">
        <v>4343000</v>
      </c>
      <c r="AH116" s="129">
        <v>-10619000</v>
      </c>
      <c r="AI116" s="129">
        <v>0</v>
      </c>
      <c r="AJ116" s="129">
        <v>-10619000</v>
      </c>
      <c r="AK116" s="129">
        <v>0</v>
      </c>
      <c r="AL116" s="129">
        <v>0</v>
      </c>
      <c r="AM116" s="129">
        <v>0</v>
      </c>
      <c r="AN116" s="129">
        <v>3540000</v>
      </c>
      <c r="AO116" s="129">
        <v>0</v>
      </c>
      <c r="AP116" s="129">
        <v>3540000</v>
      </c>
      <c r="AQ116" s="129">
        <v>-7079000</v>
      </c>
      <c r="AR116" s="129">
        <v>0</v>
      </c>
      <c r="AS116" s="129">
        <v>-7079000</v>
      </c>
      <c r="AT116" s="129">
        <v>-15414000</v>
      </c>
      <c r="AU116" s="129">
        <v>0</v>
      </c>
      <c r="AV116" s="129">
        <v>-15414000</v>
      </c>
      <c r="AW116" s="129">
        <v>0</v>
      </c>
      <c r="AX116" s="129">
        <v>0</v>
      </c>
      <c r="AY116" s="129">
        <v>0</v>
      </c>
      <c r="AZ116" s="129">
        <v>0</v>
      </c>
      <c r="BA116" s="129">
        <v>0</v>
      </c>
      <c r="BB116" s="129">
        <v>0</v>
      </c>
      <c r="BC116" s="129">
        <v>0</v>
      </c>
      <c r="BD116" s="129">
        <v>0</v>
      </c>
      <c r="BE116" s="129">
        <v>0</v>
      </c>
      <c r="BF116" s="129">
        <v>-22493000</v>
      </c>
      <c r="BG116" s="129">
        <v>0</v>
      </c>
      <c r="BH116" s="129">
        <v>0</v>
      </c>
      <c r="BI116" s="129">
        <v>0</v>
      </c>
      <c r="BJ116" s="129">
        <v>-22493000</v>
      </c>
      <c r="BK116" s="129">
        <v>0</v>
      </c>
      <c r="BL116" s="129">
        <v>-22493000</v>
      </c>
      <c r="BM116" s="129">
        <v>0</v>
      </c>
      <c r="BN116" s="129">
        <v>0</v>
      </c>
      <c r="BO116" s="129">
        <v>0</v>
      </c>
      <c r="BP116" s="129">
        <v>-2730000</v>
      </c>
      <c r="BQ116" s="129">
        <v>0</v>
      </c>
      <c r="BR116" s="129">
        <v>-2730000</v>
      </c>
      <c r="BS116" s="129">
        <v>-2730000</v>
      </c>
      <c r="BT116" s="129">
        <v>0</v>
      </c>
      <c r="BU116" s="129">
        <v>0</v>
      </c>
      <c r="BV116" s="129">
        <v>0</v>
      </c>
      <c r="BW116" s="129">
        <v>-2730000</v>
      </c>
      <c r="BX116" s="129">
        <v>0</v>
      </c>
      <c r="BY116" s="129">
        <v>-2730000</v>
      </c>
      <c r="BZ116" s="129">
        <v>-461000</v>
      </c>
      <c r="CA116" s="129">
        <v>0</v>
      </c>
      <c r="CB116" s="129">
        <v>-461000</v>
      </c>
      <c r="CC116" s="129">
        <v>-29000</v>
      </c>
      <c r="CD116" s="129">
        <v>0</v>
      </c>
      <c r="CE116" s="129">
        <v>-29000</v>
      </c>
      <c r="CF116" s="129">
        <v>0</v>
      </c>
      <c r="CG116" s="129">
        <v>0</v>
      </c>
      <c r="CH116" s="129">
        <v>0</v>
      </c>
      <c r="CI116" s="129">
        <v>0</v>
      </c>
      <c r="CJ116" s="129">
        <v>0</v>
      </c>
      <c r="CK116" s="129">
        <v>0</v>
      </c>
      <c r="CL116" s="129">
        <v>0</v>
      </c>
      <c r="CM116" s="129">
        <v>0</v>
      </c>
      <c r="CN116" s="129">
        <v>0</v>
      </c>
      <c r="CO116" s="129">
        <v>0</v>
      </c>
      <c r="CP116" s="129">
        <v>0</v>
      </c>
      <c r="CQ116" s="129">
        <v>0</v>
      </c>
      <c r="CR116" s="129">
        <v>0</v>
      </c>
      <c r="CS116" s="129">
        <v>0</v>
      </c>
      <c r="CT116" s="129">
        <v>-490000</v>
      </c>
      <c r="CU116" s="129">
        <v>0</v>
      </c>
      <c r="CV116" s="129">
        <v>0</v>
      </c>
      <c r="CW116" s="129">
        <v>0</v>
      </c>
      <c r="CX116" s="129">
        <v>-490000</v>
      </c>
      <c r="CY116" s="129">
        <v>0</v>
      </c>
      <c r="CZ116" s="129">
        <v>-490000</v>
      </c>
      <c r="DA116" s="129">
        <v>0</v>
      </c>
      <c r="DB116" s="129">
        <v>0</v>
      </c>
      <c r="DC116" s="129">
        <v>0</v>
      </c>
      <c r="DD116" s="129">
        <v>-600000</v>
      </c>
      <c r="DE116" s="129">
        <v>0</v>
      </c>
      <c r="DF116" s="129">
        <v>-600000</v>
      </c>
      <c r="DG116" s="129">
        <v>0</v>
      </c>
      <c r="DH116" s="129">
        <v>0</v>
      </c>
      <c r="DI116" s="129">
        <v>0</v>
      </c>
      <c r="DJ116" s="129">
        <v>-600000</v>
      </c>
      <c r="DK116" s="129">
        <v>0</v>
      </c>
      <c r="DL116" s="129">
        <v>0</v>
      </c>
      <c r="DM116" s="129">
        <v>0</v>
      </c>
      <c r="DN116" s="129">
        <v>-600000</v>
      </c>
      <c r="DO116" s="129">
        <v>0</v>
      </c>
      <c r="DP116" s="129">
        <v>-600000</v>
      </c>
      <c r="DQ116" s="129">
        <v>157040886</v>
      </c>
      <c r="DR116" s="129">
        <v>0</v>
      </c>
      <c r="DS116" s="129">
        <v>157040886</v>
      </c>
      <c r="DT116" s="662" t="s">
        <v>100</v>
      </c>
      <c r="DU116" s="324" t="s">
        <v>576</v>
      </c>
      <c r="DV116" s="669" t="s">
        <v>485</v>
      </c>
      <c r="DW116" s="529" t="s">
        <v>1323</v>
      </c>
    </row>
    <row r="117" spans="1:127" ht="12.75" x14ac:dyDescent="0.2">
      <c r="A117" s="664">
        <v>110</v>
      </c>
      <c r="B117" s="665" t="s">
        <v>103</v>
      </c>
      <c r="C117" s="666" t="s">
        <v>486</v>
      </c>
      <c r="D117" s="667" t="s">
        <v>1204</v>
      </c>
      <c r="E117" s="668" t="s">
        <v>504</v>
      </c>
      <c r="F117" s="753" t="s">
        <v>1887</v>
      </c>
      <c r="G117" s="129">
        <v>127173461</v>
      </c>
      <c r="H117" s="129">
        <v>918000</v>
      </c>
      <c r="I117" s="129">
        <v>128091461</v>
      </c>
      <c r="J117" s="793">
        <v>49.9</v>
      </c>
      <c r="K117" s="129">
        <v>63459557</v>
      </c>
      <c r="L117" s="129">
        <v>458082</v>
      </c>
      <c r="M117" s="129">
        <v>0</v>
      </c>
      <c r="N117" s="129">
        <v>0</v>
      </c>
      <c r="O117" s="129">
        <v>63459557</v>
      </c>
      <c r="P117" s="129">
        <v>458082</v>
      </c>
      <c r="Q117" s="129">
        <v>63917639</v>
      </c>
      <c r="R117" s="129">
        <v>-52933</v>
      </c>
      <c r="S117" s="129">
        <v>0</v>
      </c>
      <c r="T117" s="129">
        <v>-52933</v>
      </c>
      <c r="U117" s="129">
        <v>1438919</v>
      </c>
      <c r="V117" s="129">
        <v>0</v>
      </c>
      <c r="W117" s="129">
        <v>1438919</v>
      </c>
      <c r="X117" s="129">
        <v>1385986</v>
      </c>
      <c r="Y117" s="129">
        <v>0</v>
      </c>
      <c r="Z117" s="129">
        <v>0</v>
      </c>
      <c r="AA117" s="129">
        <v>0</v>
      </c>
      <c r="AB117" s="129">
        <v>1385986</v>
      </c>
      <c r="AC117" s="129">
        <v>0</v>
      </c>
      <c r="AD117" s="129">
        <v>1385986</v>
      </c>
      <c r="AE117" s="129">
        <v>-1385986</v>
      </c>
      <c r="AF117" s="129">
        <v>0</v>
      </c>
      <c r="AG117" s="129">
        <v>-1385986</v>
      </c>
      <c r="AH117" s="129">
        <v>-3487214</v>
      </c>
      <c r="AI117" s="129">
        <v>0</v>
      </c>
      <c r="AJ117" s="129">
        <v>-3487214</v>
      </c>
      <c r="AK117" s="129">
        <v>-23831</v>
      </c>
      <c r="AL117" s="129">
        <v>0</v>
      </c>
      <c r="AM117" s="129">
        <v>-23831</v>
      </c>
      <c r="AN117" s="129">
        <v>1264122</v>
      </c>
      <c r="AO117" s="129">
        <v>0</v>
      </c>
      <c r="AP117" s="129">
        <v>1264122</v>
      </c>
      <c r="AQ117" s="129">
        <v>-2223092</v>
      </c>
      <c r="AR117" s="129">
        <v>0</v>
      </c>
      <c r="AS117" s="129">
        <v>-2223092</v>
      </c>
      <c r="AT117" s="129">
        <v>-2326610</v>
      </c>
      <c r="AU117" s="129">
        <v>0</v>
      </c>
      <c r="AV117" s="129">
        <v>-2326610</v>
      </c>
      <c r="AW117" s="129">
        <v>-99533</v>
      </c>
      <c r="AX117" s="129">
        <v>0</v>
      </c>
      <c r="AY117" s="129">
        <v>-99533</v>
      </c>
      <c r="AZ117" s="129">
        <v>0</v>
      </c>
      <c r="BA117" s="129">
        <v>0</v>
      </c>
      <c r="BB117" s="129">
        <v>0</v>
      </c>
      <c r="BC117" s="129">
        <v>0</v>
      </c>
      <c r="BD117" s="129">
        <v>0</v>
      </c>
      <c r="BE117" s="129">
        <v>0</v>
      </c>
      <c r="BF117" s="129">
        <v>-4649235</v>
      </c>
      <c r="BG117" s="129">
        <v>0</v>
      </c>
      <c r="BH117" s="129">
        <v>0</v>
      </c>
      <c r="BI117" s="129">
        <v>0</v>
      </c>
      <c r="BJ117" s="129">
        <v>-4649235</v>
      </c>
      <c r="BK117" s="129">
        <v>0</v>
      </c>
      <c r="BL117" s="129">
        <v>-4649235</v>
      </c>
      <c r="BM117" s="129">
        <v>0</v>
      </c>
      <c r="BN117" s="129">
        <v>0</v>
      </c>
      <c r="BO117" s="129">
        <v>0</v>
      </c>
      <c r="BP117" s="129">
        <v>-1896482</v>
      </c>
      <c r="BQ117" s="129">
        <v>-22622</v>
      </c>
      <c r="BR117" s="129">
        <v>-1919104</v>
      </c>
      <c r="BS117" s="129">
        <v>-1896482</v>
      </c>
      <c r="BT117" s="129">
        <v>-22622</v>
      </c>
      <c r="BU117" s="129">
        <v>0</v>
      </c>
      <c r="BV117" s="129">
        <v>0</v>
      </c>
      <c r="BW117" s="129">
        <v>-1896482</v>
      </c>
      <c r="BX117" s="129">
        <v>-22622</v>
      </c>
      <c r="BY117" s="129">
        <v>-1919104</v>
      </c>
      <c r="BZ117" s="129">
        <v>-57511</v>
      </c>
      <c r="CA117" s="129">
        <v>0</v>
      </c>
      <c r="CB117" s="129">
        <v>-57511</v>
      </c>
      <c r="CC117" s="129">
        <v>-89094</v>
      </c>
      <c r="CD117" s="129">
        <v>0</v>
      </c>
      <c r="CE117" s="129">
        <v>-89094</v>
      </c>
      <c r="CF117" s="129">
        <v>-13593</v>
      </c>
      <c r="CG117" s="129">
        <v>0</v>
      </c>
      <c r="CH117" s="129">
        <v>-13593</v>
      </c>
      <c r="CI117" s="129">
        <v>0</v>
      </c>
      <c r="CJ117" s="129">
        <v>0</v>
      </c>
      <c r="CK117" s="129">
        <v>0</v>
      </c>
      <c r="CL117" s="129">
        <v>0</v>
      </c>
      <c r="CM117" s="129">
        <v>0</v>
      </c>
      <c r="CN117" s="129">
        <v>0</v>
      </c>
      <c r="CO117" s="129">
        <v>-19712</v>
      </c>
      <c r="CP117" s="129">
        <v>-189625</v>
      </c>
      <c r="CQ117" s="129">
        <v>-209337</v>
      </c>
      <c r="CR117" s="129">
        <v>-189625</v>
      </c>
      <c r="CS117" s="129">
        <v>-19712</v>
      </c>
      <c r="CT117" s="129">
        <v>-179910</v>
      </c>
      <c r="CU117" s="129">
        <v>-189625</v>
      </c>
      <c r="CV117" s="129">
        <v>0</v>
      </c>
      <c r="CW117" s="129">
        <v>0</v>
      </c>
      <c r="CX117" s="129">
        <v>-179910</v>
      </c>
      <c r="CY117" s="129">
        <v>-189625</v>
      </c>
      <c r="CZ117" s="129">
        <v>-369535</v>
      </c>
      <c r="DA117" s="129">
        <v>0</v>
      </c>
      <c r="DB117" s="129">
        <v>0</v>
      </c>
      <c r="DC117" s="129">
        <v>0</v>
      </c>
      <c r="DD117" s="129">
        <v>-10275</v>
      </c>
      <c r="DE117" s="129">
        <v>0</v>
      </c>
      <c r="DF117" s="129">
        <v>-10275</v>
      </c>
      <c r="DG117" s="129">
        <v>0</v>
      </c>
      <c r="DH117" s="129">
        <v>0</v>
      </c>
      <c r="DI117" s="129">
        <v>0</v>
      </c>
      <c r="DJ117" s="129">
        <v>-10275</v>
      </c>
      <c r="DK117" s="129">
        <v>0</v>
      </c>
      <c r="DL117" s="129">
        <v>0</v>
      </c>
      <c r="DM117" s="129">
        <v>0</v>
      </c>
      <c r="DN117" s="129">
        <v>-10275</v>
      </c>
      <c r="DO117" s="129">
        <v>0</v>
      </c>
      <c r="DP117" s="129">
        <v>-10275</v>
      </c>
      <c r="DQ117" s="129">
        <v>58109641</v>
      </c>
      <c r="DR117" s="129">
        <v>245835</v>
      </c>
      <c r="DS117" s="129">
        <v>58355476</v>
      </c>
      <c r="DT117" s="662" t="s">
        <v>504</v>
      </c>
      <c r="DU117" s="324" t="s">
        <v>486</v>
      </c>
      <c r="DV117" s="663" t="s">
        <v>505</v>
      </c>
      <c r="DW117" s="529" t="s">
        <v>1324</v>
      </c>
    </row>
    <row r="118" spans="1:127" ht="12.75" x14ac:dyDescent="0.2">
      <c r="A118" s="664">
        <v>111</v>
      </c>
      <c r="B118" s="665" t="s">
        <v>105</v>
      </c>
      <c r="C118" s="666" t="s">
        <v>1201</v>
      </c>
      <c r="D118" s="667" t="s">
        <v>1218</v>
      </c>
      <c r="E118" s="668" t="s">
        <v>104</v>
      </c>
      <c r="F118" s="753" t="s">
        <v>1873</v>
      </c>
      <c r="G118" s="129">
        <v>75539357</v>
      </c>
      <c r="H118" s="129">
        <v>0</v>
      </c>
      <c r="I118" s="129">
        <v>75539357</v>
      </c>
      <c r="J118" s="793">
        <v>49.9</v>
      </c>
      <c r="K118" s="129">
        <v>37694139</v>
      </c>
      <c r="L118" s="129">
        <v>0</v>
      </c>
      <c r="M118" s="129">
        <v>0</v>
      </c>
      <c r="N118" s="129">
        <v>0</v>
      </c>
      <c r="O118" s="129">
        <v>37694139</v>
      </c>
      <c r="P118" s="129">
        <v>0</v>
      </c>
      <c r="Q118" s="129">
        <v>37694139</v>
      </c>
      <c r="R118" s="129">
        <v>-158707</v>
      </c>
      <c r="S118" s="129">
        <v>0</v>
      </c>
      <c r="T118" s="129">
        <v>-158707</v>
      </c>
      <c r="U118" s="129">
        <v>40901</v>
      </c>
      <c r="V118" s="129">
        <v>0</v>
      </c>
      <c r="W118" s="129">
        <v>40901</v>
      </c>
      <c r="X118" s="129">
        <v>-117806</v>
      </c>
      <c r="Y118" s="129">
        <v>0</v>
      </c>
      <c r="Z118" s="129">
        <v>0</v>
      </c>
      <c r="AA118" s="129">
        <v>0</v>
      </c>
      <c r="AB118" s="129">
        <v>-117806</v>
      </c>
      <c r="AC118" s="129">
        <v>0</v>
      </c>
      <c r="AD118" s="129">
        <v>-117806</v>
      </c>
      <c r="AE118" s="129">
        <v>117806</v>
      </c>
      <c r="AF118" s="129">
        <v>0</v>
      </c>
      <c r="AG118" s="129">
        <v>117806</v>
      </c>
      <c r="AH118" s="129">
        <v>-5420678</v>
      </c>
      <c r="AI118" s="129">
        <v>0</v>
      </c>
      <c r="AJ118" s="129">
        <v>-5420678</v>
      </c>
      <c r="AK118" s="129">
        <v>-4391</v>
      </c>
      <c r="AL118" s="129">
        <v>0</v>
      </c>
      <c r="AM118" s="129">
        <v>-4391</v>
      </c>
      <c r="AN118" s="129">
        <v>559539</v>
      </c>
      <c r="AO118" s="129">
        <v>0</v>
      </c>
      <c r="AP118" s="129">
        <v>559539</v>
      </c>
      <c r="AQ118" s="129">
        <v>-4861139</v>
      </c>
      <c r="AR118" s="129">
        <v>0</v>
      </c>
      <c r="AS118" s="129">
        <v>-4861139</v>
      </c>
      <c r="AT118" s="129">
        <v>-1431580</v>
      </c>
      <c r="AU118" s="129">
        <v>0</v>
      </c>
      <c r="AV118" s="129">
        <v>-1431580</v>
      </c>
      <c r="AW118" s="129">
        <v>-104872</v>
      </c>
      <c r="AX118" s="129">
        <v>0</v>
      </c>
      <c r="AY118" s="129">
        <v>-104872</v>
      </c>
      <c r="AZ118" s="129">
        <v>-60555</v>
      </c>
      <c r="BA118" s="129">
        <v>0</v>
      </c>
      <c r="BB118" s="129">
        <v>-60555</v>
      </c>
      <c r="BC118" s="129">
        <v>0</v>
      </c>
      <c r="BD118" s="129">
        <v>0</v>
      </c>
      <c r="BE118" s="129">
        <v>0</v>
      </c>
      <c r="BF118" s="129">
        <v>-6458146</v>
      </c>
      <c r="BG118" s="129">
        <v>0</v>
      </c>
      <c r="BH118" s="129">
        <v>0</v>
      </c>
      <c r="BI118" s="129">
        <v>0</v>
      </c>
      <c r="BJ118" s="129">
        <v>-6458146</v>
      </c>
      <c r="BK118" s="129">
        <v>0</v>
      </c>
      <c r="BL118" s="129">
        <v>-6458146</v>
      </c>
      <c r="BM118" s="129">
        <v>-11000</v>
      </c>
      <c r="BN118" s="129">
        <v>0</v>
      </c>
      <c r="BO118" s="129">
        <v>-11000</v>
      </c>
      <c r="BP118" s="129">
        <v>-700000</v>
      </c>
      <c r="BQ118" s="129">
        <v>0</v>
      </c>
      <c r="BR118" s="129">
        <v>-700000</v>
      </c>
      <c r="BS118" s="129">
        <v>-711000</v>
      </c>
      <c r="BT118" s="129">
        <v>0</v>
      </c>
      <c r="BU118" s="129">
        <v>0</v>
      </c>
      <c r="BV118" s="129">
        <v>0</v>
      </c>
      <c r="BW118" s="129">
        <v>-711000</v>
      </c>
      <c r="BX118" s="129">
        <v>0</v>
      </c>
      <c r="BY118" s="129">
        <v>-711000</v>
      </c>
      <c r="BZ118" s="129">
        <v>-71523</v>
      </c>
      <c r="CA118" s="129">
        <v>0</v>
      </c>
      <c r="CB118" s="129">
        <v>-71523</v>
      </c>
      <c r="CC118" s="129">
        <v>-13765</v>
      </c>
      <c r="CD118" s="129">
        <v>0</v>
      </c>
      <c r="CE118" s="129">
        <v>-13765</v>
      </c>
      <c r="CF118" s="129">
        <v>-1050</v>
      </c>
      <c r="CG118" s="129">
        <v>0</v>
      </c>
      <c r="CH118" s="129">
        <v>-1050</v>
      </c>
      <c r="CI118" s="129">
        <v>-4038</v>
      </c>
      <c r="CJ118" s="129">
        <v>0</v>
      </c>
      <c r="CK118" s="129">
        <v>-4038</v>
      </c>
      <c r="CL118" s="129">
        <v>0</v>
      </c>
      <c r="CM118" s="129">
        <v>0</v>
      </c>
      <c r="CN118" s="129">
        <v>0</v>
      </c>
      <c r="CO118" s="129">
        <v>0</v>
      </c>
      <c r="CP118" s="129">
        <v>0</v>
      </c>
      <c r="CQ118" s="129">
        <v>0</v>
      </c>
      <c r="CR118" s="129">
        <v>0</v>
      </c>
      <c r="CS118" s="129">
        <v>0</v>
      </c>
      <c r="CT118" s="129">
        <v>-90376</v>
      </c>
      <c r="CU118" s="129">
        <v>0</v>
      </c>
      <c r="CV118" s="129">
        <v>0</v>
      </c>
      <c r="CW118" s="129">
        <v>0</v>
      </c>
      <c r="CX118" s="129">
        <v>-90376</v>
      </c>
      <c r="CY118" s="129">
        <v>0</v>
      </c>
      <c r="CZ118" s="129">
        <v>-90376</v>
      </c>
      <c r="DA118" s="129">
        <v>-56516</v>
      </c>
      <c r="DB118" s="129">
        <v>0</v>
      </c>
      <c r="DC118" s="129">
        <v>-56516</v>
      </c>
      <c r="DD118" s="129">
        <v>-34383</v>
      </c>
      <c r="DE118" s="129">
        <v>0</v>
      </c>
      <c r="DF118" s="129">
        <v>-34383</v>
      </c>
      <c r="DG118" s="129">
        <v>0</v>
      </c>
      <c r="DH118" s="129">
        <v>0</v>
      </c>
      <c r="DI118" s="129">
        <v>0</v>
      </c>
      <c r="DJ118" s="129">
        <v>-90899</v>
      </c>
      <c r="DK118" s="129">
        <v>0</v>
      </c>
      <c r="DL118" s="129">
        <v>0</v>
      </c>
      <c r="DM118" s="129">
        <v>0</v>
      </c>
      <c r="DN118" s="129">
        <v>-90899</v>
      </c>
      <c r="DO118" s="129">
        <v>0</v>
      </c>
      <c r="DP118" s="129">
        <v>-90899</v>
      </c>
      <c r="DQ118" s="129">
        <v>30225912</v>
      </c>
      <c r="DR118" s="129">
        <v>0</v>
      </c>
      <c r="DS118" s="129">
        <v>30225912</v>
      </c>
      <c r="DT118" s="662" t="s">
        <v>104</v>
      </c>
      <c r="DU118" s="324" t="s">
        <v>556</v>
      </c>
      <c r="DV118" s="663" t="s">
        <v>555</v>
      </c>
      <c r="DW118" s="529" t="s">
        <v>1325</v>
      </c>
    </row>
    <row r="119" spans="1:127" ht="12.75" x14ac:dyDescent="0.2">
      <c r="A119" s="664">
        <v>112</v>
      </c>
      <c r="B119" s="665" t="s">
        <v>107</v>
      </c>
      <c r="C119" s="666" t="s">
        <v>1257</v>
      </c>
      <c r="D119" s="667" t="s">
        <v>1214</v>
      </c>
      <c r="E119" s="668" t="s">
        <v>106</v>
      </c>
      <c r="F119" s="753" t="s">
        <v>1902</v>
      </c>
      <c r="G119" s="129">
        <v>599333915</v>
      </c>
      <c r="H119" s="129">
        <v>0</v>
      </c>
      <c r="I119" s="129">
        <v>599333915</v>
      </c>
      <c r="J119" s="793">
        <v>49.9</v>
      </c>
      <c r="K119" s="129">
        <v>299067624</v>
      </c>
      <c r="L119" s="129">
        <v>0</v>
      </c>
      <c r="M119" s="129">
        <v>-3469233</v>
      </c>
      <c r="N119" s="129">
        <v>0</v>
      </c>
      <c r="O119" s="129">
        <v>295598391</v>
      </c>
      <c r="P119" s="129">
        <v>0</v>
      </c>
      <c r="Q119" s="129">
        <v>295598391</v>
      </c>
      <c r="R119" s="129">
        <v>-626966</v>
      </c>
      <c r="S119" s="129">
        <v>0</v>
      </c>
      <c r="T119" s="129">
        <v>-626966</v>
      </c>
      <c r="U119" s="129">
        <v>158692</v>
      </c>
      <c r="V119" s="129">
        <v>0</v>
      </c>
      <c r="W119" s="129">
        <v>158692</v>
      </c>
      <c r="X119" s="129">
        <v>-468274</v>
      </c>
      <c r="Y119" s="129">
        <v>0</v>
      </c>
      <c r="Z119" s="129">
        <v>0</v>
      </c>
      <c r="AA119" s="129">
        <v>0</v>
      </c>
      <c r="AB119" s="129">
        <v>-468274</v>
      </c>
      <c r="AC119" s="129">
        <v>0</v>
      </c>
      <c r="AD119" s="129">
        <v>-468274</v>
      </c>
      <c r="AE119" s="129">
        <v>468274</v>
      </c>
      <c r="AF119" s="129">
        <v>0</v>
      </c>
      <c r="AG119" s="129">
        <v>468274</v>
      </c>
      <c r="AH119" s="129">
        <v>-5777257</v>
      </c>
      <c r="AI119" s="129">
        <v>0</v>
      </c>
      <c r="AJ119" s="129">
        <v>-5777257</v>
      </c>
      <c r="AK119" s="129">
        <v>-5894</v>
      </c>
      <c r="AL119" s="129">
        <v>0</v>
      </c>
      <c r="AM119" s="129">
        <v>-5894</v>
      </c>
      <c r="AN119" s="129">
        <v>6638838</v>
      </c>
      <c r="AO119" s="129">
        <v>0</v>
      </c>
      <c r="AP119" s="129">
        <v>6638838</v>
      </c>
      <c r="AQ119" s="129">
        <v>861581</v>
      </c>
      <c r="AR119" s="129">
        <v>0</v>
      </c>
      <c r="AS119" s="129">
        <v>861581</v>
      </c>
      <c r="AT119" s="129">
        <v>-12324289</v>
      </c>
      <c r="AU119" s="129">
        <v>0</v>
      </c>
      <c r="AV119" s="129">
        <v>-12324289</v>
      </c>
      <c r="AW119" s="129">
        <v>0</v>
      </c>
      <c r="AX119" s="129">
        <v>0</v>
      </c>
      <c r="AY119" s="129">
        <v>0</v>
      </c>
      <c r="AZ119" s="129">
        <v>0</v>
      </c>
      <c r="BA119" s="129">
        <v>0</v>
      </c>
      <c r="BB119" s="129">
        <v>0</v>
      </c>
      <c r="BC119" s="129">
        <v>0</v>
      </c>
      <c r="BD119" s="129">
        <v>0</v>
      </c>
      <c r="BE119" s="129">
        <v>0</v>
      </c>
      <c r="BF119" s="129">
        <v>-11462708</v>
      </c>
      <c r="BG119" s="129">
        <v>0</v>
      </c>
      <c r="BH119" s="129">
        <v>0</v>
      </c>
      <c r="BI119" s="129">
        <v>0</v>
      </c>
      <c r="BJ119" s="129">
        <v>-11462708</v>
      </c>
      <c r="BK119" s="129">
        <v>0</v>
      </c>
      <c r="BL119" s="129">
        <v>-11462708</v>
      </c>
      <c r="BM119" s="129">
        <v>0</v>
      </c>
      <c r="BN119" s="129">
        <v>0</v>
      </c>
      <c r="BO119" s="129">
        <v>0</v>
      </c>
      <c r="BP119" s="129">
        <v>-6581023</v>
      </c>
      <c r="BQ119" s="129">
        <v>0</v>
      </c>
      <c r="BR119" s="129">
        <v>-6581023</v>
      </c>
      <c r="BS119" s="129">
        <v>-6581023</v>
      </c>
      <c r="BT119" s="129">
        <v>0</v>
      </c>
      <c r="BU119" s="129">
        <v>0</v>
      </c>
      <c r="BV119" s="129">
        <v>0</v>
      </c>
      <c r="BW119" s="129">
        <v>-6581023</v>
      </c>
      <c r="BX119" s="129">
        <v>0</v>
      </c>
      <c r="BY119" s="129">
        <v>-6581023</v>
      </c>
      <c r="BZ119" s="129">
        <v>-95575</v>
      </c>
      <c r="CA119" s="129">
        <v>0</v>
      </c>
      <c r="CB119" s="129">
        <v>-95575</v>
      </c>
      <c r="CC119" s="129">
        <v>-93662</v>
      </c>
      <c r="CD119" s="129">
        <v>0</v>
      </c>
      <c r="CE119" s="129">
        <v>-93662</v>
      </c>
      <c r="CF119" s="129">
        <v>0</v>
      </c>
      <c r="CG119" s="129">
        <v>0</v>
      </c>
      <c r="CH119" s="129">
        <v>0</v>
      </c>
      <c r="CI119" s="129">
        <v>0</v>
      </c>
      <c r="CJ119" s="129">
        <v>0</v>
      </c>
      <c r="CK119" s="129">
        <v>0</v>
      </c>
      <c r="CL119" s="129">
        <v>0</v>
      </c>
      <c r="CM119" s="129">
        <v>0</v>
      </c>
      <c r="CN119" s="129">
        <v>0</v>
      </c>
      <c r="CO119" s="129">
        <v>0</v>
      </c>
      <c r="CP119" s="129">
        <v>0</v>
      </c>
      <c r="CQ119" s="129">
        <v>0</v>
      </c>
      <c r="CR119" s="129">
        <v>0</v>
      </c>
      <c r="CS119" s="129">
        <v>0</v>
      </c>
      <c r="CT119" s="129">
        <v>-189237</v>
      </c>
      <c r="CU119" s="129">
        <v>0</v>
      </c>
      <c r="CV119" s="129">
        <v>0</v>
      </c>
      <c r="CW119" s="129">
        <v>0</v>
      </c>
      <c r="CX119" s="129">
        <v>-189237</v>
      </c>
      <c r="CY119" s="129">
        <v>0</v>
      </c>
      <c r="CZ119" s="129">
        <v>-189237</v>
      </c>
      <c r="DA119" s="129">
        <v>0</v>
      </c>
      <c r="DB119" s="129">
        <v>0</v>
      </c>
      <c r="DC119" s="129">
        <v>0</v>
      </c>
      <c r="DD119" s="129">
        <v>-15557</v>
      </c>
      <c r="DE119" s="129">
        <v>0</v>
      </c>
      <c r="DF119" s="129">
        <v>-15557</v>
      </c>
      <c r="DG119" s="129">
        <v>0</v>
      </c>
      <c r="DH119" s="129">
        <v>0</v>
      </c>
      <c r="DI119" s="129">
        <v>0</v>
      </c>
      <c r="DJ119" s="129">
        <v>-15557</v>
      </c>
      <c r="DK119" s="129">
        <v>0</v>
      </c>
      <c r="DL119" s="129">
        <v>0</v>
      </c>
      <c r="DM119" s="129">
        <v>0</v>
      </c>
      <c r="DN119" s="129">
        <v>-15557</v>
      </c>
      <c r="DO119" s="129">
        <v>0</v>
      </c>
      <c r="DP119" s="129">
        <v>-15557</v>
      </c>
      <c r="DQ119" s="129">
        <v>276881592</v>
      </c>
      <c r="DR119" s="129">
        <v>0</v>
      </c>
      <c r="DS119" s="129">
        <v>276881592</v>
      </c>
      <c r="DT119" s="662" t="s">
        <v>106</v>
      </c>
      <c r="DU119" s="324" t="s">
        <v>576</v>
      </c>
      <c r="DV119" s="669" t="s">
        <v>485</v>
      </c>
      <c r="DW119" s="529" t="s">
        <v>1326</v>
      </c>
    </row>
    <row r="120" spans="1:127" ht="12.75" x14ac:dyDescent="0.2">
      <c r="A120" s="664">
        <v>113</v>
      </c>
      <c r="B120" s="665" t="s">
        <v>109</v>
      </c>
      <c r="C120" s="666" t="s">
        <v>1201</v>
      </c>
      <c r="D120" s="667" t="s">
        <v>1206</v>
      </c>
      <c r="E120" s="668" t="s">
        <v>108</v>
      </c>
      <c r="F120" s="753" t="s">
        <v>1885</v>
      </c>
      <c r="G120" s="129">
        <v>107419382</v>
      </c>
      <c r="H120" s="129">
        <v>0</v>
      </c>
      <c r="I120" s="129">
        <v>107419382</v>
      </c>
      <c r="J120" s="793">
        <v>49.9</v>
      </c>
      <c r="K120" s="129">
        <v>53602272</v>
      </c>
      <c r="L120" s="129">
        <v>0</v>
      </c>
      <c r="M120" s="129">
        <v>0</v>
      </c>
      <c r="N120" s="129">
        <v>0</v>
      </c>
      <c r="O120" s="129">
        <v>53602272</v>
      </c>
      <c r="P120" s="129">
        <v>0</v>
      </c>
      <c r="Q120" s="129">
        <v>53602272</v>
      </c>
      <c r="R120" s="129">
        <v>-246707</v>
      </c>
      <c r="S120" s="129">
        <v>0</v>
      </c>
      <c r="T120" s="129">
        <v>-246707</v>
      </c>
      <c r="U120" s="129">
        <v>0</v>
      </c>
      <c r="V120" s="129">
        <v>0</v>
      </c>
      <c r="W120" s="129">
        <v>0</v>
      </c>
      <c r="X120" s="129">
        <v>-246707</v>
      </c>
      <c r="Y120" s="129">
        <v>0</v>
      </c>
      <c r="Z120" s="129">
        <v>0</v>
      </c>
      <c r="AA120" s="129">
        <v>0</v>
      </c>
      <c r="AB120" s="129">
        <v>-246707</v>
      </c>
      <c r="AC120" s="129">
        <v>0</v>
      </c>
      <c r="AD120" s="129">
        <v>-246707</v>
      </c>
      <c r="AE120" s="129">
        <v>246707</v>
      </c>
      <c r="AF120" s="129">
        <v>0</v>
      </c>
      <c r="AG120" s="129">
        <v>246707</v>
      </c>
      <c r="AH120" s="129">
        <v>-3624518</v>
      </c>
      <c r="AI120" s="129">
        <v>0</v>
      </c>
      <c r="AJ120" s="129">
        <v>-3624518</v>
      </c>
      <c r="AK120" s="129">
        <v>-3124</v>
      </c>
      <c r="AL120" s="129">
        <v>0</v>
      </c>
      <c r="AM120" s="129">
        <v>-3124</v>
      </c>
      <c r="AN120" s="129">
        <v>1024102</v>
      </c>
      <c r="AO120" s="129">
        <v>0</v>
      </c>
      <c r="AP120" s="129">
        <v>1024102</v>
      </c>
      <c r="AQ120" s="129">
        <v>-2600416</v>
      </c>
      <c r="AR120" s="129">
        <v>0</v>
      </c>
      <c r="AS120" s="129">
        <v>-2600416</v>
      </c>
      <c r="AT120" s="129">
        <v>-2273118</v>
      </c>
      <c r="AU120" s="129">
        <v>0</v>
      </c>
      <c r="AV120" s="129">
        <v>-2273118</v>
      </c>
      <c r="AW120" s="129">
        <v>-38502</v>
      </c>
      <c r="AX120" s="129">
        <v>0</v>
      </c>
      <c r="AY120" s="129">
        <v>-38502</v>
      </c>
      <c r="AZ120" s="129">
        <v>-22889</v>
      </c>
      <c r="BA120" s="129">
        <v>0</v>
      </c>
      <c r="BB120" s="129">
        <v>-22889</v>
      </c>
      <c r="BC120" s="129">
        <v>0</v>
      </c>
      <c r="BD120" s="129">
        <v>0</v>
      </c>
      <c r="BE120" s="129">
        <v>0</v>
      </c>
      <c r="BF120" s="129">
        <v>-4934925</v>
      </c>
      <c r="BG120" s="129">
        <v>0</v>
      </c>
      <c r="BH120" s="129">
        <v>0</v>
      </c>
      <c r="BI120" s="129">
        <v>0</v>
      </c>
      <c r="BJ120" s="129">
        <v>-4934925</v>
      </c>
      <c r="BK120" s="129">
        <v>0</v>
      </c>
      <c r="BL120" s="129">
        <v>-4934925</v>
      </c>
      <c r="BM120" s="129">
        <v>0</v>
      </c>
      <c r="BN120" s="129">
        <v>0</v>
      </c>
      <c r="BO120" s="129">
        <v>0</v>
      </c>
      <c r="BP120" s="129">
        <v>-178340</v>
      </c>
      <c r="BQ120" s="129">
        <v>0</v>
      </c>
      <c r="BR120" s="129">
        <v>-178340</v>
      </c>
      <c r="BS120" s="129">
        <v>-178340</v>
      </c>
      <c r="BT120" s="129">
        <v>0</v>
      </c>
      <c r="BU120" s="129">
        <v>0</v>
      </c>
      <c r="BV120" s="129">
        <v>0</v>
      </c>
      <c r="BW120" s="129">
        <v>-178340</v>
      </c>
      <c r="BX120" s="129">
        <v>0</v>
      </c>
      <c r="BY120" s="129">
        <v>-178340</v>
      </c>
      <c r="BZ120" s="129">
        <v>-31072</v>
      </c>
      <c r="CA120" s="129">
        <v>0</v>
      </c>
      <c r="CB120" s="129">
        <v>-31072</v>
      </c>
      <c r="CC120" s="129">
        <v>-35774</v>
      </c>
      <c r="CD120" s="129">
        <v>0</v>
      </c>
      <c r="CE120" s="129">
        <v>-35774</v>
      </c>
      <c r="CF120" s="129">
        <v>-9626</v>
      </c>
      <c r="CG120" s="129">
        <v>0</v>
      </c>
      <c r="CH120" s="129">
        <v>-9626</v>
      </c>
      <c r="CI120" s="129">
        <v>0</v>
      </c>
      <c r="CJ120" s="129">
        <v>0</v>
      </c>
      <c r="CK120" s="129">
        <v>0</v>
      </c>
      <c r="CL120" s="129">
        <v>-3368</v>
      </c>
      <c r="CM120" s="129">
        <v>0</v>
      </c>
      <c r="CN120" s="129">
        <v>-3368</v>
      </c>
      <c r="CO120" s="129">
        <v>0</v>
      </c>
      <c r="CP120" s="129">
        <v>0</v>
      </c>
      <c r="CQ120" s="129">
        <v>0</v>
      </c>
      <c r="CR120" s="129">
        <v>0</v>
      </c>
      <c r="CS120" s="129">
        <v>0</v>
      </c>
      <c r="CT120" s="129">
        <v>-79840</v>
      </c>
      <c r="CU120" s="129">
        <v>0</v>
      </c>
      <c r="CV120" s="129">
        <v>0</v>
      </c>
      <c r="CW120" s="129">
        <v>0</v>
      </c>
      <c r="CX120" s="129">
        <v>-79840</v>
      </c>
      <c r="CY120" s="129">
        <v>0</v>
      </c>
      <c r="CZ120" s="129">
        <v>-79840</v>
      </c>
      <c r="DA120" s="129">
        <v>-22889</v>
      </c>
      <c r="DB120" s="129">
        <v>0</v>
      </c>
      <c r="DC120" s="129">
        <v>-22889</v>
      </c>
      <c r="DD120" s="129">
        <v>-41636</v>
      </c>
      <c r="DE120" s="129">
        <v>0</v>
      </c>
      <c r="DF120" s="129">
        <v>-41636</v>
      </c>
      <c r="DG120" s="129">
        <v>0</v>
      </c>
      <c r="DH120" s="129">
        <v>0</v>
      </c>
      <c r="DI120" s="129">
        <v>0</v>
      </c>
      <c r="DJ120" s="129">
        <v>-64525</v>
      </c>
      <c r="DK120" s="129">
        <v>0</v>
      </c>
      <c r="DL120" s="129">
        <v>0</v>
      </c>
      <c r="DM120" s="129">
        <v>0</v>
      </c>
      <c r="DN120" s="129">
        <v>-64525</v>
      </c>
      <c r="DO120" s="129">
        <v>0</v>
      </c>
      <c r="DP120" s="129">
        <v>-64525</v>
      </c>
      <c r="DQ120" s="129">
        <v>48097935</v>
      </c>
      <c r="DR120" s="129">
        <v>0</v>
      </c>
      <c r="DS120" s="129">
        <v>48097935</v>
      </c>
      <c r="DT120" s="662" t="s">
        <v>108</v>
      </c>
      <c r="DU120" s="324" t="s">
        <v>551</v>
      </c>
      <c r="DV120" s="663" t="s">
        <v>549</v>
      </c>
      <c r="DW120" s="529" t="s">
        <v>1327</v>
      </c>
    </row>
    <row r="121" spans="1:127" ht="12.75" x14ac:dyDescent="0.2">
      <c r="A121" s="664">
        <v>114</v>
      </c>
      <c r="B121" s="665" t="s">
        <v>111</v>
      </c>
      <c r="C121" s="666" t="s">
        <v>1213</v>
      </c>
      <c r="D121" s="667" t="s">
        <v>1214</v>
      </c>
      <c r="E121" s="668" t="s">
        <v>110</v>
      </c>
      <c r="F121" s="753" t="s">
        <v>1891</v>
      </c>
      <c r="G121" s="129">
        <v>198166190</v>
      </c>
      <c r="H121" s="129">
        <v>0</v>
      </c>
      <c r="I121" s="129">
        <v>198166190</v>
      </c>
      <c r="J121" s="793">
        <v>49.9</v>
      </c>
      <c r="K121" s="129">
        <v>98884929</v>
      </c>
      <c r="L121" s="129">
        <v>0</v>
      </c>
      <c r="M121" s="129">
        <v>0</v>
      </c>
      <c r="N121" s="129">
        <v>0</v>
      </c>
      <c r="O121" s="129">
        <v>98884929</v>
      </c>
      <c r="P121" s="129">
        <v>0</v>
      </c>
      <c r="Q121" s="129">
        <v>98884929</v>
      </c>
      <c r="R121" s="129">
        <v>-257029</v>
      </c>
      <c r="S121" s="129">
        <v>0</v>
      </c>
      <c r="T121" s="129">
        <v>-257029</v>
      </c>
      <c r="U121" s="129">
        <v>215484</v>
      </c>
      <c r="V121" s="129">
        <v>0</v>
      </c>
      <c r="W121" s="129">
        <v>215484</v>
      </c>
      <c r="X121" s="129">
        <v>-41545</v>
      </c>
      <c r="Y121" s="129">
        <v>0</v>
      </c>
      <c r="Z121" s="129">
        <v>0</v>
      </c>
      <c r="AA121" s="129">
        <v>0</v>
      </c>
      <c r="AB121" s="129">
        <v>-41545</v>
      </c>
      <c r="AC121" s="129">
        <v>0</v>
      </c>
      <c r="AD121" s="129">
        <v>-41545</v>
      </c>
      <c r="AE121" s="129">
        <v>41545</v>
      </c>
      <c r="AF121" s="129">
        <v>0</v>
      </c>
      <c r="AG121" s="129">
        <v>41545</v>
      </c>
      <c r="AH121" s="129">
        <v>-9153663</v>
      </c>
      <c r="AI121" s="129">
        <v>0</v>
      </c>
      <c r="AJ121" s="129">
        <v>-9153663</v>
      </c>
      <c r="AK121" s="129">
        <v>-15499</v>
      </c>
      <c r="AL121" s="129">
        <v>0</v>
      </c>
      <c r="AM121" s="129">
        <v>-15499</v>
      </c>
      <c r="AN121" s="129">
        <v>1619049</v>
      </c>
      <c r="AO121" s="129">
        <v>0</v>
      </c>
      <c r="AP121" s="129">
        <v>1619049</v>
      </c>
      <c r="AQ121" s="129">
        <v>-7534614</v>
      </c>
      <c r="AR121" s="129">
        <v>0</v>
      </c>
      <c r="AS121" s="129">
        <v>-7534614</v>
      </c>
      <c r="AT121" s="129">
        <v>-7112786</v>
      </c>
      <c r="AU121" s="129">
        <v>0</v>
      </c>
      <c r="AV121" s="129">
        <v>-7112786</v>
      </c>
      <c r="AW121" s="129">
        <v>-36700</v>
      </c>
      <c r="AX121" s="129">
        <v>0</v>
      </c>
      <c r="AY121" s="129">
        <v>-36700</v>
      </c>
      <c r="AZ121" s="129">
        <v>0</v>
      </c>
      <c r="BA121" s="129">
        <v>0</v>
      </c>
      <c r="BB121" s="129">
        <v>0</v>
      </c>
      <c r="BC121" s="129">
        <v>0</v>
      </c>
      <c r="BD121" s="129">
        <v>0</v>
      </c>
      <c r="BE121" s="129">
        <v>0</v>
      </c>
      <c r="BF121" s="129">
        <v>-14684100</v>
      </c>
      <c r="BG121" s="129">
        <v>0</v>
      </c>
      <c r="BH121" s="129">
        <v>0</v>
      </c>
      <c r="BI121" s="129">
        <v>0</v>
      </c>
      <c r="BJ121" s="129">
        <v>-14684100</v>
      </c>
      <c r="BK121" s="129">
        <v>0</v>
      </c>
      <c r="BL121" s="129">
        <v>-14684100</v>
      </c>
      <c r="BM121" s="129">
        <v>0</v>
      </c>
      <c r="BN121" s="129">
        <v>0</v>
      </c>
      <c r="BO121" s="129">
        <v>0</v>
      </c>
      <c r="BP121" s="129">
        <v>-866216</v>
      </c>
      <c r="BQ121" s="129">
        <v>0</v>
      </c>
      <c r="BR121" s="129">
        <v>-866216</v>
      </c>
      <c r="BS121" s="129">
        <v>-866216</v>
      </c>
      <c r="BT121" s="129">
        <v>0</v>
      </c>
      <c r="BU121" s="129">
        <v>0</v>
      </c>
      <c r="BV121" s="129">
        <v>0</v>
      </c>
      <c r="BW121" s="129">
        <v>-866216</v>
      </c>
      <c r="BX121" s="129">
        <v>0</v>
      </c>
      <c r="BY121" s="129">
        <v>-866216</v>
      </c>
      <c r="BZ121" s="129">
        <v>-373179</v>
      </c>
      <c r="CA121" s="129">
        <v>0</v>
      </c>
      <c r="CB121" s="129">
        <v>-373179</v>
      </c>
      <c r="CC121" s="129">
        <v>-310797</v>
      </c>
      <c r="CD121" s="129">
        <v>0</v>
      </c>
      <c r="CE121" s="129">
        <v>-310797</v>
      </c>
      <c r="CF121" s="129">
        <v>0</v>
      </c>
      <c r="CG121" s="129">
        <v>0</v>
      </c>
      <c r="CH121" s="129">
        <v>0</v>
      </c>
      <c r="CI121" s="129">
        <v>0</v>
      </c>
      <c r="CJ121" s="129">
        <v>0</v>
      </c>
      <c r="CK121" s="129">
        <v>0</v>
      </c>
      <c r="CL121" s="129">
        <v>0</v>
      </c>
      <c r="CM121" s="129">
        <v>0</v>
      </c>
      <c r="CN121" s="129">
        <v>0</v>
      </c>
      <c r="CO121" s="129">
        <v>0</v>
      </c>
      <c r="CP121" s="129">
        <v>0</v>
      </c>
      <c r="CQ121" s="129">
        <v>0</v>
      </c>
      <c r="CR121" s="129">
        <v>0</v>
      </c>
      <c r="CS121" s="129">
        <v>0</v>
      </c>
      <c r="CT121" s="129">
        <v>-683976</v>
      </c>
      <c r="CU121" s="129">
        <v>0</v>
      </c>
      <c r="CV121" s="129">
        <v>0</v>
      </c>
      <c r="CW121" s="129">
        <v>0</v>
      </c>
      <c r="CX121" s="129">
        <v>-683976</v>
      </c>
      <c r="CY121" s="129">
        <v>0</v>
      </c>
      <c r="CZ121" s="129">
        <v>-683976</v>
      </c>
      <c r="DA121" s="129">
        <v>0</v>
      </c>
      <c r="DB121" s="129">
        <v>0</v>
      </c>
      <c r="DC121" s="129">
        <v>0</v>
      </c>
      <c r="DD121" s="129">
        <v>-45851</v>
      </c>
      <c r="DE121" s="129">
        <v>0</v>
      </c>
      <c r="DF121" s="129">
        <v>-45851</v>
      </c>
      <c r="DG121" s="129">
        <v>0</v>
      </c>
      <c r="DH121" s="129">
        <v>0</v>
      </c>
      <c r="DI121" s="129">
        <v>0</v>
      </c>
      <c r="DJ121" s="129">
        <v>-45851</v>
      </c>
      <c r="DK121" s="129">
        <v>0</v>
      </c>
      <c r="DL121" s="129">
        <v>0</v>
      </c>
      <c r="DM121" s="129">
        <v>0</v>
      </c>
      <c r="DN121" s="129">
        <v>-45851</v>
      </c>
      <c r="DO121" s="129">
        <v>0</v>
      </c>
      <c r="DP121" s="129">
        <v>-45851</v>
      </c>
      <c r="DQ121" s="129">
        <v>82563241</v>
      </c>
      <c r="DR121" s="129">
        <v>0</v>
      </c>
      <c r="DS121" s="129">
        <v>82563241</v>
      </c>
      <c r="DT121" s="662" t="s">
        <v>110</v>
      </c>
      <c r="DU121" s="324" t="s">
        <v>576</v>
      </c>
      <c r="DV121" s="669" t="s">
        <v>485</v>
      </c>
      <c r="DW121" s="529" t="s">
        <v>1328</v>
      </c>
    </row>
    <row r="122" spans="1:127" ht="12.75" x14ac:dyDescent="0.2">
      <c r="A122" s="664">
        <v>115</v>
      </c>
      <c r="B122" s="665" t="s">
        <v>113</v>
      </c>
      <c r="C122" s="666" t="s">
        <v>1201</v>
      </c>
      <c r="D122" s="667" t="s">
        <v>1211</v>
      </c>
      <c r="E122" s="668" t="s">
        <v>112</v>
      </c>
      <c r="F122" s="753" t="s">
        <v>1874</v>
      </c>
      <c r="G122" s="129">
        <v>95110397</v>
      </c>
      <c r="H122" s="129">
        <v>10072150</v>
      </c>
      <c r="I122" s="129">
        <v>105182547</v>
      </c>
      <c r="J122" s="793">
        <v>49.9</v>
      </c>
      <c r="K122" s="129">
        <v>47460088</v>
      </c>
      <c r="L122" s="129">
        <v>5026003</v>
      </c>
      <c r="M122" s="129">
        <v>0</v>
      </c>
      <c r="N122" s="129">
        <v>0</v>
      </c>
      <c r="O122" s="129">
        <v>47460088</v>
      </c>
      <c r="P122" s="129">
        <v>5026003</v>
      </c>
      <c r="Q122" s="129">
        <v>52486091</v>
      </c>
      <c r="R122" s="129">
        <v>-18719</v>
      </c>
      <c r="S122" s="129">
        <v>-65</v>
      </c>
      <c r="T122" s="129">
        <v>-18784</v>
      </c>
      <c r="U122" s="129">
        <v>93241</v>
      </c>
      <c r="V122" s="129">
        <v>0</v>
      </c>
      <c r="W122" s="129">
        <v>93241</v>
      </c>
      <c r="X122" s="129">
        <v>74522</v>
      </c>
      <c r="Y122" s="129">
        <v>-65</v>
      </c>
      <c r="Z122" s="129">
        <v>0</v>
      </c>
      <c r="AA122" s="129">
        <v>0</v>
      </c>
      <c r="AB122" s="129">
        <v>74522</v>
      </c>
      <c r="AC122" s="129">
        <v>-65</v>
      </c>
      <c r="AD122" s="129">
        <v>74457</v>
      </c>
      <c r="AE122" s="129">
        <v>-74522</v>
      </c>
      <c r="AF122" s="129">
        <v>65</v>
      </c>
      <c r="AG122" s="129">
        <v>-74457</v>
      </c>
      <c r="AH122" s="129">
        <v>-1913392</v>
      </c>
      <c r="AI122" s="129">
        <v>-112825</v>
      </c>
      <c r="AJ122" s="129">
        <v>-2026217</v>
      </c>
      <c r="AK122" s="129">
        <v>0</v>
      </c>
      <c r="AL122" s="129">
        <v>0</v>
      </c>
      <c r="AM122" s="129">
        <v>0</v>
      </c>
      <c r="AN122" s="129">
        <v>974680</v>
      </c>
      <c r="AO122" s="129">
        <v>105076</v>
      </c>
      <c r="AP122" s="129">
        <v>1079756</v>
      </c>
      <c r="AQ122" s="129">
        <v>-938712</v>
      </c>
      <c r="AR122" s="129">
        <v>-7749</v>
      </c>
      <c r="AS122" s="129">
        <v>-946461</v>
      </c>
      <c r="AT122" s="129">
        <v>-2941861</v>
      </c>
      <c r="AU122" s="129">
        <v>0</v>
      </c>
      <c r="AV122" s="129">
        <v>-2941861</v>
      </c>
      <c r="AW122" s="129">
        <v>-71578</v>
      </c>
      <c r="AX122" s="129">
        <v>0</v>
      </c>
      <c r="AY122" s="129">
        <v>-71578</v>
      </c>
      <c r="AZ122" s="129">
        <v>0</v>
      </c>
      <c r="BA122" s="129">
        <v>0</v>
      </c>
      <c r="BB122" s="129">
        <v>0</v>
      </c>
      <c r="BC122" s="129">
        <v>0</v>
      </c>
      <c r="BD122" s="129">
        <v>0</v>
      </c>
      <c r="BE122" s="129">
        <v>0</v>
      </c>
      <c r="BF122" s="129">
        <v>-3952151</v>
      </c>
      <c r="BG122" s="129">
        <v>-7749</v>
      </c>
      <c r="BH122" s="129">
        <v>0</v>
      </c>
      <c r="BI122" s="129">
        <v>0</v>
      </c>
      <c r="BJ122" s="129">
        <v>-3952151</v>
      </c>
      <c r="BK122" s="129">
        <v>-7749</v>
      </c>
      <c r="BL122" s="129">
        <v>-3959900</v>
      </c>
      <c r="BM122" s="129">
        <v>0</v>
      </c>
      <c r="BN122" s="129">
        <v>0</v>
      </c>
      <c r="BO122" s="129">
        <v>0</v>
      </c>
      <c r="BP122" s="129">
        <v>-776598</v>
      </c>
      <c r="BQ122" s="129">
        <v>-34624</v>
      </c>
      <c r="BR122" s="129">
        <v>-811222</v>
      </c>
      <c r="BS122" s="129">
        <v>-776598</v>
      </c>
      <c r="BT122" s="129">
        <v>-34624</v>
      </c>
      <c r="BU122" s="129">
        <v>0</v>
      </c>
      <c r="BV122" s="129">
        <v>0</v>
      </c>
      <c r="BW122" s="129">
        <v>-776598</v>
      </c>
      <c r="BX122" s="129">
        <v>-34624</v>
      </c>
      <c r="BY122" s="129">
        <v>-811222</v>
      </c>
      <c r="BZ122" s="129">
        <v>-36372</v>
      </c>
      <c r="CA122" s="129">
        <v>0</v>
      </c>
      <c r="CB122" s="129">
        <v>-36372</v>
      </c>
      <c r="CC122" s="129">
        <v>0</v>
      </c>
      <c r="CD122" s="129">
        <v>0</v>
      </c>
      <c r="CE122" s="129">
        <v>0</v>
      </c>
      <c r="CF122" s="129">
        <v>0</v>
      </c>
      <c r="CG122" s="129">
        <v>0</v>
      </c>
      <c r="CH122" s="129">
        <v>0</v>
      </c>
      <c r="CI122" s="129">
        <v>0</v>
      </c>
      <c r="CJ122" s="129">
        <v>0</v>
      </c>
      <c r="CK122" s="129">
        <v>0</v>
      </c>
      <c r="CL122" s="129">
        <v>0</v>
      </c>
      <c r="CM122" s="129">
        <v>0</v>
      </c>
      <c r="CN122" s="129">
        <v>0</v>
      </c>
      <c r="CO122" s="129">
        <v>0</v>
      </c>
      <c r="CP122" s="129">
        <v>-193000</v>
      </c>
      <c r="CQ122" s="129">
        <v>-193000</v>
      </c>
      <c r="CR122" s="129">
        <v>0</v>
      </c>
      <c r="CS122" s="129">
        <v>0</v>
      </c>
      <c r="CT122" s="129">
        <v>-36372</v>
      </c>
      <c r="CU122" s="129">
        <v>-193000</v>
      </c>
      <c r="CV122" s="129">
        <v>0</v>
      </c>
      <c r="CW122" s="129">
        <v>0</v>
      </c>
      <c r="CX122" s="129">
        <v>-36372</v>
      </c>
      <c r="CY122" s="129">
        <v>-193000</v>
      </c>
      <c r="CZ122" s="129">
        <v>-229372</v>
      </c>
      <c r="DA122" s="129">
        <v>0</v>
      </c>
      <c r="DB122" s="129">
        <v>0</v>
      </c>
      <c r="DC122" s="129">
        <v>0</v>
      </c>
      <c r="DD122" s="129">
        <v>-3651</v>
      </c>
      <c r="DE122" s="129">
        <v>0</v>
      </c>
      <c r="DF122" s="129">
        <v>-3651</v>
      </c>
      <c r="DG122" s="129">
        <v>0</v>
      </c>
      <c r="DH122" s="129">
        <v>0</v>
      </c>
      <c r="DI122" s="129">
        <v>0</v>
      </c>
      <c r="DJ122" s="129">
        <v>-3651</v>
      </c>
      <c r="DK122" s="129">
        <v>0</v>
      </c>
      <c r="DL122" s="129">
        <v>0</v>
      </c>
      <c r="DM122" s="129">
        <v>0</v>
      </c>
      <c r="DN122" s="129">
        <v>-3651</v>
      </c>
      <c r="DO122" s="129">
        <v>0</v>
      </c>
      <c r="DP122" s="129">
        <v>-3651</v>
      </c>
      <c r="DQ122" s="129">
        <v>42765838</v>
      </c>
      <c r="DR122" s="129">
        <v>4790565</v>
      </c>
      <c r="DS122" s="129">
        <v>47556403</v>
      </c>
      <c r="DT122" s="662" t="s">
        <v>112</v>
      </c>
      <c r="DU122" s="324" t="s">
        <v>528</v>
      </c>
      <c r="DV122" s="663" t="s">
        <v>1913</v>
      </c>
      <c r="DW122" s="529" t="s">
        <v>1329</v>
      </c>
    </row>
    <row r="123" spans="1:127" ht="12.75" x14ac:dyDescent="0.2">
      <c r="A123" s="664">
        <v>116</v>
      </c>
      <c r="B123" s="665" t="s">
        <v>115</v>
      </c>
      <c r="C123" s="666" t="s">
        <v>1201</v>
      </c>
      <c r="D123" s="667" t="s">
        <v>1218</v>
      </c>
      <c r="E123" s="668" t="s">
        <v>114</v>
      </c>
      <c r="F123" s="753" t="s">
        <v>1903</v>
      </c>
      <c r="G123" s="129">
        <v>163832604</v>
      </c>
      <c r="H123" s="129">
        <v>0</v>
      </c>
      <c r="I123" s="129">
        <v>163832604</v>
      </c>
      <c r="J123" s="793">
        <v>49.9</v>
      </c>
      <c r="K123" s="129">
        <v>81752469</v>
      </c>
      <c r="L123" s="129">
        <v>0</v>
      </c>
      <c r="M123" s="129">
        <v>0</v>
      </c>
      <c r="N123" s="129">
        <v>0</v>
      </c>
      <c r="O123" s="129">
        <v>81752469</v>
      </c>
      <c r="P123" s="129">
        <v>0</v>
      </c>
      <c r="Q123" s="129">
        <v>81752469</v>
      </c>
      <c r="R123" s="129">
        <v>-224280</v>
      </c>
      <c r="S123" s="129">
        <v>0</v>
      </c>
      <c r="T123" s="129">
        <v>-224280</v>
      </c>
      <c r="U123" s="129">
        <v>146020</v>
      </c>
      <c r="V123" s="129">
        <v>0</v>
      </c>
      <c r="W123" s="129">
        <v>146020</v>
      </c>
      <c r="X123" s="129">
        <v>-78260</v>
      </c>
      <c r="Y123" s="129">
        <v>0</v>
      </c>
      <c r="Z123" s="129">
        <v>0</v>
      </c>
      <c r="AA123" s="129">
        <v>0</v>
      </c>
      <c r="AB123" s="129">
        <v>-78260</v>
      </c>
      <c r="AC123" s="129">
        <v>0</v>
      </c>
      <c r="AD123" s="129">
        <v>-78260</v>
      </c>
      <c r="AE123" s="129">
        <v>78260</v>
      </c>
      <c r="AF123" s="129">
        <v>0</v>
      </c>
      <c r="AG123" s="129">
        <v>78260</v>
      </c>
      <c r="AH123" s="129">
        <v>-9082473</v>
      </c>
      <c r="AI123" s="129">
        <v>0</v>
      </c>
      <c r="AJ123" s="129">
        <v>-9082473</v>
      </c>
      <c r="AK123" s="129">
        <v>0</v>
      </c>
      <c r="AL123" s="129">
        <v>0</v>
      </c>
      <c r="AM123" s="129">
        <v>0</v>
      </c>
      <c r="AN123" s="129">
        <v>1382473</v>
      </c>
      <c r="AO123" s="129">
        <v>0</v>
      </c>
      <c r="AP123" s="129">
        <v>1382473</v>
      </c>
      <c r="AQ123" s="129">
        <v>-7700000</v>
      </c>
      <c r="AR123" s="129">
        <v>0</v>
      </c>
      <c r="AS123" s="129">
        <v>-7700000</v>
      </c>
      <c r="AT123" s="129">
        <v>-3800000</v>
      </c>
      <c r="AU123" s="129">
        <v>0</v>
      </c>
      <c r="AV123" s="129">
        <v>-3800000</v>
      </c>
      <c r="AW123" s="129">
        <v>-134000</v>
      </c>
      <c r="AX123" s="129">
        <v>0</v>
      </c>
      <c r="AY123" s="129">
        <v>-134000</v>
      </c>
      <c r="AZ123" s="129">
        <v>-48500</v>
      </c>
      <c r="BA123" s="129">
        <v>0</v>
      </c>
      <c r="BB123" s="129">
        <v>-48500</v>
      </c>
      <c r="BC123" s="129">
        <v>0</v>
      </c>
      <c r="BD123" s="129">
        <v>0</v>
      </c>
      <c r="BE123" s="129">
        <v>0</v>
      </c>
      <c r="BF123" s="129">
        <v>-11682500</v>
      </c>
      <c r="BG123" s="129">
        <v>0</v>
      </c>
      <c r="BH123" s="129">
        <v>0</v>
      </c>
      <c r="BI123" s="129">
        <v>0</v>
      </c>
      <c r="BJ123" s="129">
        <v>-11682500</v>
      </c>
      <c r="BK123" s="129">
        <v>0</v>
      </c>
      <c r="BL123" s="129">
        <v>-11682500</v>
      </c>
      <c r="BM123" s="129">
        <v>0</v>
      </c>
      <c r="BN123" s="129">
        <v>0</v>
      </c>
      <c r="BO123" s="129">
        <v>0</v>
      </c>
      <c r="BP123" s="129">
        <v>-2500000</v>
      </c>
      <c r="BQ123" s="129">
        <v>0</v>
      </c>
      <c r="BR123" s="129">
        <v>-2500000</v>
      </c>
      <c r="BS123" s="129">
        <v>-2500000</v>
      </c>
      <c r="BT123" s="129">
        <v>0</v>
      </c>
      <c r="BU123" s="129">
        <v>0</v>
      </c>
      <c r="BV123" s="129">
        <v>0</v>
      </c>
      <c r="BW123" s="129">
        <v>-2500000</v>
      </c>
      <c r="BX123" s="129">
        <v>0</v>
      </c>
      <c r="BY123" s="129">
        <v>-2500000</v>
      </c>
      <c r="BZ123" s="129">
        <v>-33000</v>
      </c>
      <c r="CA123" s="129">
        <v>0</v>
      </c>
      <c r="CB123" s="129">
        <v>-33000</v>
      </c>
      <c r="CC123" s="129">
        <v>-7000</v>
      </c>
      <c r="CD123" s="129">
        <v>0</v>
      </c>
      <c r="CE123" s="129">
        <v>-7000</v>
      </c>
      <c r="CF123" s="129">
        <v>0</v>
      </c>
      <c r="CG123" s="129">
        <v>0</v>
      </c>
      <c r="CH123" s="129">
        <v>0</v>
      </c>
      <c r="CI123" s="129">
        <v>0</v>
      </c>
      <c r="CJ123" s="129">
        <v>0</v>
      </c>
      <c r="CK123" s="129">
        <v>0</v>
      </c>
      <c r="CL123" s="129">
        <v>-3400</v>
      </c>
      <c r="CM123" s="129">
        <v>0</v>
      </c>
      <c r="CN123" s="129">
        <v>-3400</v>
      </c>
      <c r="CO123" s="129">
        <v>0</v>
      </c>
      <c r="CP123" s="129">
        <v>0</v>
      </c>
      <c r="CQ123" s="129">
        <v>0</v>
      </c>
      <c r="CR123" s="129">
        <v>0</v>
      </c>
      <c r="CS123" s="129">
        <v>0</v>
      </c>
      <c r="CT123" s="129">
        <v>-43400</v>
      </c>
      <c r="CU123" s="129">
        <v>0</v>
      </c>
      <c r="CV123" s="129">
        <v>0</v>
      </c>
      <c r="CW123" s="129">
        <v>0</v>
      </c>
      <c r="CX123" s="129">
        <v>-43400</v>
      </c>
      <c r="CY123" s="129">
        <v>0</v>
      </c>
      <c r="CZ123" s="129">
        <v>-43400</v>
      </c>
      <c r="DA123" s="129">
        <v>-48500</v>
      </c>
      <c r="DB123" s="129">
        <v>0</v>
      </c>
      <c r="DC123" s="129">
        <v>-48500</v>
      </c>
      <c r="DD123" s="129">
        <v>-34000</v>
      </c>
      <c r="DE123" s="129">
        <v>0</v>
      </c>
      <c r="DF123" s="129">
        <v>-34000</v>
      </c>
      <c r="DG123" s="129">
        <v>0</v>
      </c>
      <c r="DH123" s="129">
        <v>0</v>
      </c>
      <c r="DI123" s="129">
        <v>0</v>
      </c>
      <c r="DJ123" s="129">
        <v>-82500</v>
      </c>
      <c r="DK123" s="129">
        <v>0</v>
      </c>
      <c r="DL123" s="129">
        <v>0</v>
      </c>
      <c r="DM123" s="129">
        <v>0</v>
      </c>
      <c r="DN123" s="129">
        <v>-82500</v>
      </c>
      <c r="DO123" s="129">
        <v>0</v>
      </c>
      <c r="DP123" s="129">
        <v>-82500</v>
      </c>
      <c r="DQ123" s="129">
        <v>67365809</v>
      </c>
      <c r="DR123" s="129">
        <v>0</v>
      </c>
      <c r="DS123" s="129">
        <v>67365809</v>
      </c>
      <c r="DT123" s="662" t="s">
        <v>114</v>
      </c>
      <c r="DU123" s="324" t="s">
        <v>556</v>
      </c>
      <c r="DV123" s="663" t="s">
        <v>555</v>
      </c>
      <c r="DW123" s="529" t="s">
        <v>1330</v>
      </c>
    </row>
    <row r="124" spans="1:127" ht="12.75" x14ac:dyDescent="0.2">
      <c r="A124" s="664">
        <v>117</v>
      </c>
      <c r="B124" s="665" t="s">
        <v>117</v>
      </c>
      <c r="C124" s="666" t="s">
        <v>1213</v>
      </c>
      <c r="D124" s="667" t="s">
        <v>1214</v>
      </c>
      <c r="E124" s="668" t="s">
        <v>116</v>
      </c>
      <c r="F124" s="753" t="s">
        <v>1879</v>
      </c>
      <c r="G124" s="129">
        <v>137839596</v>
      </c>
      <c r="H124" s="129">
        <v>0</v>
      </c>
      <c r="I124" s="129">
        <v>137839596</v>
      </c>
      <c r="J124" s="793">
        <v>49.9</v>
      </c>
      <c r="K124" s="129">
        <v>68781958</v>
      </c>
      <c r="L124" s="129">
        <v>0</v>
      </c>
      <c r="M124" s="129">
        <v>0</v>
      </c>
      <c r="N124" s="129">
        <v>0</v>
      </c>
      <c r="O124" s="129">
        <v>68781958</v>
      </c>
      <c r="P124" s="129">
        <v>0</v>
      </c>
      <c r="Q124" s="129">
        <v>68781958</v>
      </c>
      <c r="R124" s="129">
        <v>-100000</v>
      </c>
      <c r="S124" s="129">
        <v>0</v>
      </c>
      <c r="T124" s="129">
        <v>-100000</v>
      </c>
      <c r="U124" s="129">
        <v>150000</v>
      </c>
      <c r="V124" s="129">
        <v>0</v>
      </c>
      <c r="W124" s="129">
        <v>150000</v>
      </c>
      <c r="X124" s="129">
        <v>50000</v>
      </c>
      <c r="Y124" s="129">
        <v>0</v>
      </c>
      <c r="Z124" s="129">
        <v>0</v>
      </c>
      <c r="AA124" s="129">
        <v>0</v>
      </c>
      <c r="AB124" s="129">
        <v>50000</v>
      </c>
      <c r="AC124" s="129">
        <v>0</v>
      </c>
      <c r="AD124" s="129">
        <v>50000</v>
      </c>
      <c r="AE124" s="129">
        <v>-50000</v>
      </c>
      <c r="AF124" s="129">
        <v>0</v>
      </c>
      <c r="AG124" s="129">
        <v>-50000</v>
      </c>
      <c r="AH124" s="129">
        <v>-6880000</v>
      </c>
      <c r="AI124" s="129">
        <v>0</v>
      </c>
      <c r="AJ124" s="129">
        <v>-6880000</v>
      </c>
      <c r="AK124" s="129">
        <v>0</v>
      </c>
      <c r="AL124" s="129">
        <v>0</v>
      </c>
      <c r="AM124" s="129">
        <v>0</v>
      </c>
      <c r="AN124" s="129">
        <v>500000</v>
      </c>
      <c r="AO124" s="129">
        <v>0</v>
      </c>
      <c r="AP124" s="129">
        <v>500000</v>
      </c>
      <c r="AQ124" s="129">
        <v>-6380000</v>
      </c>
      <c r="AR124" s="129">
        <v>0</v>
      </c>
      <c r="AS124" s="129">
        <v>-6380000</v>
      </c>
      <c r="AT124" s="129">
        <v>-6300000</v>
      </c>
      <c r="AU124" s="129">
        <v>0</v>
      </c>
      <c r="AV124" s="129">
        <v>-6300000</v>
      </c>
      <c r="AW124" s="129">
        <v>-130000</v>
      </c>
      <c r="AX124" s="129">
        <v>0</v>
      </c>
      <c r="AY124" s="129">
        <v>-130000</v>
      </c>
      <c r="AZ124" s="129">
        <v>0</v>
      </c>
      <c r="BA124" s="129">
        <v>0</v>
      </c>
      <c r="BB124" s="129">
        <v>0</v>
      </c>
      <c r="BC124" s="129">
        <v>0</v>
      </c>
      <c r="BD124" s="129">
        <v>0</v>
      </c>
      <c r="BE124" s="129">
        <v>0</v>
      </c>
      <c r="BF124" s="129">
        <v>-12810000</v>
      </c>
      <c r="BG124" s="129">
        <v>0</v>
      </c>
      <c r="BH124" s="129">
        <v>0</v>
      </c>
      <c r="BI124" s="129">
        <v>0</v>
      </c>
      <c r="BJ124" s="129">
        <v>-12810000</v>
      </c>
      <c r="BK124" s="129">
        <v>0</v>
      </c>
      <c r="BL124" s="129">
        <v>-12810000</v>
      </c>
      <c r="BM124" s="129">
        <v>-5000</v>
      </c>
      <c r="BN124" s="129">
        <v>0</v>
      </c>
      <c r="BO124" s="129">
        <v>-5000</v>
      </c>
      <c r="BP124" s="129">
        <v>-1000000</v>
      </c>
      <c r="BQ124" s="129">
        <v>0</v>
      </c>
      <c r="BR124" s="129">
        <v>-1000000</v>
      </c>
      <c r="BS124" s="129">
        <v>-1005000</v>
      </c>
      <c r="BT124" s="129">
        <v>0</v>
      </c>
      <c r="BU124" s="129">
        <v>0</v>
      </c>
      <c r="BV124" s="129">
        <v>0</v>
      </c>
      <c r="BW124" s="129">
        <v>-1005000</v>
      </c>
      <c r="BX124" s="129">
        <v>0</v>
      </c>
      <c r="BY124" s="129">
        <v>-1005000</v>
      </c>
      <c r="BZ124" s="129">
        <v>-20000</v>
      </c>
      <c r="CA124" s="129">
        <v>0</v>
      </c>
      <c r="CB124" s="129">
        <v>-20000</v>
      </c>
      <c r="CC124" s="129">
        <v>-35000</v>
      </c>
      <c r="CD124" s="129">
        <v>0</v>
      </c>
      <c r="CE124" s="129">
        <v>-35000</v>
      </c>
      <c r="CF124" s="129">
        <v>0</v>
      </c>
      <c r="CG124" s="129">
        <v>0</v>
      </c>
      <c r="CH124" s="129">
        <v>0</v>
      </c>
      <c r="CI124" s="129">
        <v>0</v>
      </c>
      <c r="CJ124" s="129">
        <v>0</v>
      </c>
      <c r="CK124" s="129">
        <v>0</v>
      </c>
      <c r="CL124" s="129">
        <v>0</v>
      </c>
      <c r="CM124" s="129">
        <v>0</v>
      </c>
      <c r="CN124" s="129">
        <v>0</v>
      </c>
      <c r="CO124" s="129">
        <v>0</v>
      </c>
      <c r="CP124" s="129">
        <v>0</v>
      </c>
      <c r="CQ124" s="129">
        <v>0</v>
      </c>
      <c r="CR124" s="129">
        <v>0</v>
      </c>
      <c r="CS124" s="129">
        <v>0</v>
      </c>
      <c r="CT124" s="129">
        <v>-55000</v>
      </c>
      <c r="CU124" s="129">
        <v>0</v>
      </c>
      <c r="CV124" s="129">
        <v>0</v>
      </c>
      <c r="CW124" s="129">
        <v>0</v>
      </c>
      <c r="CX124" s="129">
        <v>-55000</v>
      </c>
      <c r="CY124" s="129">
        <v>0</v>
      </c>
      <c r="CZ124" s="129">
        <v>-55000</v>
      </c>
      <c r="DA124" s="129">
        <v>0</v>
      </c>
      <c r="DB124" s="129">
        <v>0</v>
      </c>
      <c r="DC124" s="129">
        <v>0</v>
      </c>
      <c r="DD124" s="129">
        <v>0</v>
      </c>
      <c r="DE124" s="129">
        <v>0</v>
      </c>
      <c r="DF124" s="129">
        <v>0</v>
      </c>
      <c r="DG124" s="129">
        <v>0</v>
      </c>
      <c r="DH124" s="129">
        <v>0</v>
      </c>
      <c r="DI124" s="129">
        <v>0</v>
      </c>
      <c r="DJ124" s="129">
        <v>0</v>
      </c>
      <c r="DK124" s="129">
        <v>0</v>
      </c>
      <c r="DL124" s="129">
        <v>0</v>
      </c>
      <c r="DM124" s="129">
        <v>0</v>
      </c>
      <c r="DN124" s="129">
        <v>0</v>
      </c>
      <c r="DO124" s="129">
        <v>0</v>
      </c>
      <c r="DP124" s="129">
        <v>0</v>
      </c>
      <c r="DQ124" s="129">
        <v>54961958</v>
      </c>
      <c r="DR124" s="129">
        <v>0</v>
      </c>
      <c r="DS124" s="129">
        <v>54961958</v>
      </c>
      <c r="DT124" s="662" t="s">
        <v>116</v>
      </c>
      <c r="DU124" s="324" t="s">
        <v>576</v>
      </c>
      <c r="DV124" s="669" t="s">
        <v>485</v>
      </c>
      <c r="DW124" s="529" t="s">
        <v>1331</v>
      </c>
    </row>
    <row r="125" spans="1:127" ht="12.75" x14ac:dyDescent="0.2">
      <c r="A125" s="664">
        <v>118</v>
      </c>
      <c r="B125" s="665" t="s">
        <v>119</v>
      </c>
      <c r="C125" s="666" t="s">
        <v>1201</v>
      </c>
      <c r="D125" s="667" t="s">
        <v>1202</v>
      </c>
      <c r="E125" s="668" t="s">
        <v>118</v>
      </c>
      <c r="F125" s="753" t="s">
        <v>1884</v>
      </c>
      <c r="G125" s="129">
        <v>74106299</v>
      </c>
      <c r="H125" s="129">
        <v>0</v>
      </c>
      <c r="I125" s="129">
        <v>74106299</v>
      </c>
      <c r="J125" s="793">
        <v>49.9</v>
      </c>
      <c r="K125" s="129">
        <v>36979043</v>
      </c>
      <c r="L125" s="129">
        <v>0</v>
      </c>
      <c r="M125" s="129">
        <v>-369790</v>
      </c>
      <c r="N125" s="129">
        <v>0</v>
      </c>
      <c r="O125" s="129">
        <v>36609253</v>
      </c>
      <c r="P125" s="129">
        <v>0</v>
      </c>
      <c r="Q125" s="129">
        <v>36609253</v>
      </c>
      <c r="R125" s="129">
        <v>-86789</v>
      </c>
      <c r="S125" s="129">
        <v>0</v>
      </c>
      <c r="T125" s="129">
        <v>-86789</v>
      </c>
      <c r="U125" s="129">
        <v>66194</v>
      </c>
      <c r="V125" s="129">
        <v>0</v>
      </c>
      <c r="W125" s="129">
        <v>66194</v>
      </c>
      <c r="X125" s="129">
        <v>-20595</v>
      </c>
      <c r="Y125" s="129">
        <v>0</v>
      </c>
      <c r="Z125" s="129">
        <v>0</v>
      </c>
      <c r="AA125" s="129">
        <v>0</v>
      </c>
      <c r="AB125" s="129">
        <v>-20595</v>
      </c>
      <c r="AC125" s="129">
        <v>0</v>
      </c>
      <c r="AD125" s="129">
        <v>-20595</v>
      </c>
      <c r="AE125" s="129">
        <v>20595</v>
      </c>
      <c r="AF125" s="129">
        <v>0</v>
      </c>
      <c r="AG125" s="129">
        <v>20595</v>
      </c>
      <c r="AH125" s="129">
        <v>-2449574</v>
      </c>
      <c r="AI125" s="129">
        <v>0</v>
      </c>
      <c r="AJ125" s="129">
        <v>-2449574</v>
      </c>
      <c r="AK125" s="129">
        <v>0</v>
      </c>
      <c r="AL125" s="129">
        <v>0</v>
      </c>
      <c r="AM125" s="129">
        <v>0</v>
      </c>
      <c r="AN125" s="129">
        <v>690625</v>
      </c>
      <c r="AO125" s="129">
        <v>0</v>
      </c>
      <c r="AP125" s="129">
        <v>690625</v>
      </c>
      <c r="AQ125" s="129">
        <v>-1758949</v>
      </c>
      <c r="AR125" s="129">
        <v>0</v>
      </c>
      <c r="AS125" s="129">
        <v>-1758949</v>
      </c>
      <c r="AT125" s="129">
        <v>-1812020</v>
      </c>
      <c r="AU125" s="129">
        <v>0</v>
      </c>
      <c r="AV125" s="129">
        <v>-1812020</v>
      </c>
      <c r="AW125" s="129">
        <v>-5857</v>
      </c>
      <c r="AX125" s="129">
        <v>0</v>
      </c>
      <c r="AY125" s="129">
        <v>-5857</v>
      </c>
      <c r="AZ125" s="129">
        <v>-2483</v>
      </c>
      <c r="BA125" s="129">
        <v>0</v>
      </c>
      <c r="BB125" s="129">
        <v>-2483</v>
      </c>
      <c r="BC125" s="129">
        <v>0</v>
      </c>
      <c r="BD125" s="129">
        <v>0</v>
      </c>
      <c r="BE125" s="129">
        <v>0</v>
      </c>
      <c r="BF125" s="129">
        <v>-3579309</v>
      </c>
      <c r="BG125" s="129">
        <v>0</v>
      </c>
      <c r="BH125" s="129">
        <v>0</v>
      </c>
      <c r="BI125" s="129">
        <v>0</v>
      </c>
      <c r="BJ125" s="129">
        <v>-3579309</v>
      </c>
      <c r="BK125" s="129">
        <v>0</v>
      </c>
      <c r="BL125" s="129">
        <v>-3579309</v>
      </c>
      <c r="BM125" s="129">
        <v>0</v>
      </c>
      <c r="BN125" s="129">
        <v>0</v>
      </c>
      <c r="BO125" s="129">
        <v>0</v>
      </c>
      <c r="BP125" s="129">
        <v>-1296355</v>
      </c>
      <c r="BQ125" s="129">
        <v>0</v>
      </c>
      <c r="BR125" s="129">
        <v>-1296355</v>
      </c>
      <c r="BS125" s="129">
        <v>-1296355</v>
      </c>
      <c r="BT125" s="129">
        <v>0</v>
      </c>
      <c r="BU125" s="129">
        <v>0</v>
      </c>
      <c r="BV125" s="129">
        <v>0</v>
      </c>
      <c r="BW125" s="129">
        <v>-1296355</v>
      </c>
      <c r="BX125" s="129">
        <v>0</v>
      </c>
      <c r="BY125" s="129">
        <v>-1296355</v>
      </c>
      <c r="BZ125" s="129">
        <v>-126507</v>
      </c>
      <c r="CA125" s="129">
        <v>0</v>
      </c>
      <c r="CB125" s="129">
        <v>-126507</v>
      </c>
      <c r="CC125" s="129">
        <v>-23334</v>
      </c>
      <c r="CD125" s="129">
        <v>0</v>
      </c>
      <c r="CE125" s="129">
        <v>-23334</v>
      </c>
      <c r="CF125" s="129">
        <v>-1464</v>
      </c>
      <c r="CG125" s="129">
        <v>0</v>
      </c>
      <c r="CH125" s="129">
        <v>-1464</v>
      </c>
      <c r="CI125" s="129">
        <v>0</v>
      </c>
      <c r="CJ125" s="129">
        <v>0</v>
      </c>
      <c r="CK125" s="129">
        <v>0</v>
      </c>
      <c r="CL125" s="129">
        <v>0</v>
      </c>
      <c r="CM125" s="129">
        <v>0</v>
      </c>
      <c r="CN125" s="129">
        <v>0</v>
      </c>
      <c r="CO125" s="129">
        <v>0</v>
      </c>
      <c r="CP125" s="129">
        <v>0</v>
      </c>
      <c r="CQ125" s="129">
        <v>0</v>
      </c>
      <c r="CR125" s="129">
        <v>0</v>
      </c>
      <c r="CS125" s="129">
        <v>0</v>
      </c>
      <c r="CT125" s="129">
        <v>-151305</v>
      </c>
      <c r="CU125" s="129">
        <v>0</v>
      </c>
      <c r="CV125" s="129">
        <v>0</v>
      </c>
      <c r="CW125" s="129">
        <v>0</v>
      </c>
      <c r="CX125" s="129">
        <v>-151305</v>
      </c>
      <c r="CY125" s="129">
        <v>0</v>
      </c>
      <c r="CZ125" s="129">
        <v>-151305</v>
      </c>
      <c r="DA125" s="129">
        <v>-2483</v>
      </c>
      <c r="DB125" s="129">
        <v>0</v>
      </c>
      <c r="DC125" s="129">
        <v>-2483</v>
      </c>
      <c r="DD125" s="129">
        <v>-8153</v>
      </c>
      <c r="DE125" s="129">
        <v>0</v>
      </c>
      <c r="DF125" s="129">
        <v>-8153</v>
      </c>
      <c r="DG125" s="129">
        <v>0</v>
      </c>
      <c r="DH125" s="129">
        <v>0</v>
      </c>
      <c r="DI125" s="129">
        <v>0</v>
      </c>
      <c r="DJ125" s="129">
        <v>-10636</v>
      </c>
      <c r="DK125" s="129">
        <v>0</v>
      </c>
      <c r="DL125" s="129">
        <v>0</v>
      </c>
      <c r="DM125" s="129">
        <v>0</v>
      </c>
      <c r="DN125" s="129">
        <v>-10636</v>
      </c>
      <c r="DO125" s="129">
        <v>0</v>
      </c>
      <c r="DP125" s="129">
        <v>-10636</v>
      </c>
      <c r="DQ125" s="129">
        <v>31551053</v>
      </c>
      <c r="DR125" s="129">
        <v>0</v>
      </c>
      <c r="DS125" s="129">
        <v>31551053</v>
      </c>
      <c r="DT125" s="662" t="s">
        <v>118</v>
      </c>
      <c r="DU125" s="324" t="s">
        <v>532</v>
      </c>
      <c r="DV125" s="663" t="s">
        <v>1914</v>
      </c>
      <c r="DW125" s="529" t="s">
        <v>1332</v>
      </c>
    </row>
    <row r="126" spans="1:127" ht="12.75" x14ac:dyDescent="0.2">
      <c r="A126" s="664">
        <v>119</v>
      </c>
      <c r="B126" s="665" t="s">
        <v>121</v>
      </c>
      <c r="C126" s="666" t="s">
        <v>486</v>
      </c>
      <c r="D126" s="667" t="s">
        <v>1283</v>
      </c>
      <c r="E126" s="668" t="s">
        <v>508</v>
      </c>
      <c r="F126" s="753" t="s">
        <v>1875</v>
      </c>
      <c r="G126" s="129">
        <v>79756088</v>
      </c>
      <c r="H126" s="129">
        <v>439225</v>
      </c>
      <c r="I126" s="129">
        <v>80195313</v>
      </c>
      <c r="J126" s="793">
        <v>49.9</v>
      </c>
      <c r="K126" s="129">
        <v>39798288</v>
      </c>
      <c r="L126" s="129">
        <v>219173</v>
      </c>
      <c r="M126" s="129">
        <v>0</v>
      </c>
      <c r="N126" s="129">
        <v>0</v>
      </c>
      <c r="O126" s="129">
        <v>39798288</v>
      </c>
      <c r="P126" s="129">
        <v>219173</v>
      </c>
      <c r="Q126" s="129">
        <v>40017461</v>
      </c>
      <c r="R126" s="129">
        <v>-80397</v>
      </c>
      <c r="S126" s="129">
        <v>-604</v>
      </c>
      <c r="T126" s="129">
        <v>-81001</v>
      </c>
      <c r="U126" s="129">
        <v>370964</v>
      </c>
      <c r="V126" s="129">
        <v>0</v>
      </c>
      <c r="W126" s="129">
        <v>370964</v>
      </c>
      <c r="X126" s="129">
        <v>290567</v>
      </c>
      <c r="Y126" s="129">
        <v>-604</v>
      </c>
      <c r="Z126" s="129">
        <v>0</v>
      </c>
      <c r="AA126" s="129">
        <v>0</v>
      </c>
      <c r="AB126" s="129">
        <v>290567</v>
      </c>
      <c r="AC126" s="129">
        <v>-604</v>
      </c>
      <c r="AD126" s="129">
        <v>289963</v>
      </c>
      <c r="AE126" s="129">
        <v>-290567</v>
      </c>
      <c r="AF126" s="129">
        <v>604</v>
      </c>
      <c r="AG126" s="129">
        <v>-289963</v>
      </c>
      <c r="AH126" s="129">
        <v>-3326859</v>
      </c>
      <c r="AI126" s="129">
        <v>-53428</v>
      </c>
      <c r="AJ126" s="129">
        <v>-3380287</v>
      </c>
      <c r="AK126" s="129">
        <v>0</v>
      </c>
      <c r="AL126" s="129">
        <v>0</v>
      </c>
      <c r="AM126" s="129">
        <v>0</v>
      </c>
      <c r="AN126" s="129">
        <v>801146</v>
      </c>
      <c r="AO126" s="129">
        <v>2428</v>
      </c>
      <c r="AP126" s="129">
        <v>803574</v>
      </c>
      <c r="AQ126" s="129">
        <v>-2525714</v>
      </c>
      <c r="AR126" s="129">
        <v>-51000</v>
      </c>
      <c r="AS126" s="129">
        <v>-2576714</v>
      </c>
      <c r="AT126" s="129">
        <v>-2518654</v>
      </c>
      <c r="AU126" s="129">
        <v>0</v>
      </c>
      <c r="AV126" s="129">
        <v>-2518654</v>
      </c>
      <c r="AW126" s="129">
        <v>-25723</v>
      </c>
      <c r="AX126" s="129">
        <v>0</v>
      </c>
      <c r="AY126" s="129">
        <v>-25723</v>
      </c>
      <c r="AZ126" s="129">
        <v>0</v>
      </c>
      <c r="BA126" s="129">
        <v>0</v>
      </c>
      <c r="BB126" s="129">
        <v>0</v>
      </c>
      <c r="BC126" s="129">
        <v>0</v>
      </c>
      <c r="BD126" s="129">
        <v>0</v>
      </c>
      <c r="BE126" s="129">
        <v>0</v>
      </c>
      <c r="BF126" s="129">
        <v>-5070090</v>
      </c>
      <c r="BG126" s="129">
        <v>-51000</v>
      </c>
      <c r="BH126" s="129">
        <v>0</v>
      </c>
      <c r="BI126" s="129">
        <v>0</v>
      </c>
      <c r="BJ126" s="129">
        <v>-5070090</v>
      </c>
      <c r="BK126" s="129">
        <v>-51000</v>
      </c>
      <c r="BL126" s="129">
        <v>-5121090</v>
      </c>
      <c r="BM126" s="129">
        <v>-24708</v>
      </c>
      <c r="BN126" s="129">
        <v>0</v>
      </c>
      <c r="BO126" s="129">
        <v>-24708</v>
      </c>
      <c r="BP126" s="129">
        <v>-860230</v>
      </c>
      <c r="BQ126" s="129">
        <v>0</v>
      </c>
      <c r="BR126" s="129">
        <v>-860230</v>
      </c>
      <c r="BS126" s="129">
        <v>-884938</v>
      </c>
      <c r="BT126" s="129">
        <v>0</v>
      </c>
      <c r="BU126" s="129">
        <v>0</v>
      </c>
      <c r="BV126" s="129">
        <v>0</v>
      </c>
      <c r="BW126" s="129">
        <v>-884938</v>
      </c>
      <c r="BX126" s="129">
        <v>0</v>
      </c>
      <c r="BY126" s="129">
        <v>-884938</v>
      </c>
      <c r="BZ126" s="129">
        <v>-110916</v>
      </c>
      <c r="CA126" s="129">
        <v>0</v>
      </c>
      <c r="CB126" s="129">
        <v>-110916</v>
      </c>
      <c r="CC126" s="129">
        <v>-30055</v>
      </c>
      <c r="CD126" s="129">
        <v>0</v>
      </c>
      <c r="CE126" s="129">
        <v>-30055</v>
      </c>
      <c r="CF126" s="129">
        <v>-1695</v>
      </c>
      <c r="CG126" s="129">
        <v>0</v>
      </c>
      <c r="CH126" s="129">
        <v>-1695</v>
      </c>
      <c r="CI126" s="129">
        <v>0</v>
      </c>
      <c r="CJ126" s="129">
        <v>0</v>
      </c>
      <c r="CK126" s="129">
        <v>0</v>
      </c>
      <c r="CL126" s="129">
        <v>0</v>
      </c>
      <c r="CM126" s="129">
        <v>0</v>
      </c>
      <c r="CN126" s="129">
        <v>0</v>
      </c>
      <c r="CO126" s="129">
        <v>-6287</v>
      </c>
      <c r="CP126" s="129">
        <v>0</v>
      </c>
      <c r="CQ126" s="129">
        <v>-6287</v>
      </c>
      <c r="CR126" s="129">
        <v>0</v>
      </c>
      <c r="CS126" s="129">
        <v>-6287</v>
      </c>
      <c r="CT126" s="129">
        <v>-148952</v>
      </c>
      <c r="CU126" s="129">
        <v>0</v>
      </c>
      <c r="CV126" s="129">
        <v>0</v>
      </c>
      <c r="CW126" s="129">
        <v>0</v>
      </c>
      <c r="CX126" s="129">
        <v>-148952</v>
      </c>
      <c r="CY126" s="129">
        <v>0</v>
      </c>
      <c r="CZ126" s="129">
        <v>-148952</v>
      </c>
      <c r="DA126" s="129">
        <v>0</v>
      </c>
      <c r="DB126" s="129">
        <v>0</v>
      </c>
      <c r="DC126" s="129">
        <v>0</v>
      </c>
      <c r="DD126" s="129">
        <v>-25517</v>
      </c>
      <c r="DE126" s="129">
        <v>0</v>
      </c>
      <c r="DF126" s="129">
        <v>-25517</v>
      </c>
      <c r="DG126" s="129">
        <v>-1297</v>
      </c>
      <c r="DH126" s="129">
        <v>0</v>
      </c>
      <c r="DI126" s="129">
        <v>-1297</v>
      </c>
      <c r="DJ126" s="129">
        <v>-26814</v>
      </c>
      <c r="DK126" s="129">
        <v>0</v>
      </c>
      <c r="DL126" s="129">
        <v>0</v>
      </c>
      <c r="DM126" s="129">
        <v>0</v>
      </c>
      <c r="DN126" s="129">
        <v>-26814</v>
      </c>
      <c r="DO126" s="129">
        <v>0</v>
      </c>
      <c r="DP126" s="129">
        <v>-26814</v>
      </c>
      <c r="DQ126" s="129">
        <v>33958060</v>
      </c>
      <c r="DR126" s="129">
        <v>167569</v>
      </c>
      <c r="DS126" s="129">
        <v>34125629</v>
      </c>
      <c r="DT126" s="662" t="s">
        <v>508</v>
      </c>
      <c r="DU126" s="324" t="s">
        <v>486</v>
      </c>
      <c r="DV126" s="663" t="s">
        <v>509</v>
      </c>
      <c r="DW126" s="529" t="s">
        <v>1333</v>
      </c>
    </row>
    <row r="127" spans="1:127" ht="12.75" x14ac:dyDescent="0.2">
      <c r="A127" s="664">
        <v>120</v>
      </c>
      <c r="B127" s="665" t="s">
        <v>123</v>
      </c>
      <c r="C127" s="666" t="s">
        <v>1201</v>
      </c>
      <c r="D127" s="667" t="s">
        <v>1202</v>
      </c>
      <c r="E127" s="668" t="s">
        <v>122</v>
      </c>
      <c r="F127" s="753" t="s">
        <v>1904</v>
      </c>
      <c r="G127" s="129">
        <v>63065469</v>
      </c>
      <c r="H127" s="129">
        <v>0</v>
      </c>
      <c r="I127" s="129">
        <v>63065469</v>
      </c>
      <c r="J127" s="793">
        <v>49.9</v>
      </c>
      <c r="K127" s="129">
        <v>31469669</v>
      </c>
      <c r="L127" s="129">
        <v>0</v>
      </c>
      <c r="M127" s="129">
        <v>0</v>
      </c>
      <c r="N127" s="129">
        <v>0</v>
      </c>
      <c r="O127" s="129">
        <v>31469669</v>
      </c>
      <c r="P127" s="129">
        <v>0</v>
      </c>
      <c r="Q127" s="129">
        <v>31469669</v>
      </c>
      <c r="R127" s="129">
        <v>-26811</v>
      </c>
      <c r="S127" s="129">
        <v>0</v>
      </c>
      <c r="T127" s="129">
        <v>-26811</v>
      </c>
      <c r="U127" s="129">
        <v>154104</v>
      </c>
      <c r="V127" s="129">
        <v>0</v>
      </c>
      <c r="W127" s="129">
        <v>154104</v>
      </c>
      <c r="X127" s="129">
        <v>127293</v>
      </c>
      <c r="Y127" s="129">
        <v>0</v>
      </c>
      <c r="Z127" s="129">
        <v>0</v>
      </c>
      <c r="AA127" s="129">
        <v>0</v>
      </c>
      <c r="AB127" s="129">
        <v>127293</v>
      </c>
      <c r="AC127" s="129">
        <v>0</v>
      </c>
      <c r="AD127" s="129">
        <v>127293</v>
      </c>
      <c r="AE127" s="129">
        <v>-127293</v>
      </c>
      <c r="AF127" s="129">
        <v>0</v>
      </c>
      <c r="AG127" s="129">
        <v>-127293</v>
      </c>
      <c r="AH127" s="129">
        <v>-3829404</v>
      </c>
      <c r="AI127" s="129">
        <v>0</v>
      </c>
      <c r="AJ127" s="129">
        <v>-3829404</v>
      </c>
      <c r="AK127" s="129">
        <v>0</v>
      </c>
      <c r="AL127" s="129">
        <v>0</v>
      </c>
      <c r="AM127" s="129">
        <v>0</v>
      </c>
      <c r="AN127" s="129">
        <v>523567</v>
      </c>
      <c r="AO127" s="129">
        <v>0</v>
      </c>
      <c r="AP127" s="129">
        <v>523567</v>
      </c>
      <c r="AQ127" s="129">
        <v>-3305837</v>
      </c>
      <c r="AR127" s="129">
        <v>0</v>
      </c>
      <c r="AS127" s="129">
        <v>-3305837</v>
      </c>
      <c r="AT127" s="129">
        <v>-3358770</v>
      </c>
      <c r="AU127" s="129">
        <v>0</v>
      </c>
      <c r="AV127" s="129">
        <v>-3358770</v>
      </c>
      <c r="AW127" s="129">
        <v>-41597</v>
      </c>
      <c r="AX127" s="129">
        <v>0</v>
      </c>
      <c r="AY127" s="129">
        <v>-41597</v>
      </c>
      <c r="AZ127" s="129">
        <v>0</v>
      </c>
      <c r="BA127" s="129">
        <v>0</v>
      </c>
      <c r="BB127" s="129">
        <v>0</v>
      </c>
      <c r="BC127" s="129">
        <v>0</v>
      </c>
      <c r="BD127" s="129">
        <v>0</v>
      </c>
      <c r="BE127" s="129">
        <v>0</v>
      </c>
      <c r="BF127" s="129">
        <v>-6706204</v>
      </c>
      <c r="BG127" s="129">
        <v>0</v>
      </c>
      <c r="BH127" s="129">
        <v>0</v>
      </c>
      <c r="BI127" s="129">
        <v>0</v>
      </c>
      <c r="BJ127" s="129">
        <v>-6706204</v>
      </c>
      <c r="BK127" s="129">
        <v>0</v>
      </c>
      <c r="BL127" s="129">
        <v>-6706204</v>
      </c>
      <c r="BM127" s="129">
        <v>-38691</v>
      </c>
      <c r="BN127" s="129">
        <v>0</v>
      </c>
      <c r="BO127" s="129">
        <v>-38691</v>
      </c>
      <c r="BP127" s="129">
        <v>-549629</v>
      </c>
      <c r="BQ127" s="129">
        <v>0</v>
      </c>
      <c r="BR127" s="129">
        <v>-549629</v>
      </c>
      <c r="BS127" s="129">
        <v>-588320</v>
      </c>
      <c r="BT127" s="129">
        <v>0</v>
      </c>
      <c r="BU127" s="129">
        <v>0</v>
      </c>
      <c r="BV127" s="129">
        <v>0</v>
      </c>
      <c r="BW127" s="129">
        <v>-588320</v>
      </c>
      <c r="BX127" s="129">
        <v>0</v>
      </c>
      <c r="BY127" s="129">
        <v>-588320</v>
      </c>
      <c r="BZ127" s="129">
        <v>0</v>
      </c>
      <c r="CA127" s="129">
        <v>0</v>
      </c>
      <c r="CB127" s="129">
        <v>0</v>
      </c>
      <c r="CC127" s="129">
        <v>-25509</v>
      </c>
      <c r="CD127" s="129">
        <v>0</v>
      </c>
      <c r="CE127" s="129">
        <v>-25509</v>
      </c>
      <c r="CF127" s="129">
        <v>0</v>
      </c>
      <c r="CG127" s="129">
        <v>0</v>
      </c>
      <c r="CH127" s="129">
        <v>0</v>
      </c>
      <c r="CI127" s="129">
        <v>0</v>
      </c>
      <c r="CJ127" s="129">
        <v>0</v>
      </c>
      <c r="CK127" s="129">
        <v>0</v>
      </c>
      <c r="CL127" s="129">
        <v>0</v>
      </c>
      <c r="CM127" s="129">
        <v>0</v>
      </c>
      <c r="CN127" s="129">
        <v>0</v>
      </c>
      <c r="CO127" s="129">
        <v>0</v>
      </c>
      <c r="CP127" s="129">
        <v>0</v>
      </c>
      <c r="CQ127" s="129">
        <v>0</v>
      </c>
      <c r="CR127" s="129">
        <v>0</v>
      </c>
      <c r="CS127" s="129">
        <v>0</v>
      </c>
      <c r="CT127" s="129">
        <v>-25509</v>
      </c>
      <c r="CU127" s="129">
        <v>0</v>
      </c>
      <c r="CV127" s="129">
        <v>0</v>
      </c>
      <c r="CW127" s="129">
        <v>0</v>
      </c>
      <c r="CX127" s="129">
        <v>-25509</v>
      </c>
      <c r="CY127" s="129">
        <v>0</v>
      </c>
      <c r="CZ127" s="129">
        <v>-25509</v>
      </c>
      <c r="DA127" s="129">
        <v>0</v>
      </c>
      <c r="DB127" s="129">
        <v>0</v>
      </c>
      <c r="DC127" s="129">
        <v>0</v>
      </c>
      <c r="DD127" s="129">
        <v>-22199</v>
      </c>
      <c r="DE127" s="129">
        <v>0</v>
      </c>
      <c r="DF127" s="129">
        <v>-22199</v>
      </c>
      <c r="DG127" s="129">
        <v>-1500</v>
      </c>
      <c r="DH127" s="129">
        <v>0</v>
      </c>
      <c r="DI127" s="129">
        <v>-1500</v>
      </c>
      <c r="DJ127" s="129">
        <v>-23699</v>
      </c>
      <c r="DK127" s="129">
        <v>0</v>
      </c>
      <c r="DL127" s="129">
        <v>0</v>
      </c>
      <c r="DM127" s="129">
        <v>0</v>
      </c>
      <c r="DN127" s="129">
        <v>-23699</v>
      </c>
      <c r="DO127" s="129">
        <v>0</v>
      </c>
      <c r="DP127" s="129">
        <v>-23699</v>
      </c>
      <c r="DQ127" s="129">
        <v>24253230</v>
      </c>
      <c r="DR127" s="129">
        <v>0</v>
      </c>
      <c r="DS127" s="129">
        <v>24253230</v>
      </c>
      <c r="DT127" s="662" t="s">
        <v>122</v>
      </c>
      <c r="DU127" s="324" t="s">
        <v>525</v>
      </c>
      <c r="DV127" s="663" t="s">
        <v>524</v>
      </c>
      <c r="DW127" s="529" t="s">
        <v>1334</v>
      </c>
    </row>
    <row r="128" spans="1:127" ht="14.25" x14ac:dyDescent="0.2">
      <c r="A128" s="664">
        <v>121</v>
      </c>
      <c r="B128" s="665" t="s">
        <v>125</v>
      </c>
      <c r="C128" s="666" t="s">
        <v>1201</v>
      </c>
      <c r="D128" s="667" t="s">
        <v>1202</v>
      </c>
      <c r="E128" s="668" t="s">
        <v>1922</v>
      </c>
      <c r="F128" s="753" t="s">
        <v>1884</v>
      </c>
      <c r="G128" s="129">
        <v>86038318</v>
      </c>
      <c r="H128" s="129">
        <v>0</v>
      </c>
      <c r="I128" s="129">
        <v>86038318</v>
      </c>
      <c r="J128" s="793">
        <v>49.9</v>
      </c>
      <c r="K128" s="129">
        <v>42933121</v>
      </c>
      <c r="L128" s="129">
        <v>0</v>
      </c>
      <c r="M128" s="129">
        <v>0</v>
      </c>
      <c r="N128" s="129">
        <v>0</v>
      </c>
      <c r="O128" s="129">
        <v>42933121</v>
      </c>
      <c r="P128" s="129">
        <v>0</v>
      </c>
      <c r="Q128" s="129">
        <v>42933121</v>
      </c>
      <c r="R128" s="129">
        <v>-105903</v>
      </c>
      <c r="S128" s="129">
        <v>0</v>
      </c>
      <c r="T128" s="129">
        <v>-105903</v>
      </c>
      <c r="U128" s="129">
        <v>327788</v>
      </c>
      <c r="V128" s="129">
        <v>0</v>
      </c>
      <c r="W128" s="129">
        <v>327788</v>
      </c>
      <c r="X128" s="129">
        <v>221885</v>
      </c>
      <c r="Y128" s="129">
        <v>0</v>
      </c>
      <c r="Z128" s="129">
        <v>0</v>
      </c>
      <c r="AA128" s="129">
        <v>0</v>
      </c>
      <c r="AB128" s="129">
        <v>221885</v>
      </c>
      <c r="AC128" s="129">
        <v>0</v>
      </c>
      <c r="AD128" s="129">
        <v>221885</v>
      </c>
      <c r="AE128" s="129">
        <v>-221885</v>
      </c>
      <c r="AF128" s="129">
        <v>0</v>
      </c>
      <c r="AG128" s="129">
        <v>-221885</v>
      </c>
      <c r="AH128" s="129">
        <v>-3661955</v>
      </c>
      <c r="AI128" s="129">
        <v>0</v>
      </c>
      <c r="AJ128" s="129">
        <v>-3661955</v>
      </c>
      <c r="AK128" s="129">
        <v>0</v>
      </c>
      <c r="AL128" s="129">
        <v>0</v>
      </c>
      <c r="AM128" s="129">
        <v>0</v>
      </c>
      <c r="AN128" s="129">
        <v>781788</v>
      </c>
      <c r="AO128" s="129">
        <v>0</v>
      </c>
      <c r="AP128" s="129">
        <v>781788</v>
      </c>
      <c r="AQ128" s="129">
        <v>-2880167</v>
      </c>
      <c r="AR128" s="129">
        <v>0</v>
      </c>
      <c r="AS128" s="129">
        <v>-2880167</v>
      </c>
      <c r="AT128" s="129">
        <v>-2272138</v>
      </c>
      <c r="AU128" s="129">
        <v>0</v>
      </c>
      <c r="AV128" s="129">
        <v>-2272138</v>
      </c>
      <c r="AW128" s="129">
        <v>-10127</v>
      </c>
      <c r="AX128" s="129">
        <v>0</v>
      </c>
      <c r="AY128" s="129">
        <v>-10127</v>
      </c>
      <c r="AZ128" s="129">
        <v>-2445</v>
      </c>
      <c r="BA128" s="129">
        <v>0</v>
      </c>
      <c r="BB128" s="129">
        <v>-2445</v>
      </c>
      <c r="BC128" s="129">
        <v>0</v>
      </c>
      <c r="BD128" s="129">
        <v>0</v>
      </c>
      <c r="BE128" s="129">
        <v>0</v>
      </c>
      <c r="BF128" s="129">
        <v>-5164877</v>
      </c>
      <c r="BG128" s="129">
        <v>0</v>
      </c>
      <c r="BH128" s="129">
        <v>0</v>
      </c>
      <c r="BI128" s="129">
        <v>0</v>
      </c>
      <c r="BJ128" s="129">
        <v>-5164877</v>
      </c>
      <c r="BK128" s="129">
        <v>0</v>
      </c>
      <c r="BL128" s="129">
        <v>-5164877</v>
      </c>
      <c r="BM128" s="129">
        <v>0</v>
      </c>
      <c r="BN128" s="129">
        <v>0</v>
      </c>
      <c r="BO128" s="129">
        <v>0</v>
      </c>
      <c r="BP128" s="129">
        <v>-1678046</v>
      </c>
      <c r="BQ128" s="129">
        <v>0</v>
      </c>
      <c r="BR128" s="129">
        <v>-1678046</v>
      </c>
      <c r="BS128" s="129">
        <v>-1678046</v>
      </c>
      <c r="BT128" s="129">
        <v>0</v>
      </c>
      <c r="BU128" s="129">
        <v>0</v>
      </c>
      <c r="BV128" s="129">
        <v>0</v>
      </c>
      <c r="BW128" s="129">
        <v>-1678046</v>
      </c>
      <c r="BX128" s="129">
        <v>0</v>
      </c>
      <c r="BY128" s="129">
        <v>-1678046</v>
      </c>
      <c r="BZ128" s="129">
        <v>-118392</v>
      </c>
      <c r="CA128" s="129">
        <v>0</v>
      </c>
      <c r="CB128" s="129">
        <v>-118392</v>
      </c>
      <c r="CC128" s="129">
        <v>-67604</v>
      </c>
      <c r="CD128" s="129">
        <v>0</v>
      </c>
      <c r="CE128" s="129">
        <v>-67604</v>
      </c>
      <c r="CF128" s="129">
        <v>-404</v>
      </c>
      <c r="CG128" s="129">
        <v>0</v>
      </c>
      <c r="CH128" s="129">
        <v>-404</v>
      </c>
      <c r="CI128" s="129">
        <v>0</v>
      </c>
      <c r="CJ128" s="129">
        <v>0</v>
      </c>
      <c r="CK128" s="129">
        <v>0</v>
      </c>
      <c r="CL128" s="129">
        <v>0</v>
      </c>
      <c r="CM128" s="129">
        <v>0</v>
      </c>
      <c r="CN128" s="129">
        <v>0</v>
      </c>
      <c r="CO128" s="129">
        <v>0</v>
      </c>
      <c r="CP128" s="129">
        <v>0</v>
      </c>
      <c r="CQ128" s="129">
        <v>0</v>
      </c>
      <c r="CR128" s="129">
        <v>0</v>
      </c>
      <c r="CS128" s="129">
        <v>0</v>
      </c>
      <c r="CT128" s="129">
        <v>-186400</v>
      </c>
      <c r="CU128" s="129">
        <v>0</v>
      </c>
      <c r="CV128" s="129">
        <v>0</v>
      </c>
      <c r="CW128" s="129">
        <v>0</v>
      </c>
      <c r="CX128" s="129">
        <v>-186400</v>
      </c>
      <c r="CY128" s="129">
        <v>0</v>
      </c>
      <c r="CZ128" s="129">
        <v>-186400</v>
      </c>
      <c r="DA128" s="129">
        <v>-2416</v>
      </c>
      <c r="DB128" s="129">
        <v>0</v>
      </c>
      <c r="DC128" s="129">
        <v>-2416</v>
      </c>
      <c r="DD128" s="129">
        <v>-5033</v>
      </c>
      <c r="DE128" s="129">
        <v>0</v>
      </c>
      <c r="DF128" s="129">
        <v>-5033</v>
      </c>
      <c r="DG128" s="129">
        <v>0</v>
      </c>
      <c r="DH128" s="129">
        <v>0</v>
      </c>
      <c r="DI128" s="129">
        <v>0</v>
      </c>
      <c r="DJ128" s="129">
        <v>-7449</v>
      </c>
      <c r="DK128" s="129">
        <v>0</v>
      </c>
      <c r="DL128" s="129">
        <v>0</v>
      </c>
      <c r="DM128" s="129">
        <v>0</v>
      </c>
      <c r="DN128" s="129">
        <v>-7449</v>
      </c>
      <c r="DO128" s="129">
        <v>0</v>
      </c>
      <c r="DP128" s="129">
        <v>-7449</v>
      </c>
      <c r="DQ128" s="129">
        <v>36118234</v>
      </c>
      <c r="DR128" s="129">
        <v>0</v>
      </c>
      <c r="DS128" s="129">
        <v>36118234</v>
      </c>
      <c r="DT128" s="662" t="s">
        <v>124</v>
      </c>
      <c r="DU128" s="324" t="s">
        <v>532</v>
      </c>
      <c r="DV128" s="663" t="s">
        <v>1920</v>
      </c>
      <c r="DW128" s="529" t="s">
        <v>1335</v>
      </c>
    </row>
    <row r="129" spans="1:127" ht="12.75" x14ac:dyDescent="0.2">
      <c r="A129" s="664">
        <v>122</v>
      </c>
      <c r="B129" s="665" t="s">
        <v>127</v>
      </c>
      <c r="C129" s="666" t="s">
        <v>1213</v>
      </c>
      <c r="D129" s="667" t="s">
        <v>1214</v>
      </c>
      <c r="E129" s="668" t="s">
        <v>126</v>
      </c>
      <c r="F129" s="753" t="s">
        <v>1875</v>
      </c>
      <c r="G129" s="129">
        <v>201449765</v>
      </c>
      <c r="H129" s="129">
        <v>0</v>
      </c>
      <c r="I129" s="129">
        <v>201449765</v>
      </c>
      <c r="J129" s="793">
        <v>49.9</v>
      </c>
      <c r="K129" s="129">
        <v>100523433</v>
      </c>
      <c r="L129" s="129">
        <v>0</v>
      </c>
      <c r="M129" s="129">
        <v>0</v>
      </c>
      <c r="N129" s="129">
        <v>0</v>
      </c>
      <c r="O129" s="129">
        <v>100523433</v>
      </c>
      <c r="P129" s="129">
        <v>0</v>
      </c>
      <c r="Q129" s="129">
        <v>100523433</v>
      </c>
      <c r="R129" s="129">
        <v>-338670</v>
      </c>
      <c r="S129" s="129">
        <v>0</v>
      </c>
      <c r="T129" s="129">
        <v>-338670</v>
      </c>
      <c r="U129" s="129">
        <v>156564</v>
      </c>
      <c r="V129" s="129">
        <v>0</v>
      </c>
      <c r="W129" s="129">
        <v>156564</v>
      </c>
      <c r="X129" s="129">
        <v>-182106</v>
      </c>
      <c r="Y129" s="129">
        <v>0</v>
      </c>
      <c r="Z129" s="129">
        <v>0</v>
      </c>
      <c r="AA129" s="129">
        <v>0</v>
      </c>
      <c r="AB129" s="129">
        <v>-182106</v>
      </c>
      <c r="AC129" s="129">
        <v>0</v>
      </c>
      <c r="AD129" s="129">
        <v>-182106</v>
      </c>
      <c r="AE129" s="129">
        <v>182106</v>
      </c>
      <c r="AF129" s="129">
        <v>0</v>
      </c>
      <c r="AG129" s="129">
        <v>182106</v>
      </c>
      <c r="AH129" s="129">
        <v>-7664051</v>
      </c>
      <c r="AI129" s="129">
        <v>0</v>
      </c>
      <c r="AJ129" s="129">
        <v>-7664051</v>
      </c>
      <c r="AK129" s="129">
        <v>0</v>
      </c>
      <c r="AL129" s="129">
        <v>0</v>
      </c>
      <c r="AM129" s="129">
        <v>0</v>
      </c>
      <c r="AN129" s="129">
        <v>1851391</v>
      </c>
      <c r="AO129" s="129">
        <v>0</v>
      </c>
      <c r="AP129" s="129">
        <v>1851391</v>
      </c>
      <c r="AQ129" s="129">
        <v>-5812660</v>
      </c>
      <c r="AR129" s="129">
        <v>0</v>
      </c>
      <c r="AS129" s="129">
        <v>-5812660</v>
      </c>
      <c r="AT129" s="129">
        <v>-6223340</v>
      </c>
      <c r="AU129" s="129">
        <v>0</v>
      </c>
      <c r="AV129" s="129">
        <v>-6223340</v>
      </c>
      <c r="AW129" s="129">
        <v>0</v>
      </c>
      <c r="AX129" s="129">
        <v>0</v>
      </c>
      <c r="AY129" s="129">
        <v>0</v>
      </c>
      <c r="AZ129" s="129">
        <v>0</v>
      </c>
      <c r="BA129" s="129">
        <v>0</v>
      </c>
      <c r="BB129" s="129">
        <v>0</v>
      </c>
      <c r="BC129" s="129">
        <v>0</v>
      </c>
      <c r="BD129" s="129">
        <v>0</v>
      </c>
      <c r="BE129" s="129">
        <v>0</v>
      </c>
      <c r="BF129" s="129">
        <v>-12036000</v>
      </c>
      <c r="BG129" s="129">
        <v>0</v>
      </c>
      <c r="BH129" s="129">
        <v>0</v>
      </c>
      <c r="BI129" s="129">
        <v>0</v>
      </c>
      <c r="BJ129" s="129">
        <v>-12036000</v>
      </c>
      <c r="BK129" s="129">
        <v>0</v>
      </c>
      <c r="BL129" s="129">
        <v>-12036000</v>
      </c>
      <c r="BM129" s="129">
        <v>0</v>
      </c>
      <c r="BN129" s="129">
        <v>0</v>
      </c>
      <c r="BO129" s="129">
        <v>0</v>
      </c>
      <c r="BP129" s="129">
        <v>-2118176</v>
      </c>
      <c r="BQ129" s="129">
        <v>0</v>
      </c>
      <c r="BR129" s="129">
        <v>-2118176</v>
      </c>
      <c r="BS129" s="129">
        <v>-2118176</v>
      </c>
      <c r="BT129" s="129">
        <v>0</v>
      </c>
      <c r="BU129" s="129">
        <v>0</v>
      </c>
      <c r="BV129" s="129">
        <v>0</v>
      </c>
      <c r="BW129" s="129">
        <v>-2118176</v>
      </c>
      <c r="BX129" s="129">
        <v>0</v>
      </c>
      <c r="BY129" s="129">
        <v>-2118176</v>
      </c>
      <c r="BZ129" s="129">
        <v>-279505</v>
      </c>
      <c r="CA129" s="129">
        <v>0</v>
      </c>
      <c r="CB129" s="129">
        <v>-279505</v>
      </c>
      <c r="CC129" s="129">
        <v>-13177</v>
      </c>
      <c r="CD129" s="129">
        <v>0</v>
      </c>
      <c r="CE129" s="129">
        <v>-13177</v>
      </c>
      <c r="CF129" s="129">
        <v>0</v>
      </c>
      <c r="CG129" s="129">
        <v>0</v>
      </c>
      <c r="CH129" s="129">
        <v>0</v>
      </c>
      <c r="CI129" s="129">
        <v>0</v>
      </c>
      <c r="CJ129" s="129">
        <v>0</v>
      </c>
      <c r="CK129" s="129">
        <v>0</v>
      </c>
      <c r="CL129" s="129">
        <v>0</v>
      </c>
      <c r="CM129" s="129">
        <v>0</v>
      </c>
      <c r="CN129" s="129">
        <v>0</v>
      </c>
      <c r="CO129" s="129">
        <v>0</v>
      </c>
      <c r="CP129" s="129">
        <v>0</v>
      </c>
      <c r="CQ129" s="129">
        <v>0</v>
      </c>
      <c r="CR129" s="129">
        <v>0</v>
      </c>
      <c r="CS129" s="129">
        <v>0</v>
      </c>
      <c r="CT129" s="129">
        <v>-292682</v>
      </c>
      <c r="CU129" s="129">
        <v>0</v>
      </c>
      <c r="CV129" s="129">
        <v>0</v>
      </c>
      <c r="CW129" s="129">
        <v>0</v>
      </c>
      <c r="CX129" s="129">
        <v>-292682</v>
      </c>
      <c r="CY129" s="129">
        <v>0</v>
      </c>
      <c r="CZ129" s="129">
        <v>-292682</v>
      </c>
      <c r="DA129" s="129">
        <v>0</v>
      </c>
      <c r="DB129" s="129">
        <v>0</v>
      </c>
      <c r="DC129" s="129">
        <v>0</v>
      </c>
      <c r="DD129" s="129">
        <v>-63734</v>
      </c>
      <c r="DE129" s="129">
        <v>0</v>
      </c>
      <c r="DF129" s="129">
        <v>-63734</v>
      </c>
      <c r="DG129" s="129">
        <v>0</v>
      </c>
      <c r="DH129" s="129">
        <v>0</v>
      </c>
      <c r="DI129" s="129">
        <v>0</v>
      </c>
      <c r="DJ129" s="129">
        <v>-63734</v>
      </c>
      <c r="DK129" s="129">
        <v>0</v>
      </c>
      <c r="DL129" s="129">
        <v>0</v>
      </c>
      <c r="DM129" s="129">
        <v>0</v>
      </c>
      <c r="DN129" s="129">
        <v>-63734</v>
      </c>
      <c r="DO129" s="129">
        <v>0</v>
      </c>
      <c r="DP129" s="129">
        <v>-63734</v>
      </c>
      <c r="DQ129" s="129">
        <v>85830735</v>
      </c>
      <c r="DR129" s="129">
        <v>0</v>
      </c>
      <c r="DS129" s="129">
        <v>85830735</v>
      </c>
      <c r="DT129" s="662" t="s">
        <v>126</v>
      </c>
      <c r="DU129" s="324" t="s">
        <v>576</v>
      </c>
      <c r="DV129" s="669" t="s">
        <v>485</v>
      </c>
      <c r="DW129" s="529" t="s">
        <v>1336</v>
      </c>
    </row>
    <row r="130" spans="1:127" ht="12.75" x14ac:dyDescent="0.2">
      <c r="A130" s="664">
        <v>123</v>
      </c>
      <c r="B130" s="665" t="s">
        <v>129</v>
      </c>
      <c r="C130" s="666" t="s">
        <v>486</v>
      </c>
      <c r="D130" s="667" t="s">
        <v>1228</v>
      </c>
      <c r="E130" s="668" t="s">
        <v>533</v>
      </c>
      <c r="F130" s="753" t="s">
        <v>1876</v>
      </c>
      <c r="G130" s="129">
        <v>134032508</v>
      </c>
      <c r="H130" s="129">
        <v>1834625</v>
      </c>
      <c r="I130" s="129">
        <v>135867133</v>
      </c>
      <c r="J130" s="793">
        <v>49.9</v>
      </c>
      <c r="K130" s="129">
        <v>66882221</v>
      </c>
      <c r="L130" s="129">
        <v>915478</v>
      </c>
      <c r="M130" s="129">
        <v>-1000000</v>
      </c>
      <c r="N130" s="129">
        <v>0</v>
      </c>
      <c r="O130" s="129">
        <v>65882221</v>
      </c>
      <c r="P130" s="129">
        <v>915478</v>
      </c>
      <c r="Q130" s="129">
        <v>66797699</v>
      </c>
      <c r="R130" s="129">
        <v>-984175</v>
      </c>
      <c r="S130" s="129">
        <v>-427</v>
      </c>
      <c r="T130" s="129">
        <v>-984602</v>
      </c>
      <c r="U130" s="129">
        <v>311377</v>
      </c>
      <c r="V130" s="129">
        <v>0</v>
      </c>
      <c r="W130" s="129">
        <v>311377</v>
      </c>
      <c r="X130" s="129">
        <v>-672798</v>
      </c>
      <c r="Y130" s="129">
        <v>-427</v>
      </c>
      <c r="Z130" s="129">
        <v>0</v>
      </c>
      <c r="AA130" s="129">
        <v>0</v>
      </c>
      <c r="AB130" s="129">
        <v>-672798</v>
      </c>
      <c r="AC130" s="129">
        <v>-427</v>
      </c>
      <c r="AD130" s="129">
        <v>-673225</v>
      </c>
      <c r="AE130" s="129">
        <v>672798</v>
      </c>
      <c r="AF130" s="129">
        <v>427</v>
      </c>
      <c r="AG130" s="129">
        <v>673225</v>
      </c>
      <c r="AH130" s="129">
        <v>-9718638</v>
      </c>
      <c r="AI130" s="129">
        <v>-93796</v>
      </c>
      <c r="AJ130" s="129">
        <v>-9812434</v>
      </c>
      <c r="AK130" s="129">
        <v>0</v>
      </c>
      <c r="AL130" s="129">
        <v>0</v>
      </c>
      <c r="AM130" s="129">
        <v>0</v>
      </c>
      <c r="AN130" s="129">
        <v>1006455</v>
      </c>
      <c r="AO130" s="129">
        <v>13590</v>
      </c>
      <c r="AP130" s="129">
        <v>1020045</v>
      </c>
      <c r="AQ130" s="129">
        <v>-8712183</v>
      </c>
      <c r="AR130" s="129">
        <v>-80206</v>
      </c>
      <c r="AS130" s="129">
        <v>-8792389</v>
      </c>
      <c r="AT130" s="129">
        <v>-4825293</v>
      </c>
      <c r="AU130" s="129">
        <v>-1925</v>
      </c>
      <c r="AV130" s="129">
        <v>-4827218</v>
      </c>
      <c r="AW130" s="129">
        <v>-97546</v>
      </c>
      <c r="AX130" s="129">
        <v>0</v>
      </c>
      <c r="AY130" s="129">
        <v>-97546</v>
      </c>
      <c r="AZ130" s="129">
        <v>-85146</v>
      </c>
      <c r="BA130" s="129">
        <v>0</v>
      </c>
      <c r="BB130" s="129">
        <v>-85146</v>
      </c>
      <c r="BC130" s="129">
        <v>0</v>
      </c>
      <c r="BD130" s="129">
        <v>0</v>
      </c>
      <c r="BE130" s="129">
        <v>0</v>
      </c>
      <c r="BF130" s="129">
        <v>-13720168</v>
      </c>
      <c r="BG130" s="129">
        <v>-82131</v>
      </c>
      <c r="BH130" s="129">
        <v>0</v>
      </c>
      <c r="BI130" s="129">
        <v>0</v>
      </c>
      <c r="BJ130" s="129">
        <v>-13720168</v>
      </c>
      <c r="BK130" s="129">
        <v>-82131</v>
      </c>
      <c r="BL130" s="129">
        <v>-13802299</v>
      </c>
      <c r="BM130" s="129">
        <v>0</v>
      </c>
      <c r="BN130" s="129">
        <v>0</v>
      </c>
      <c r="BO130" s="129">
        <v>0</v>
      </c>
      <c r="BP130" s="129">
        <v>-1697602</v>
      </c>
      <c r="BQ130" s="129">
        <v>-7878</v>
      </c>
      <c r="BR130" s="129">
        <v>-1705480</v>
      </c>
      <c r="BS130" s="129">
        <v>-1697602</v>
      </c>
      <c r="BT130" s="129">
        <v>-7878</v>
      </c>
      <c r="BU130" s="129">
        <v>0</v>
      </c>
      <c r="BV130" s="129">
        <v>0</v>
      </c>
      <c r="BW130" s="129">
        <v>-1697602</v>
      </c>
      <c r="BX130" s="129">
        <v>-7878</v>
      </c>
      <c r="BY130" s="129">
        <v>-1705480</v>
      </c>
      <c r="BZ130" s="129">
        <v>-369598</v>
      </c>
      <c r="CA130" s="129">
        <v>0</v>
      </c>
      <c r="CB130" s="129">
        <v>-369598</v>
      </c>
      <c r="CC130" s="129">
        <v>-69019</v>
      </c>
      <c r="CD130" s="129">
        <v>0</v>
      </c>
      <c r="CE130" s="129">
        <v>-69019</v>
      </c>
      <c r="CF130" s="129">
        <v>-9629</v>
      </c>
      <c r="CG130" s="129">
        <v>0</v>
      </c>
      <c r="CH130" s="129">
        <v>-9629</v>
      </c>
      <c r="CI130" s="129">
        <v>0</v>
      </c>
      <c r="CJ130" s="129">
        <v>0</v>
      </c>
      <c r="CK130" s="129">
        <v>0</v>
      </c>
      <c r="CL130" s="129">
        <v>0</v>
      </c>
      <c r="CM130" s="129">
        <v>0</v>
      </c>
      <c r="CN130" s="129">
        <v>0</v>
      </c>
      <c r="CO130" s="129">
        <v>0</v>
      </c>
      <c r="CP130" s="129">
        <v>-345410</v>
      </c>
      <c r="CQ130" s="129">
        <v>-345410</v>
      </c>
      <c r="CR130" s="129">
        <v>-345410</v>
      </c>
      <c r="CS130" s="129">
        <v>0</v>
      </c>
      <c r="CT130" s="129">
        <v>-448246</v>
      </c>
      <c r="CU130" s="129">
        <v>-345410</v>
      </c>
      <c r="CV130" s="129">
        <v>0</v>
      </c>
      <c r="CW130" s="129">
        <v>0</v>
      </c>
      <c r="CX130" s="129">
        <v>-448246</v>
      </c>
      <c r="CY130" s="129">
        <v>-345410</v>
      </c>
      <c r="CZ130" s="129">
        <v>-793656</v>
      </c>
      <c r="DA130" s="129">
        <v>-85146</v>
      </c>
      <c r="DB130" s="129">
        <v>0</v>
      </c>
      <c r="DC130" s="129">
        <v>-85146</v>
      </c>
      <c r="DD130" s="129">
        <v>-75000</v>
      </c>
      <c r="DE130" s="129">
        <v>0</v>
      </c>
      <c r="DF130" s="129">
        <v>-75000</v>
      </c>
      <c r="DG130" s="129">
        <v>0</v>
      </c>
      <c r="DH130" s="129">
        <v>0</v>
      </c>
      <c r="DI130" s="129">
        <v>0</v>
      </c>
      <c r="DJ130" s="129">
        <v>-160146</v>
      </c>
      <c r="DK130" s="129">
        <v>0</v>
      </c>
      <c r="DL130" s="129">
        <v>0</v>
      </c>
      <c r="DM130" s="129">
        <v>0</v>
      </c>
      <c r="DN130" s="129">
        <v>-160146</v>
      </c>
      <c r="DO130" s="129">
        <v>0</v>
      </c>
      <c r="DP130" s="129">
        <v>-160146</v>
      </c>
      <c r="DQ130" s="129">
        <v>49183261</v>
      </c>
      <c r="DR130" s="129">
        <v>479632</v>
      </c>
      <c r="DS130" s="129">
        <v>49662893</v>
      </c>
      <c r="DT130" s="662" t="s">
        <v>533</v>
      </c>
      <c r="DU130" s="324" t="s">
        <v>486</v>
      </c>
      <c r="DV130" s="663" t="s">
        <v>534</v>
      </c>
      <c r="DW130" s="529" t="s">
        <v>1337</v>
      </c>
    </row>
    <row r="131" spans="1:127" ht="12.75" x14ac:dyDescent="0.2">
      <c r="A131" s="664">
        <v>124</v>
      </c>
      <c r="B131" s="665" t="s">
        <v>131</v>
      </c>
      <c r="C131" s="666" t="s">
        <v>1201</v>
      </c>
      <c r="D131" s="667" t="s">
        <v>1211</v>
      </c>
      <c r="E131" s="668" t="s">
        <v>130</v>
      </c>
      <c r="F131" s="753" t="s">
        <v>1875</v>
      </c>
      <c r="G131" s="129">
        <v>115913846</v>
      </c>
      <c r="H131" s="129">
        <v>0</v>
      </c>
      <c r="I131" s="129">
        <v>115913846</v>
      </c>
      <c r="J131" s="793">
        <v>49.9</v>
      </c>
      <c r="K131" s="129">
        <v>57841009</v>
      </c>
      <c r="L131" s="129">
        <v>0</v>
      </c>
      <c r="M131" s="129">
        <v>0</v>
      </c>
      <c r="N131" s="129">
        <v>0</v>
      </c>
      <c r="O131" s="129">
        <v>57841009</v>
      </c>
      <c r="P131" s="129">
        <v>0</v>
      </c>
      <c r="Q131" s="129">
        <v>57841009</v>
      </c>
      <c r="R131" s="129">
        <v>-61037</v>
      </c>
      <c r="S131" s="129">
        <v>0</v>
      </c>
      <c r="T131" s="129">
        <v>-61037</v>
      </c>
      <c r="U131" s="129">
        <v>176169</v>
      </c>
      <c r="V131" s="129">
        <v>0</v>
      </c>
      <c r="W131" s="129">
        <v>176169</v>
      </c>
      <c r="X131" s="129">
        <v>115132</v>
      </c>
      <c r="Y131" s="129">
        <v>0</v>
      </c>
      <c r="Z131" s="129">
        <v>0</v>
      </c>
      <c r="AA131" s="129">
        <v>0</v>
      </c>
      <c r="AB131" s="129">
        <v>115132</v>
      </c>
      <c r="AC131" s="129">
        <v>0</v>
      </c>
      <c r="AD131" s="129">
        <v>115132</v>
      </c>
      <c r="AE131" s="129">
        <v>-115132</v>
      </c>
      <c r="AF131" s="129">
        <v>0</v>
      </c>
      <c r="AG131" s="129">
        <v>-115132</v>
      </c>
      <c r="AH131" s="129">
        <v>-3200750</v>
      </c>
      <c r="AI131" s="129">
        <v>0</v>
      </c>
      <c r="AJ131" s="129">
        <v>-3200750</v>
      </c>
      <c r="AK131" s="129">
        <v>0</v>
      </c>
      <c r="AL131" s="129">
        <v>0</v>
      </c>
      <c r="AM131" s="129">
        <v>0</v>
      </c>
      <c r="AN131" s="129">
        <v>1099590</v>
      </c>
      <c r="AO131" s="129">
        <v>0</v>
      </c>
      <c r="AP131" s="129">
        <v>1099590</v>
      </c>
      <c r="AQ131" s="129">
        <v>-2101160</v>
      </c>
      <c r="AR131" s="129">
        <v>0</v>
      </c>
      <c r="AS131" s="129">
        <v>-2101160</v>
      </c>
      <c r="AT131" s="129">
        <v>-4569130</v>
      </c>
      <c r="AU131" s="129">
        <v>0</v>
      </c>
      <c r="AV131" s="129">
        <v>-4569130</v>
      </c>
      <c r="AW131" s="129">
        <v>-36270</v>
      </c>
      <c r="AX131" s="129">
        <v>0</v>
      </c>
      <c r="AY131" s="129">
        <v>-36270</v>
      </c>
      <c r="AZ131" s="129">
        <v>0</v>
      </c>
      <c r="BA131" s="129">
        <v>0</v>
      </c>
      <c r="BB131" s="129">
        <v>0</v>
      </c>
      <c r="BC131" s="129">
        <v>0</v>
      </c>
      <c r="BD131" s="129">
        <v>0</v>
      </c>
      <c r="BE131" s="129">
        <v>0</v>
      </c>
      <c r="BF131" s="129">
        <v>-6706560</v>
      </c>
      <c r="BG131" s="129">
        <v>0</v>
      </c>
      <c r="BH131" s="129">
        <v>0</v>
      </c>
      <c r="BI131" s="129">
        <v>0</v>
      </c>
      <c r="BJ131" s="129">
        <v>-6706560</v>
      </c>
      <c r="BK131" s="129">
        <v>0</v>
      </c>
      <c r="BL131" s="129">
        <v>-6706560</v>
      </c>
      <c r="BM131" s="129">
        <v>0</v>
      </c>
      <c r="BN131" s="129">
        <v>0</v>
      </c>
      <c r="BO131" s="129">
        <v>0</v>
      </c>
      <c r="BP131" s="129">
        <v>-530016</v>
      </c>
      <c r="BQ131" s="129">
        <v>0</v>
      </c>
      <c r="BR131" s="129">
        <v>-530016</v>
      </c>
      <c r="BS131" s="129">
        <v>-530016</v>
      </c>
      <c r="BT131" s="129">
        <v>0</v>
      </c>
      <c r="BU131" s="129">
        <v>0</v>
      </c>
      <c r="BV131" s="129">
        <v>0</v>
      </c>
      <c r="BW131" s="129">
        <v>-530016</v>
      </c>
      <c r="BX131" s="129">
        <v>0</v>
      </c>
      <c r="BY131" s="129">
        <v>-530016</v>
      </c>
      <c r="BZ131" s="129">
        <v>-87965</v>
      </c>
      <c r="CA131" s="129">
        <v>0</v>
      </c>
      <c r="CB131" s="129">
        <v>-87965</v>
      </c>
      <c r="CC131" s="129">
        <v>-32674</v>
      </c>
      <c r="CD131" s="129">
        <v>0</v>
      </c>
      <c r="CE131" s="129">
        <v>-32674</v>
      </c>
      <c r="CF131" s="129">
        <v>0</v>
      </c>
      <c r="CG131" s="129">
        <v>0</v>
      </c>
      <c r="CH131" s="129">
        <v>0</v>
      </c>
      <c r="CI131" s="129">
        <v>0</v>
      </c>
      <c r="CJ131" s="129">
        <v>0</v>
      </c>
      <c r="CK131" s="129">
        <v>0</v>
      </c>
      <c r="CL131" s="129">
        <v>0</v>
      </c>
      <c r="CM131" s="129">
        <v>0</v>
      </c>
      <c r="CN131" s="129">
        <v>0</v>
      </c>
      <c r="CO131" s="129">
        <v>0</v>
      </c>
      <c r="CP131" s="129">
        <v>0</v>
      </c>
      <c r="CQ131" s="129">
        <v>0</v>
      </c>
      <c r="CR131" s="129">
        <v>0</v>
      </c>
      <c r="CS131" s="129">
        <v>0</v>
      </c>
      <c r="CT131" s="129">
        <v>-120639</v>
      </c>
      <c r="CU131" s="129">
        <v>0</v>
      </c>
      <c r="CV131" s="129">
        <v>0</v>
      </c>
      <c r="CW131" s="129">
        <v>0</v>
      </c>
      <c r="CX131" s="129">
        <v>-120639</v>
      </c>
      <c r="CY131" s="129">
        <v>0</v>
      </c>
      <c r="CZ131" s="129">
        <v>-120639</v>
      </c>
      <c r="DA131" s="129">
        <v>0</v>
      </c>
      <c r="DB131" s="129">
        <v>0</v>
      </c>
      <c r="DC131" s="129">
        <v>0</v>
      </c>
      <c r="DD131" s="129">
        <v>-6157</v>
      </c>
      <c r="DE131" s="129">
        <v>0</v>
      </c>
      <c r="DF131" s="129">
        <v>-6157</v>
      </c>
      <c r="DG131" s="129">
        <v>0</v>
      </c>
      <c r="DH131" s="129">
        <v>0</v>
      </c>
      <c r="DI131" s="129">
        <v>0</v>
      </c>
      <c r="DJ131" s="129">
        <v>-6157</v>
      </c>
      <c r="DK131" s="129">
        <v>0</v>
      </c>
      <c r="DL131" s="129">
        <v>0</v>
      </c>
      <c r="DM131" s="129">
        <v>0</v>
      </c>
      <c r="DN131" s="129">
        <v>-6157</v>
      </c>
      <c r="DO131" s="129">
        <v>0</v>
      </c>
      <c r="DP131" s="129">
        <v>-6157</v>
      </c>
      <c r="DQ131" s="129">
        <v>50592769</v>
      </c>
      <c r="DR131" s="129">
        <v>0</v>
      </c>
      <c r="DS131" s="129">
        <v>50592769</v>
      </c>
      <c r="DT131" s="662" t="s">
        <v>130</v>
      </c>
      <c r="DU131" s="324" t="s">
        <v>536</v>
      </c>
      <c r="DV131" s="663" t="s">
        <v>512</v>
      </c>
      <c r="DW131" s="529" t="s">
        <v>1338</v>
      </c>
    </row>
    <row r="132" spans="1:127" ht="12.75" x14ac:dyDescent="0.2">
      <c r="A132" s="664">
        <v>125</v>
      </c>
      <c r="B132" s="665" t="s">
        <v>133</v>
      </c>
      <c r="C132" s="666" t="s">
        <v>1201</v>
      </c>
      <c r="D132" s="667" t="s">
        <v>1206</v>
      </c>
      <c r="E132" s="668" t="s">
        <v>132</v>
      </c>
      <c r="F132" s="753" t="s">
        <v>1882</v>
      </c>
      <c r="G132" s="129">
        <v>70715362</v>
      </c>
      <c r="H132" s="129">
        <v>0</v>
      </c>
      <c r="I132" s="129">
        <v>70715362</v>
      </c>
      <c r="J132" s="793">
        <v>49.9</v>
      </c>
      <c r="K132" s="129">
        <v>35286966</v>
      </c>
      <c r="L132" s="129">
        <v>0</v>
      </c>
      <c r="M132" s="129">
        <v>-662275</v>
      </c>
      <c r="N132" s="129">
        <v>0</v>
      </c>
      <c r="O132" s="129">
        <v>34624691</v>
      </c>
      <c r="P132" s="129">
        <v>0</v>
      </c>
      <c r="Q132" s="129">
        <v>34624691</v>
      </c>
      <c r="R132" s="129">
        <v>-218529</v>
      </c>
      <c r="S132" s="129">
        <v>0</v>
      </c>
      <c r="T132" s="129">
        <v>-218529</v>
      </c>
      <c r="U132" s="129">
        <v>8954</v>
      </c>
      <c r="V132" s="129">
        <v>0</v>
      </c>
      <c r="W132" s="129">
        <v>8954</v>
      </c>
      <c r="X132" s="129">
        <v>-209575</v>
      </c>
      <c r="Y132" s="129">
        <v>0</v>
      </c>
      <c r="Z132" s="129">
        <v>0</v>
      </c>
      <c r="AA132" s="129">
        <v>0</v>
      </c>
      <c r="AB132" s="129">
        <v>-209575</v>
      </c>
      <c r="AC132" s="129">
        <v>0</v>
      </c>
      <c r="AD132" s="129">
        <v>-209575</v>
      </c>
      <c r="AE132" s="129">
        <v>209575</v>
      </c>
      <c r="AF132" s="129">
        <v>0</v>
      </c>
      <c r="AG132" s="129">
        <v>209575</v>
      </c>
      <c r="AH132" s="129">
        <v>-4761447</v>
      </c>
      <c r="AI132" s="129">
        <v>0</v>
      </c>
      <c r="AJ132" s="129">
        <v>-4761447</v>
      </c>
      <c r="AK132" s="129">
        <v>0</v>
      </c>
      <c r="AL132" s="129">
        <v>0</v>
      </c>
      <c r="AM132" s="129">
        <v>0</v>
      </c>
      <c r="AN132" s="129">
        <v>551728</v>
      </c>
      <c r="AO132" s="129">
        <v>0</v>
      </c>
      <c r="AP132" s="129">
        <v>551728</v>
      </c>
      <c r="AQ132" s="129">
        <v>-4209719</v>
      </c>
      <c r="AR132" s="129">
        <v>0</v>
      </c>
      <c r="AS132" s="129">
        <v>-4209719</v>
      </c>
      <c r="AT132" s="129">
        <v>-1178327</v>
      </c>
      <c r="AU132" s="129">
        <v>0</v>
      </c>
      <c r="AV132" s="129">
        <v>-1178327</v>
      </c>
      <c r="AW132" s="129">
        <v>-84373</v>
      </c>
      <c r="AX132" s="129">
        <v>0</v>
      </c>
      <c r="AY132" s="129">
        <v>-84373</v>
      </c>
      <c r="AZ132" s="129">
        <v>-12911</v>
      </c>
      <c r="BA132" s="129">
        <v>0</v>
      </c>
      <c r="BB132" s="129">
        <v>-12911</v>
      </c>
      <c r="BC132" s="129">
        <v>0</v>
      </c>
      <c r="BD132" s="129">
        <v>0</v>
      </c>
      <c r="BE132" s="129">
        <v>0</v>
      </c>
      <c r="BF132" s="129">
        <v>-5485330</v>
      </c>
      <c r="BG132" s="129">
        <v>0</v>
      </c>
      <c r="BH132" s="129">
        <v>0</v>
      </c>
      <c r="BI132" s="129">
        <v>0</v>
      </c>
      <c r="BJ132" s="129">
        <v>-5485330</v>
      </c>
      <c r="BK132" s="129">
        <v>0</v>
      </c>
      <c r="BL132" s="129">
        <v>-5485330</v>
      </c>
      <c r="BM132" s="129">
        <v>-50000</v>
      </c>
      <c r="BN132" s="129">
        <v>0</v>
      </c>
      <c r="BO132" s="129">
        <v>-50000</v>
      </c>
      <c r="BP132" s="129">
        <v>-561336</v>
      </c>
      <c r="BQ132" s="129">
        <v>0</v>
      </c>
      <c r="BR132" s="129">
        <v>-561336</v>
      </c>
      <c r="BS132" s="129">
        <v>-611336</v>
      </c>
      <c r="BT132" s="129">
        <v>0</v>
      </c>
      <c r="BU132" s="129">
        <v>0</v>
      </c>
      <c r="BV132" s="129">
        <v>0</v>
      </c>
      <c r="BW132" s="129">
        <v>-611336</v>
      </c>
      <c r="BX132" s="129">
        <v>0</v>
      </c>
      <c r="BY132" s="129">
        <v>-611336</v>
      </c>
      <c r="BZ132" s="129">
        <v>-44949</v>
      </c>
      <c r="CA132" s="129">
        <v>0</v>
      </c>
      <c r="CB132" s="129">
        <v>-44949</v>
      </c>
      <c r="CC132" s="129">
        <v>-224500</v>
      </c>
      <c r="CD132" s="129">
        <v>0</v>
      </c>
      <c r="CE132" s="129">
        <v>-224500</v>
      </c>
      <c r="CF132" s="129">
        <v>-453</v>
      </c>
      <c r="CG132" s="129">
        <v>0</v>
      </c>
      <c r="CH132" s="129">
        <v>-453</v>
      </c>
      <c r="CI132" s="129">
        <v>-1229</v>
      </c>
      <c r="CJ132" s="129">
        <v>0</v>
      </c>
      <c r="CK132" s="129">
        <v>-1229</v>
      </c>
      <c r="CL132" s="129">
        <v>0</v>
      </c>
      <c r="CM132" s="129">
        <v>0</v>
      </c>
      <c r="CN132" s="129">
        <v>0</v>
      </c>
      <c r="CO132" s="129">
        <v>0</v>
      </c>
      <c r="CP132" s="129">
        <v>0</v>
      </c>
      <c r="CQ132" s="129">
        <v>0</v>
      </c>
      <c r="CR132" s="129">
        <v>0</v>
      </c>
      <c r="CS132" s="129">
        <v>0</v>
      </c>
      <c r="CT132" s="129">
        <v>-271131</v>
      </c>
      <c r="CU132" s="129">
        <v>0</v>
      </c>
      <c r="CV132" s="129">
        <v>0</v>
      </c>
      <c r="CW132" s="129">
        <v>0</v>
      </c>
      <c r="CX132" s="129">
        <v>-271131</v>
      </c>
      <c r="CY132" s="129">
        <v>0</v>
      </c>
      <c r="CZ132" s="129">
        <v>-271131</v>
      </c>
      <c r="DA132" s="129">
        <v>-12911</v>
      </c>
      <c r="DB132" s="129">
        <v>0</v>
      </c>
      <c r="DC132" s="129">
        <v>-12911</v>
      </c>
      <c r="DD132" s="129">
        <v>0</v>
      </c>
      <c r="DE132" s="129">
        <v>0</v>
      </c>
      <c r="DF132" s="129">
        <v>0</v>
      </c>
      <c r="DG132" s="129">
        <v>0</v>
      </c>
      <c r="DH132" s="129">
        <v>0</v>
      </c>
      <c r="DI132" s="129">
        <v>0</v>
      </c>
      <c r="DJ132" s="129">
        <v>-12911</v>
      </c>
      <c r="DK132" s="129">
        <v>0</v>
      </c>
      <c r="DL132" s="129">
        <v>0</v>
      </c>
      <c r="DM132" s="129">
        <v>0</v>
      </c>
      <c r="DN132" s="129">
        <v>-12911</v>
      </c>
      <c r="DO132" s="129">
        <v>0</v>
      </c>
      <c r="DP132" s="129">
        <v>-12911</v>
      </c>
      <c r="DQ132" s="129">
        <v>28034408</v>
      </c>
      <c r="DR132" s="129">
        <v>0</v>
      </c>
      <c r="DS132" s="129">
        <v>28034408</v>
      </c>
      <c r="DT132" s="662" t="s">
        <v>132</v>
      </c>
      <c r="DU132" s="324" t="s">
        <v>516</v>
      </c>
      <c r="DV132" s="663" t="s">
        <v>515</v>
      </c>
      <c r="DW132" s="529" t="s">
        <v>1339</v>
      </c>
    </row>
    <row r="133" spans="1:127" ht="12.75" x14ac:dyDescent="0.2">
      <c r="A133" s="664">
        <v>126</v>
      </c>
      <c r="B133" s="665" t="s">
        <v>135</v>
      </c>
      <c r="C133" s="666" t="s">
        <v>1213</v>
      </c>
      <c r="D133" s="667" t="s">
        <v>1214</v>
      </c>
      <c r="E133" s="668" t="s">
        <v>134</v>
      </c>
      <c r="F133" s="753" t="s">
        <v>1875</v>
      </c>
      <c r="G133" s="129">
        <v>807131000</v>
      </c>
      <c r="H133" s="129">
        <v>0</v>
      </c>
      <c r="I133" s="129">
        <v>807131000</v>
      </c>
      <c r="J133" s="793">
        <v>49.9</v>
      </c>
      <c r="K133" s="129">
        <v>402758369</v>
      </c>
      <c r="L133" s="129">
        <v>0</v>
      </c>
      <c r="M133" s="129">
        <v>-4277369</v>
      </c>
      <c r="N133" s="129">
        <v>0</v>
      </c>
      <c r="O133" s="129">
        <v>398481000</v>
      </c>
      <c r="P133" s="129">
        <v>0</v>
      </c>
      <c r="Q133" s="129">
        <v>398481000</v>
      </c>
      <c r="R133" s="129">
        <v>0</v>
      </c>
      <c r="S133" s="129">
        <v>0</v>
      </c>
      <c r="T133" s="129">
        <v>0</v>
      </c>
      <c r="U133" s="129">
        <v>0</v>
      </c>
      <c r="V133" s="129">
        <v>0</v>
      </c>
      <c r="W133" s="129">
        <v>0</v>
      </c>
      <c r="X133" s="129">
        <v>0</v>
      </c>
      <c r="Y133" s="129">
        <v>0</v>
      </c>
      <c r="Z133" s="129">
        <v>0</v>
      </c>
      <c r="AA133" s="129">
        <v>0</v>
      </c>
      <c r="AB133" s="129">
        <v>0</v>
      </c>
      <c r="AC133" s="129">
        <v>0</v>
      </c>
      <c r="AD133" s="129">
        <v>0</v>
      </c>
      <c r="AE133" s="129">
        <v>0</v>
      </c>
      <c r="AF133" s="129">
        <v>0</v>
      </c>
      <c r="AG133" s="129">
        <v>0</v>
      </c>
      <c r="AH133" s="129">
        <v>-7964000</v>
      </c>
      <c r="AI133" s="129">
        <v>0</v>
      </c>
      <c r="AJ133" s="129">
        <v>-7964000</v>
      </c>
      <c r="AK133" s="129">
        <v>0</v>
      </c>
      <c r="AL133" s="129">
        <v>0</v>
      </c>
      <c r="AM133" s="129">
        <v>0</v>
      </c>
      <c r="AN133" s="129">
        <v>9511000</v>
      </c>
      <c r="AO133" s="129">
        <v>0</v>
      </c>
      <c r="AP133" s="129">
        <v>9511000</v>
      </c>
      <c r="AQ133" s="129">
        <v>1547000</v>
      </c>
      <c r="AR133" s="129">
        <v>0</v>
      </c>
      <c r="AS133" s="129">
        <v>1547000</v>
      </c>
      <c r="AT133" s="129">
        <v>-10554000</v>
      </c>
      <c r="AU133" s="129">
        <v>0</v>
      </c>
      <c r="AV133" s="129">
        <v>-10554000</v>
      </c>
      <c r="AW133" s="129">
        <v>-102000</v>
      </c>
      <c r="AX133" s="129">
        <v>0</v>
      </c>
      <c r="AY133" s="129">
        <v>-102000</v>
      </c>
      <c r="AZ133" s="129">
        <v>0</v>
      </c>
      <c r="BA133" s="129">
        <v>0</v>
      </c>
      <c r="BB133" s="129">
        <v>0</v>
      </c>
      <c r="BC133" s="129">
        <v>0</v>
      </c>
      <c r="BD133" s="129">
        <v>0</v>
      </c>
      <c r="BE133" s="129">
        <v>0</v>
      </c>
      <c r="BF133" s="129">
        <v>-9109000</v>
      </c>
      <c r="BG133" s="129">
        <v>0</v>
      </c>
      <c r="BH133" s="129">
        <v>0</v>
      </c>
      <c r="BI133" s="129">
        <v>0</v>
      </c>
      <c r="BJ133" s="129">
        <v>-9109000</v>
      </c>
      <c r="BK133" s="129">
        <v>0</v>
      </c>
      <c r="BL133" s="129">
        <v>-9109000</v>
      </c>
      <c r="BM133" s="129">
        <v>-100000</v>
      </c>
      <c r="BN133" s="129">
        <v>0</v>
      </c>
      <c r="BO133" s="129">
        <v>-100000</v>
      </c>
      <c r="BP133" s="129">
        <v>-15654000</v>
      </c>
      <c r="BQ133" s="129">
        <v>0</v>
      </c>
      <c r="BR133" s="129">
        <v>-15654000</v>
      </c>
      <c r="BS133" s="129">
        <v>-15754000</v>
      </c>
      <c r="BT133" s="129">
        <v>0</v>
      </c>
      <c r="BU133" s="129">
        <v>0</v>
      </c>
      <c r="BV133" s="129">
        <v>0</v>
      </c>
      <c r="BW133" s="129">
        <v>-15754000</v>
      </c>
      <c r="BX133" s="129">
        <v>0</v>
      </c>
      <c r="BY133" s="129">
        <v>-15754000</v>
      </c>
      <c r="BZ133" s="129">
        <v>-237000</v>
      </c>
      <c r="CA133" s="129">
        <v>0</v>
      </c>
      <c r="CB133" s="129">
        <v>-237000</v>
      </c>
      <c r="CC133" s="129">
        <v>0</v>
      </c>
      <c r="CD133" s="129">
        <v>0</v>
      </c>
      <c r="CE133" s="129">
        <v>0</v>
      </c>
      <c r="CF133" s="129">
        <v>0</v>
      </c>
      <c r="CG133" s="129">
        <v>0</v>
      </c>
      <c r="CH133" s="129">
        <v>0</v>
      </c>
      <c r="CI133" s="129">
        <v>0</v>
      </c>
      <c r="CJ133" s="129">
        <v>0</v>
      </c>
      <c r="CK133" s="129">
        <v>0</v>
      </c>
      <c r="CL133" s="129">
        <v>0</v>
      </c>
      <c r="CM133" s="129">
        <v>0</v>
      </c>
      <c r="CN133" s="129">
        <v>0</v>
      </c>
      <c r="CO133" s="129">
        <v>0</v>
      </c>
      <c r="CP133" s="129">
        <v>0</v>
      </c>
      <c r="CQ133" s="129">
        <v>0</v>
      </c>
      <c r="CR133" s="129">
        <v>0</v>
      </c>
      <c r="CS133" s="129">
        <v>0</v>
      </c>
      <c r="CT133" s="129">
        <v>-237000</v>
      </c>
      <c r="CU133" s="129">
        <v>0</v>
      </c>
      <c r="CV133" s="129">
        <v>0</v>
      </c>
      <c r="CW133" s="129">
        <v>0</v>
      </c>
      <c r="CX133" s="129">
        <v>-237000</v>
      </c>
      <c r="CY133" s="129">
        <v>0</v>
      </c>
      <c r="CZ133" s="129">
        <v>-237000</v>
      </c>
      <c r="DA133" s="129">
        <v>0</v>
      </c>
      <c r="DB133" s="129">
        <v>0</v>
      </c>
      <c r="DC133" s="129">
        <v>0</v>
      </c>
      <c r="DD133" s="129">
        <v>-22000</v>
      </c>
      <c r="DE133" s="129">
        <v>0</v>
      </c>
      <c r="DF133" s="129">
        <v>-22000</v>
      </c>
      <c r="DG133" s="129">
        <v>0</v>
      </c>
      <c r="DH133" s="129">
        <v>0</v>
      </c>
      <c r="DI133" s="129">
        <v>0</v>
      </c>
      <c r="DJ133" s="129">
        <v>-22000</v>
      </c>
      <c r="DK133" s="129">
        <v>0</v>
      </c>
      <c r="DL133" s="129">
        <v>0</v>
      </c>
      <c r="DM133" s="129">
        <v>0</v>
      </c>
      <c r="DN133" s="129">
        <v>-22000</v>
      </c>
      <c r="DO133" s="129">
        <v>0</v>
      </c>
      <c r="DP133" s="129">
        <v>-22000</v>
      </c>
      <c r="DQ133" s="129">
        <v>373359000</v>
      </c>
      <c r="DR133" s="129">
        <v>0</v>
      </c>
      <c r="DS133" s="129">
        <v>373359000</v>
      </c>
      <c r="DT133" s="662" t="s">
        <v>134</v>
      </c>
      <c r="DU133" s="324" t="s">
        <v>576</v>
      </c>
      <c r="DV133" s="669" t="s">
        <v>485</v>
      </c>
      <c r="DW133" s="529" t="s">
        <v>1340</v>
      </c>
    </row>
    <row r="134" spans="1:127" ht="12.75" x14ac:dyDescent="0.2">
      <c r="A134" s="664">
        <v>127</v>
      </c>
      <c r="B134" s="665" t="s">
        <v>137</v>
      </c>
      <c r="C134" s="666" t="s">
        <v>1201</v>
      </c>
      <c r="D134" s="667" t="s">
        <v>1206</v>
      </c>
      <c r="E134" s="668" t="s">
        <v>136</v>
      </c>
      <c r="F134" s="753" t="s">
        <v>1905</v>
      </c>
      <c r="G134" s="129">
        <v>82622484</v>
      </c>
      <c r="H134" s="129">
        <v>2540350</v>
      </c>
      <c r="I134" s="129">
        <v>85162834</v>
      </c>
      <c r="J134" s="793">
        <v>49.9</v>
      </c>
      <c r="K134" s="129">
        <v>41228620</v>
      </c>
      <c r="L134" s="129">
        <v>1267635</v>
      </c>
      <c r="M134" s="129">
        <v>862720</v>
      </c>
      <c r="N134" s="129">
        <v>0</v>
      </c>
      <c r="O134" s="129">
        <v>42091340</v>
      </c>
      <c r="P134" s="129">
        <v>1267635</v>
      </c>
      <c r="Q134" s="129">
        <v>43358975</v>
      </c>
      <c r="R134" s="129">
        <v>-144771</v>
      </c>
      <c r="S134" s="129">
        <v>0</v>
      </c>
      <c r="T134" s="129">
        <v>-144771</v>
      </c>
      <c r="U134" s="129">
        <v>8667</v>
      </c>
      <c r="V134" s="129">
        <v>0</v>
      </c>
      <c r="W134" s="129">
        <v>8667</v>
      </c>
      <c r="X134" s="129">
        <v>-136104</v>
      </c>
      <c r="Y134" s="129">
        <v>0</v>
      </c>
      <c r="Z134" s="129">
        <v>0</v>
      </c>
      <c r="AA134" s="129">
        <v>0</v>
      </c>
      <c r="AB134" s="129">
        <v>-136104</v>
      </c>
      <c r="AC134" s="129">
        <v>0</v>
      </c>
      <c r="AD134" s="129">
        <v>-136104</v>
      </c>
      <c r="AE134" s="129">
        <v>136104</v>
      </c>
      <c r="AF134" s="129">
        <v>0</v>
      </c>
      <c r="AG134" s="129">
        <v>136104</v>
      </c>
      <c r="AH134" s="129">
        <v>-4421366</v>
      </c>
      <c r="AI134" s="129">
        <v>0</v>
      </c>
      <c r="AJ134" s="129">
        <v>-4421366</v>
      </c>
      <c r="AK134" s="129">
        <v>-5689</v>
      </c>
      <c r="AL134" s="129">
        <v>0</v>
      </c>
      <c r="AM134" s="129">
        <v>-5689</v>
      </c>
      <c r="AN134" s="129">
        <v>722660</v>
      </c>
      <c r="AO134" s="129">
        <v>29092</v>
      </c>
      <c r="AP134" s="129">
        <v>751752</v>
      </c>
      <c r="AQ134" s="129">
        <v>-3698706</v>
      </c>
      <c r="AR134" s="129">
        <v>29092</v>
      </c>
      <c r="AS134" s="129">
        <v>-3669614</v>
      </c>
      <c r="AT134" s="129">
        <v>-2622233</v>
      </c>
      <c r="AU134" s="129">
        <v>0</v>
      </c>
      <c r="AV134" s="129">
        <v>-2622233</v>
      </c>
      <c r="AW134" s="129">
        <v>-6390</v>
      </c>
      <c r="AX134" s="129">
        <v>0</v>
      </c>
      <c r="AY134" s="129">
        <v>-6390</v>
      </c>
      <c r="AZ134" s="129">
        <v>-7942</v>
      </c>
      <c r="BA134" s="129">
        <v>0</v>
      </c>
      <c r="BB134" s="129">
        <v>-7942</v>
      </c>
      <c r="BC134" s="129">
        <v>0</v>
      </c>
      <c r="BD134" s="129">
        <v>0</v>
      </c>
      <c r="BE134" s="129">
        <v>0</v>
      </c>
      <c r="BF134" s="129">
        <v>-6335271</v>
      </c>
      <c r="BG134" s="129">
        <v>29092</v>
      </c>
      <c r="BH134" s="129">
        <v>0</v>
      </c>
      <c r="BI134" s="129">
        <v>0</v>
      </c>
      <c r="BJ134" s="129">
        <v>-6335271</v>
      </c>
      <c r="BK134" s="129">
        <v>29092</v>
      </c>
      <c r="BL134" s="129">
        <v>-6306179</v>
      </c>
      <c r="BM134" s="129">
        <v>-50000</v>
      </c>
      <c r="BN134" s="129">
        <v>0</v>
      </c>
      <c r="BO134" s="129">
        <v>-50000</v>
      </c>
      <c r="BP134" s="129">
        <v>-147419</v>
      </c>
      <c r="BQ134" s="129">
        <v>0</v>
      </c>
      <c r="BR134" s="129">
        <v>-147419</v>
      </c>
      <c r="BS134" s="129">
        <v>-197419</v>
      </c>
      <c r="BT134" s="129">
        <v>0</v>
      </c>
      <c r="BU134" s="129">
        <v>-50000</v>
      </c>
      <c r="BV134" s="129">
        <v>0</v>
      </c>
      <c r="BW134" s="129">
        <v>-247419</v>
      </c>
      <c r="BX134" s="129">
        <v>0</v>
      </c>
      <c r="BY134" s="129">
        <v>-247419</v>
      </c>
      <c r="BZ134" s="129">
        <v>-65085</v>
      </c>
      <c r="CA134" s="129">
        <v>0</v>
      </c>
      <c r="CB134" s="129">
        <v>-65085</v>
      </c>
      <c r="CC134" s="129">
        <v>-83409</v>
      </c>
      <c r="CD134" s="129">
        <v>0</v>
      </c>
      <c r="CE134" s="129">
        <v>-83409</v>
      </c>
      <c r="CF134" s="129">
        <v>-1597</v>
      </c>
      <c r="CG134" s="129">
        <v>0</v>
      </c>
      <c r="CH134" s="129">
        <v>-1597</v>
      </c>
      <c r="CI134" s="129">
        <v>0</v>
      </c>
      <c r="CJ134" s="129">
        <v>0</v>
      </c>
      <c r="CK134" s="129">
        <v>0</v>
      </c>
      <c r="CL134" s="129">
        <v>0</v>
      </c>
      <c r="CM134" s="129">
        <v>0</v>
      </c>
      <c r="CN134" s="129">
        <v>0</v>
      </c>
      <c r="CO134" s="129">
        <v>0</v>
      </c>
      <c r="CP134" s="129">
        <v>-80299</v>
      </c>
      <c r="CQ134" s="129">
        <v>-80299</v>
      </c>
      <c r="CR134" s="129">
        <v>-80299</v>
      </c>
      <c r="CS134" s="129">
        <v>0</v>
      </c>
      <c r="CT134" s="129">
        <v>-150091</v>
      </c>
      <c r="CU134" s="129">
        <v>-80299</v>
      </c>
      <c r="CV134" s="129">
        <v>0</v>
      </c>
      <c r="CW134" s="129">
        <v>0</v>
      </c>
      <c r="CX134" s="129">
        <v>-150091</v>
      </c>
      <c r="CY134" s="129">
        <v>-80299</v>
      </c>
      <c r="CZ134" s="129">
        <v>-230390</v>
      </c>
      <c r="DA134" s="129">
        <v>-5349</v>
      </c>
      <c r="DB134" s="129">
        <v>0</v>
      </c>
      <c r="DC134" s="129">
        <v>-5349</v>
      </c>
      <c r="DD134" s="129">
        <v>-35763</v>
      </c>
      <c r="DE134" s="129">
        <v>0</v>
      </c>
      <c r="DF134" s="129">
        <v>-35763</v>
      </c>
      <c r="DG134" s="129">
        <v>0</v>
      </c>
      <c r="DH134" s="129">
        <v>0</v>
      </c>
      <c r="DI134" s="129">
        <v>0</v>
      </c>
      <c r="DJ134" s="129">
        <v>-41112</v>
      </c>
      <c r="DK134" s="129">
        <v>0</v>
      </c>
      <c r="DL134" s="129">
        <v>-200000</v>
      </c>
      <c r="DM134" s="129">
        <v>0</v>
      </c>
      <c r="DN134" s="129">
        <v>-241112</v>
      </c>
      <c r="DO134" s="129">
        <v>0</v>
      </c>
      <c r="DP134" s="129">
        <v>-241112</v>
      </c>
      <c r="DQ134" s="129">
        <v>34981343</v>
      </c>
      <c r="DR134" s="129">
        <v>1216428</v>
      </c>
      <c r="DS134" s="129">
        <v>36197771</v>
      </c>
      <c r="DT134" s="662" t="s">
        <v>136</v>
      </c>
      <c r="DU134" s="324" t="s">
        <v>551</v>
      </c>
      <c r="DV134" s="663" t="s">
        <v>549</v>
      </c>
      <c r="DW134" s="529" t="s">
        <v>1341</v>
      </c>
    </row>
    <row r="135" spans="1:127" ht="12.75" x14ac:dyDescent="0.2">
      <c r="A135" s="664">
        <v>128</v>
      </c>
      <c r="B135" s="665" t="s">
        <v>139</v>
      </c>
      <c r="C135" s="666" t="s">
        <v>1201</v>
      </c>
      <c r="D135" s="667" t="s">
        <v>1202</v>
      </c>
      <c r="E135" s="668" t="s">
        <v>138</v>
      </c>
      <c r="F135" s="753" t="s">
        <v>1879</v>
      </c>
      <c r="G135" s="129">
        <v>114301921</v>
      </c>
      <c r="H135" s="129">
        <v>0</v>
      </c>
      <c r="I135" s="129">
        <v>114301921</v>
      </c>
      <c r="J135" s="793">
        <v>49.9</v>
      </c>
      <c r="K135" s="129">
        <v>57036659</v>
      </c>
      <c r="L135" s="129">
        <v>0</v>
      </c>
      <c r="M135" s="129">
        <v>173669</v>
      </c>
      <c r="N135" s="129">
        <v>0</v>
      </c>
      <c r="O135" s="129">
        <v>57210328</v>
      </c>
      <c r="P135" s="129">
        <v>0</v>
      </c>
      <c r="Q135" s="129">
        <v>57210328</v>
      </c>
      <c r="R135" s="129">
        <v>-127947</v>
      </c>
      <c r="S135" s="129">
        <v>0</v>
      </c>
      <c r="T135" s="129">
        <v>-127947</v>
      </c>
      <c r="U135" s="129">
        <v>21848</v>
      </c>
      <c r="V135" s="129">
        <v>0</v>
      </c>
      <c r="W135" s="129">
        <v>21848</v>
      </c>
      <c r="X135" s="129">
        <v>-106099</v>
      </c>
      <c r="Y135" s="129">
        <v>0</v>
      </c>
      <c r="Z135" s="129">
        <v>0</v>
      </c>
      <c r="AA135" s="129">
        <v>0</v>
      </c>
      <c r="AB135" s="129">
        <v>-106099</v>
      </c>
      <c r="AC135" s="129">
        <v>0</v>
      </c>
      <c r="AD135" s="129">
        <v>-106099</v>
      </c>
      <c r="AE135" s="129">
        <v>106099</v>
      </c>
      <c r="AF135" s="129">
        <v>0</v>
      </c>
      <c r="AG135" s="129">
        <v>106099</v>
      </c>
      <c r="AH135" s="129">
        <v>-5848473</v>
      </c>
      <c r="AI135" s="129">
        <v>0</v>
      </c>
      <c r="AJ135" s="129">
        <v>-5848473</v>
      </c>
      <c r="AK135" s="129">
        <v>0</v>
      </c>
      <c r="AL135" s="129">
        <v>0</v>
      </c>
      <c r="AM135" s="129">
        <v>0</v>
      </c>
      <c r="AN135" s="129">
        <v>900934</v>
      </c>
      <c r="AO135" s="129">
        <v>0</v>
      </c>
      <c r="AP135" s="129">
        <v>900934</v>
      </c>
      <c r="AQ135" s="129">
        <v>-4947539</v>
      </c>
      <c r="AR135" s="129">
        <v>0</v>
      </c>
      <c r="AS135" s="129">
        <v>-4947539</v>
      </c>
      <c r="AT135" s="129">
        <v>-3600317</v>
      </c>
      <c r="AU135" s="129">
        <v>0</v>
      </c>
      <c r="AV135" s="129">
        <v>-3600317</v>
      </c>
      <c r="AW135" s="129">
        <v>-62024</v>
      </c>
      <c r="AX135" s="129">
        <v>0</v>
      </c>
      <c r="AY135" s="129">
        <v>-62024</v>
      </c>
      <c r="AZ135" s="129">
        <v>-5104</v>
      </c>
      <c r="BA135" s="129">
        <v>0</v>
      </c>
      <c r="BB135" s="129">
        <v>-5104</v>
      </c>
      <c r="BC135" s="129">
        <v>0</v>
      </c>
      <c r="BD135" s="129">
        <v>0</v>
      </c>
      <c r="BE135" s="129">
        <v>0</v>
      </c>
      <c r="BF135" s="129">
        <v>-8614984</v>
      </c>
      <c r="BG135" s="129">
        <v>0</v>
      </c>
      <c r="BH135" s="129">
        <v>0</v>
      </c>
      <c r="BI135" s="129">
        <v>0</v>
      </c>
      <c r="BJ135" s="129">
        <v>-8614984</v>
      </c>
      <c r="BK135" s="129">
        <v>0</v>
      </c>
      <c r="BL135" s="129">
        <v>-8614984</v>
      </c>
      <c r="BM135" s="129">
        <v>-100000</v>
      </c>
      <c r="BN135" s="129">
        <v>0</v>
      </c>
      <c r="BO135" s="129">
        <v>-100000</v>
      </c>
      <c r="BP135" s="129">
        <v>-493215</v>
      </c>
      <c r="BQ135" s="129">
        <v>0</v>
      </c>
      <c r="BR135" s="129">
        <v>-493215</v>
      </c>
      <c r="BS135" s="129">
        <v>-593215</v>
      </c>
      <c r="BT135" s="129">
        <v>0</v>
      </c>
      <c r="BU135" s="129">
        <v>0</v>
      </c>
      <c r="BV135" s="129">
        <v>0</v>
      </c>
      <c r="BW135" s="129">
        <v>-593215</v>
      </c>
      <c r="BX135" s="129">
        <v>0</v>
      </c>
      <c r="BY135" s="129">
        <v>-593215</v>
      </c>
      <c r="BZ135" s="129">
        <v>-49347</v>
      </c>
      <c r="CA135" s="129">
        <v>0</v>
      </c>
      <c r="CB135" s="129">
        <v>-49347</v>
      </c>
      <c r="CC135" s="129">
        <v>-531374</v>
      </c>
      <c r="CD135" s="129">
        <v>0</v>
      </c>
      <c r="CE135" s="129">
        <v>-531374</v>
      </c>
      <c r="CF135" s="129">
        <v>-2795</v>
      </c>
      <c r="CG135" s="129">
        <v>0</v>
      </c>
      <c r="CH135" s="129">
        <v>-2795</v>
      </c>
      <c r="CI135" s="129">
        <v>0</v>
      </c>
      <c r="CJ135" s="129">
        <v>0</v>
      </c>
      <c r="CK135" s="129">
        <v>0</v>
      </c>
      <c r="CL135" s="129">
        <v>0</v>
      </c>
      <c r="CM135" s="129">
        <v>0</v>
      </c>
      <c r="CN135" s="129">
        <v>0</v>
      </c>
      <c r="CO135" s="129">
        <v>0</v>
      </c>
      <c r="CP135" s="129">
        <v>0</v>
      </c>
      <c r="CQ135" s="129">
        <v>0</v>
      </c>
      <c r="CR135" s="129">
        <v>0</v>
      </c>
      <c r="CS135" s="129">
        <v>0</v>
      </c>
      <c r="CT135" s="129">
        <v>-583516</v>
      </c>
      <c r="CU135" s="129">
        <v>0</v>
      </c>
      <c r="CV135" s="129">
        <v>0</v>
      </c>
      <c r="CW135" s="129">
        <v>0</v>
      </c>
      <c r="CX135" s="129">
        <v>-583516</v>
      </c>
      <c r="CY135" s="129">
        <v>0</v>
      </c>
      <c r="CZ135" s="129">
        <v>-583516</v>
      </c>
      <c r="DA135" s="129">
        <v>-5104</v>
      </c>
      <c r="DB135" s="129">
        <v>0</v>
      </c>
      <c r="DC135" s="129">
        <v>-5104</v>
      </c>
      <c r="DD135" s="129">
        <v>0</v>
      </c>
      <c r="DE135" s="129">
        <v>0</v>
      </c>
      <c r="DF135" s="129">
        <v>0</v>
      </c>
      <c r="DG135" s="129">
        <v>0</v>
      </c>
      <c r="DH135" s="129">
        <v>0</v>
      </c>
      <c r="DI135" s="129">
        <v>0</v>
      </c>
      <c r="DJ135" s="129">
        <v>-5104</v>
      </c>
      <c r="DK135" s="129">
        <v>0</v>
      </c>
      <c r="DL135" s="129">
        <v>0</v>
      </c>
      <c r="DM135" s="129">
        <v>0</v>
      </c>
      <c r="DN135" s="129">
        <v>-5104</v>
      </c>
      <c r="DO135" s="129">
        <v>0</v>
      </c>
      <c r="DP135" s="129">
        <v>-5104</v>
      </c>
      <c r="DQ135" s="129">
        <v>47307410</v>
      </c>
      <c r="DR135" s="129">
        <v>0</v>
      </c>
      <c r="DS135" s="129">
        <v>47307410</v>
      </c>
      <c r="DT135" s="662" t="s">
        <v>138</v>
      </c>
      <c r="DU135" s="324" t="s">
        <v>568</v>
      </c>
      <c r="DV135" s="663" t="s">
        <v>512</v>
      </c>
      <c r="DW135" s="529" t="s">
        <v>1342</v>
      </c>
    </row>
    <row r="136" spans="1:127" ht="12.75" x14ac:dyDescent="0.2">
      <c r="A136" s="664">
        <v>129</v>
      </c>
      <c r="B136" s="665" t="s">
        <v>141</v>
      </c>
      <c r="C136" s="666" t="s">
        <v>1213</v>
      </c>
      <c r="D136" s="667" t="s">
        <v>1214</v>
      </c>
      <c r="E136" s="668" t="s">
        <v>140</v>
      </c>
      <c r="F136" s="753" t="s">
        <v>1903</v>
      </c>
      <c r="G136" s="129">
        <v>449682728</v>
      </c>
      <c r="H136" s="129">
        <v>0</v>
      </c>
      <c r="I136" s="129">
        <v>449682728</v>
      </c>
      <c r="J136" s="793">
        <v>49.9</v>
      </c>
      <c r="K136" s="129">
        <v>224391681</v>
      </c>
      <c r="L136" s="129">
        <v>0</v>
      </c>
      <c r="M136" s="129">
        <v>-7200000</v>
      </c>
      <c r="N136" s="129">
        <v>0</v>
      </c>
      <c r="O136" s="129">
        <v>217191681</v>
      </c>
      <c r="P136" s="129">
        <v>0</v>
      </c>
      <c r="Q136" s="129">
        <v>217191681</v>
      </c>
      <c r="R136" s="129">
        <v>-627706</v>
      </c>
      <c r="S136" s="129">
        <v>0</v>
      </c>
      <c r="T136" s="129">
        <v>-627706</v>
      </c>
      <c r="U136" s="129">
        <v>285295</v>
      </c>
      <c r="V136" s="129">
        <v>0</v>
      </c>
      <c r="W136" s="129">
        <v>285295</v>
      </c>
      <c r="X136" s="129">
        <v>-342411</v>
      </c>
      <c r="Y136" s="129">
        <v>0</v>
      </c>
      <c r="Z136" s="129">
        <v>0</v>
      </c>
      <c r="AA136" s="129">
        <v>0</v>
      </c>
      <c r="AB136" s="129">
        <v>-342411</v>
      </c>
      <c r="AC136" s="129">
        <v>0</v>
      </c>
      <c r="AD136" s="129">
        <v>-342411</v>
      </c>
      <c r="AE136" s="129">
        <v>342411</v>
      </c>
      <c r="AF136" s="129">
        <v>0</v>
      </c>
      <c r="AG136" s="129">
        <v>342411</v>
      </c>
      <c r="AH136" s="129">
        <v>-6395283</v>
      </c>
      <c r="AI136" s="129">
        <v>0</v>
      </c>
      <c r="AJ136" s="129">
        <v>-6395283</v>
      </c>
      <c r="AK136" s="129">
        <v>-5863</v>
      </c>
      <c r="AL136" s="129">
        <v>0</v>
      </c>
      <c r="AM136" s="129">
        <v>-5863</v>
      </c>
      <c r="AN136" s="129">
        <v>4928388</v>
      </c>
      <c r="AO136" s="129">
        <v>0</v>
      </c>
      <c r="AP136" s="129">
        <v>4928388</v>
      </c>
      <c r="AQ136" s="129">
        <v>-1466895</v>
      </c>
      <c r="AR136" s="129">
        <v>0</v>
      </c>
      <c r="AS136" s="129">
        <v>-1466895</v>
      </c>
      <c r="AT136" s="129">
        <v>-6103509</v>
      </c>
      <c r="AU136" s="129">
        <v>0</v>
      </c>
      <c r="AV136" s="129">
        <v>-6103509</v>
      </c>
      <c r="AW136" s="129">
        <v>-70738</v>
      </c>
      <c r="AX136" s="129">
        <v>0</v>
      </c>
      <c r="AY136" s="129">
        <v>-70738</v>
      </c>
      <c r="AZ136" s="129">
        <v>0</v>
      </c>
      <c r="BA136" s="129">
        <v>0</v>
      </c>
      <c r="BB136" s="129">
        <v>0</v>
      </c>
      <c r="BC136" s="129">
        <v>0</v>
      </c>
      <c r="BD136" s="129">
        <v>0</v>
      </c>
      <c r="BE136" s="129">
        <v>0</v>
      </c>
      <c r="BF136" s="129">
        <v>-7641142</v>
      </c>
      <c r="BG136" s="129">
        <v>0</v>
      </c>
      <c r="BH136" s="129">
        <v>0</v>
      </c>
      <c r="BI136" s="129">
        <v>0</v>
      </c>
      <c r="BJ136" s="129">
        <v>-7641142</v>
      </c>
      <c r="BK136" s="129">
        <v>0</v>
      </c>
      <c r="BL136" s="129">
        <v>-7641142</v>
      </c>
      <c r="BM136" s="129">
        <v>0</v>
      </c>
      <c r="BN136" s="129">
        <v>0</v>
      </c>
      <c r="BO136" s="129">
        <v>0</v>
      </c>
      <c r="BP136" s="129">
        <v>-4161786</v>
      </c>
      <c r="BQ136" s="129">
        <v>0</v>
      </c>
      <c r="BR136" s="129">
        <v>-4161786</v>
      </c>
      <c r="BS136" s="129">
        <v>-4161786</v>
      </c>
      <c r="BT136" s="129">
        <v>0</v>
      </c>
      <c r="BU136" s="129">
        <v>-3000000</v>
      </c>
      <c r="BV136" s="129">
        <v>0</v>
      </c>
      <c r="BW136" s="129">
        <v>-7161786</v>
      </c>
      <c r="BX136" s="129">
        <v>0</v>
      </c>
      <c r="BY136" s="129">
        <v>-7161786</v>
      </c>
      <c r="BZ136" s="129">
        <v>-173550</v>
      </c>
      <c r="CA136" s="129">
        <v>0</v>
      </c>
      <c r="CB136" s="129">
        <v>-173550</v>
      </c>
      <c r="CC136" s="129">
        <v>-246846</v>
      </c>
      <c r="CD136" s="129">
        <v>0</v>
      </c>
      <c r="CE136" s="129">
        <v>-246846</v>
      </c>
      <c r="CF136" s="129">
        <v>-2176</v>
      </c>
      <c r="CG136" s="129">
        <v>0</v>
      </c>
      <c r="CH136" s="129">
        <v>-2176</v>
      </c>
      <c r="CI136" s="129">
        <v>0</v>
      </c>
      <c r="CJ136" s="129">
        <v>0</v>
      </c>
      <c r="CK136" s="129">
        <v>0</v>
      </c>
      <c r="CL136" s="129">
        <v>0</v>
      </c>
      <c r="CM136" s="129">
        <v>0</v>
      </c>
      <c r="CN136" s="129">
        <v>0</v>
      </c>
      <c r="CO136" s="129">
        <v>0</v>
      </c>
      <c r="CP136" s="129">
        <v>0</v>
      </c>
      <c r="CQ136" s="129">
        <v>0</v>
      </c>
      <c r="CR136" s="129">
        <v>0</v>
      </c>
      <c r="CS136" s="129">
        <v>0</v>
      </c>
      <c r="CT136" s="129">
        <v>-422572</v>
      </c>
      <c r="CU136" s="129">
        <v>0</v>
      </c>
      <c r="CV136" s="129">
        <v>0</v>
      </c>
      <c r="CW136" s="129">
        <v>0</v>
      </c>
      <c r="CX136" s="129">
        <v>-422572</v>
      </c>
      <c r="CY136" s="129">
        <v>0</v>
      </c>
      <c r="CZ136" s="129">
        <v>-422572</v>
      </c>
      <c r="DA136" s="129">
        <v>0</v>
      </c>
      <c r="DB136" s="129">
        <v>0</v>
      </c>
      <c r="DC136" s="129">
        <v>0</v>
      </c>
      <c r="DD136" s="129">
        <v>-1509</v>
      </c>
      <c r="DE136" s="129">
        <v>0</v>
      </c>
      <c r="DF136" s="129">
        <v>-1509</v>
      </c>
      <c r="DG136" s="129">
        <v>0</v>
      </c>
      <c r="DH136" s="129">
        <v>0</v>
      </c>
      <c r="DI136" s="129">
        <v>0</v>
      </c>
      <c r="DJ136" s="129">
        <v>-1509</v>
      </c>
      <c r="DK136" s="129">
        <v>0</v>
      </c>
      <c r="DL136" s="129">
        <v>0</v>
      </c>
      <c r="DM136" s="129">
        <v>0</v>
      </c>
      <c r="DN136" s="129">
        <v>-1509</v>
      </c>
      <c r="DO136" s="129">
        <v>0</v>
      </c>
      <c r="DP136" s="129">
        <v>-1509</v>
      </c>
      <c r="DQ136" s="129">
        <v>201622261</v>
      </c>
      <c r="DR136" s="129">
        <v>0</v>
      </c>
      <c r="DS136" s="129">
        <v>201622261</v>
      </c>
      <c r="DT136" s="662" t="s">
        <v>140</v>
      </c>
      <c r="DU136" s="324" t="s">
        <v>576</v>
      </c>
      <c r="DV136" s="669" t="s">
        <v>485</v>
      </c>
      <c r="DW136" s="529" t="s">
        <v>1343</v>
      </c>
    </row>
    <row r="137" spans="1:127" ht="12.75" x14ac:dyDescent="0.2">
      <c r="A137" s="664">
        <v>130</v>
      </c>
      <c r="B137" s="665" t="s">
        <v>143</v>
      </c>
      <c r="C137" s="666" t="s">
        <v>1201</v>
      </c>
      <c r="D137" s="667" t="s">
        <v>1211</v>
      </c>
      <c r="E137" s="668" t="s">
        <v>142</v>
      </c>
      <c r="F137" s="753" t="s">
        <v>1882</v>
      </c>
      <c r="G137" s="129">
        <v>147281413</v>
      </c>
      <c r="H137" s="129">
        <v>4439450</v>
      </c>
      <c r="I137" s="129">
        <v>151720863</v>
      </c>
      <c r="J137" s="793">
        <v>49.9</v>
      </c>
      <c r="K137" s="129">
        <v>73493425</v>
      </c>
      <c r="L137" s="129">
        <v>2215286</v>
      </c>
      <c r="M137" s="129">
        <v>0</v>
      </c>
      <c r="N137" s="129">
        <v>0</v>
      </c>
      <c r="O137" s="129">
        <v>73493425</v>
      </c>
      <c r="P137" s="129">
        <v>2215286</v>
      </c>
      <c r="Q137" s="129">
        <v>75708711</v>
      </c>
      <c r="R137" s="129">
        <v>-132176</v>
      </c>
      <c r="S137" s="129">
        <v>0</v>
      </c>
      <c r="T137" s="129">
        <v>-132176</v>
      </c>
      <c r="U137" s="129">
        <v>301573</v>
      </c>
      <c r="V137" s="129">
        <v>0</v>
      </c>
      <c r="W137" s="129">
        <v>301573</v>
      </c>
      <c r="X137" s="129">
        <v>169397</v>
      </c>
      <c r="Y137" s="129">
        <v>0</v>
      </c>
      <c r="Z137" s="129">
        <v>0</v>
      </c>
      <c r="AA137" s="129">
        <v>0</v>
      </c>
      <c r="AB137" s="129">
        <v>169397</v>
      </c>
      <c r="AC137" s="129">
        <v>0</v>
      </c>
      <c r="AD137" s="129">
        <v>169397</v>
      </c>
      <c r="AE137" s="129">
        <v>-169397</v>
      </c>
      <c r="AF137" s="129">
        <v>0</v>
      </c>
      <c r="AG137" s="129">
        <v>-169397</v>
      </c>
      <c r="AH137" s="129">
        <v>-5983248</v>
      </c>
      <c r="AI137" s="129">
        <v>-7923</v>
      </c>
      <c r="AJ137" s="129">
        <v>-5991171</v>
      </c>
      <c r="AK137" s="129">
        <v>-21815</v>
      </c>
      <c r="AL137" s="129">
        <v>-2858</v>
      </c>
      <c r="AM137" s="129">
        <v>-24673</v>
      </c>
      <c r="AN137" s="129">
        <v>1258368</v>
      </c>
      <c r="AO137" s="129">
        <v>52892</v>
      </c>
      <c r="AP137" s="129">
        <v>1311260</v>
      </c>
      <c r="AQ137" s="129">
        <v>-4724880</v>
      </c>
      <c r="AR137" s="129">
        <v>44969</v>
      </c>
      <c r="AS137" s="129">
        <v>-4679911</v>
      </c>
      <c r="AT137" s="129">
        <v>-3470911</v>
      </c>
      <c r="AU137" s="129">
        <v>-218399</v>
      </c>
      <c r="AV137" s="129">
        <v>-3689310</v>
      </c>
      <c r="AW137" s="129">
        <v>-213423</v>
      </c>
      <c r="AX137" s="129">
        <v>0</v>
      </c>
      <c r="AY137" s="129">
        <v>-213423</v>
      </c>
      <c r="AZ137" s="129">
        <v>-32896</v>
      </c>
      <c r="BA137" s="129">
        <v>0</v>
      </c>
      <c r="BB137" s="129">
        <v>-32896</v>
      </c>
      <c r="BC137" s="129">
        <v>0</v>
      </c>
      <c r="BD137" s="129">
        <v>0</v>
      </c>
      <c r="BE137" s="129">
        <v>0</v>
      </c>
      <c r="BF137" s="129">
        <v>-8442110</v>
      </c>
      <c r="BG137" s="129">
        <v>-173430</v>
      </c>
      <c r="BH137" s="129">
        <v>0</v>
      </c>
      <c r="BI137" s="129">
        <v>0</v>
      </c>
      <c r="BJ137" s="129">
        <v>-8442110</v>
      </c>
      <c r="BK137" s="129">
        <v>-173430</v>
      </c>
      <c r="BL137" s="129">
        <v>-8615540</v>
      </c>
      <c r="BM137" s="129">
        <v>0</v>
      </c>
      <c r="BN137" s="129">
        <v>0</v>
      </c>
      <c r="BO137" s="129">
        <v>0</v>
      </c>
      <c r="BP137" s="129">
        <v>-1456295</v>
      </c>
      <c r="BQ137" s="129">
        <v>-85965</v>
      </c>
      <c r="BR137" s="129">
        <v>-1542260</v>
      </c>
      <c r="BS137" s="129">
        <v>-1456295</v>
      </c>
      <c r="BT137" s="129">
        <v>-85965</v>
      </c>
      <c r="BU137" s="129">
        <v>0</v>
      </c>
      <c r="BV137" s="129">
        <v>0</v>
      </c>
      <c r="BW137" s="129">
        <v>-1456295</v>
      </c>
      <c r="BX137" s="129">
        <v>-85965</v>
      </c>
      <c r="BY137" s="129">
        <v>-1542260</v>
      </c>
      <c r="BZ137" s="129">
        <v>-8008</v>
      </c>
      <c r="CA137" s="129">
        <v>0</v>
      </c>
      <c r="CB137" s="129">
        <v>-8008</v>
      </c>
      <c r="CC137" s="129">
        <v>-11161</v>
      </c>
      <c r="CD137" s="129">
        <v>0</v>
      </c>
      <c r="CE137" s="129">
        <v>-11161</v>
      </c>
      <c r="CF137" s="129">
        <v>0</v>
      </c>
      <c r="CG137" s="129">
        <v>0</v>
      </c>
      <c r="CH137" s="129">
        <v>0</v>
      </c>
      <c r="CI137" s="129">
        <v>0</v>
      </c>
      <c r="CJ137" s="129">
        <v>0</v>
      </c>
      <c r="CK137" s="129">
        <v>0</v>
      </c>
      <c r="CL137" s="129">
        <v>0</v>
      </c>
      <c r="CM137" s="129">
        <v>0</v>
      </c>
      <c r="CN137" s="129">
        <v>0</v>
      </c>
      <c r="CO137" s="129">
        <v>0</v>
      </c>
      <c r="CP137" s="129">
        <v>-155930</v>
      </c>
      <c r="CQ137" s="129">
        <v>-155930</v>
      </c>
      <c r="CR137" s="129">
        <v>-155930</v>
      </c>
      <c r="CS137" s="129">
        <v>0</v>
      </c>
      <c r="CT137" s="129">
        <v>-19169</v>
      </c>
      <c r="CU137" s="129">
        <v>-155930</v>
      </c>
      <c r="CV137" s="129">
        <v>0</v>
      </c>
      <c r="CW137" s="129">
        <v>0</v>
      </c>
      <c r="CX137" s="129">
        <v>-19169</v>
      </c>
      <c r="CY137" s="129">
        <v>-155930</v>
      </c>
      <c r="CZ137" s="129">
        <v>-175099</v>
      </c>
      <c r="DA137" s="129">
        <v>-32896</v>
      </c>
      <c r="DB137" s="129">
        <v>0</v>
      </c>
      <c r="DC137" s="129">
        <v>-32896</v>
      </c>
      <c r="DD137" s="129">
        <v>-22973</v>
      </c>
      <c r="DE137" s="129">
        <v>0</v>
      </c>
      <c r="DF137" s="129">
        <v>-22973</v>
      </c>
      <c r="DG137" s="129">
        <v>0</v>
      </c>
      <c r="DH137" s="129">
        <v>0</v>
      </c>
      <c r="DI137" s="129">
        <v>0</v>
      </c>
      <c r="DJ137" s="129">
        <v>-55869</v>
      </c>
      <c r="DK137" s="129">
        <v>0</v>
      </c>
      <c r="DL137" s="129">
        <v>0</v>
      </c>
      <c r="DM137" s="129">
        <v>0</v>
      </c>
      <c r="DN137" s="129">
        <v>-55869</v>
      </c>
      <c r="DO137" s="129">
        <v>0</v>
      </c>
      <c r="DP137" s="129">
        <v>-55869</v>
      </c>
      <c r="DQ137" s="129">
        <v>63689379</v>
      </c>
      <c r="DR137" s="129">
        <v>1799961</v>
      </c>
      <c r="DS137" s="129">
        <v>65489340</v>
      </c>
      <c r="DT137" s="662" t="s">
        <v>142</v>
      </c>
      <c r="DU137" s="324" t="s">
        <v>503</v>
      </c>
      <c r="DV137" s="663" t="s">
        <v>502</v>
      </c>
      <c r="DW137" s="529" t="s">
        <v>1344</v>
      </c>
    </row>
    <row r="138" spans="1:127" ht="12.75" x14ac:dyDescent="0.2">
      <c r="A138" s="664">
        <v>131</v>
      </c>
      <c r="B138" s="665" t="s">
        <v>145</v>
      </c>
      <c r="C138" s="666" t="s">
        <v>1201</v>
      </c>
      <c r="D138" s="667" t="s">
        <v>1204</v>
      </c>
      <c r="E138" s="668" t="s">
        <v>144</v>
      </c>
      <c r="F138" s="753" t="s">
        <v>1881</v>
      </c>
      <c r="G138" s="129">
        <v>56417329</v>
      </c>
      <c r="H138" s="129">
        <v>0</v>
      </c>
      <c r="I138" s="129">
        <v>56417329</v>
      </c>
      <c r="J138" s="793">
        <v>49.9</v>
      </c>
      <c r="K138" s="129">
        <v>28152247</v>
      </c>
      <c r="L138" s="129">
        <v>0</v>
      </c>
      <c r="M138" s="129">
        <v>0</v>
      </c>
      <c r="N138" s="129">
        <v>0</v>
      </c>
      <c r="O138" s="129">
        <v>28152247</v>
      </c>
      <c r="P138" s="129">
        <v>0</v>
      </c>
      <c r="Q138" s="129">
        <v>28152247</v>
      </c>
      <c r="R138" s="129">
        <v>-44270</v>
      </c>
      <c r="S138" s="129">
        <v>0</v>
      </c>
      <c r="T138" s="129">
        <v>-44270</v>
      </c>
      <c r="U138" s="129">
        <v>176882</v>
      </c>
      <c r="V138" s="129">
        <v>0</v>
      </c>
      <c r="W138" s="129">
        <v>176882</v>
      </c>
      <c r="X138" s="129">
        <v>132612</v>
      </c>
      <c r="Y138" s="129">
        <v>0</v>
      </c>
      <c r="Z138" s="129">
        <v>0</v>
      </c>
      <c r="AA138" s="129">
        <v>0</v>
      </c>
      <c r="AB138" s="129">
        <v>132612</v>
      </c>
      <c r="AC138" s="129">
        <v>0</v>
      </c>
      <c r="AD138" s="129">
        <v>132612</v>
      </c>
      <c r="AE138" s="129">
        <v>-132612</v>
      </c>
      <c r="AF138" s="129">
        <v>0</v>
      </c>
      <c r="AG138" s="129">
        <v>-132612</v>
      </c>
      <c r="AH138" s="129">
        <v>-4302125</v>
      </c>
      <c r="AI138" s="129">
        <v>0</v>
      </c>
      <c r="AJ138" s="129">
        <v>-4302125</v>
      </c>
      <c r="AK138" s="129">
        <v>-8159</v>
      </c>
      <c r="AL138" s="129">
        <v>0</v>
      </c>
      <c r="AM138" s="129">
        <v>-8159</v>
      </c>
      <c r="AN138" s="129">
        <v>470431</v>
      </c>
      <c r="AO138" s="129">
        <v>0</v>
      </c>
      <c r="AP138" s="129">
        <v>470431</v>
      </c>
      <c r="AQ138" s="129">
        <v>-3831694</v>
      </c>
      <c r="AR138" s="129">
        <v>0</v>
      </c>
      <c r="AS138" s="129">
        <v>-3831694</v>
      </c>
      <c r="AT138" s="129">
        <v>-1540025</v>
      </c>
      <c r="AU138" s="129">
        <v>0</v>
      </c>
      <c r="AV138" s="129">
        <v>-1540025</v>
      </c>
      <c r="AW138" s="129">
        <v>-56259</v>
      </c>
      <c r="AX138" s="129">
        <v>0</v>
      </c>
      <c r="AY138" s="129">
        <v>-56259</v>
      </c>
      <c r="AZ138" s="129">
        <v>0</v>
      </c>
      <c r="BA138" s="129">
        <v>0</v>
      </c>
      <c r="BB138" s="129">
        <v>0</v>
      </c>
      <c r="BC138" s="129">
        <v>0</v>
      </c>
      <c r="BD138" s="129">
        <v>0</v>
      </c>
      <c r="BE138" s="129">
        <v>0</v>
      </c>
      <c r="BF138" s="129">
        <v>-5427978</v>
      </c>
      <c r="BG138" s="129">
        <v>0</v>
      </c>
      <c r="BH138" s="129">
        <v>-814196</v>
      </c>
      <c r="BI138" s="129">
        <v>0</v>
      </c>
      <c r="BJ138" s="129">
        <v>-6242174</v>
      </c>
      <c r="BK138" s="129">
        <v>0</v>
      </c>
      <c r="BL138" s="129">
        <v>-6242174</v>
      </c>
      <c r="BM138" s="129">
        <v>0</v>
      </c>
      <c r="BN138" s="129">
        <v>0</v>
      </c>
      <c r="BO138" s="129">
        <v>0</v>
      </c>
      <c r="BP138" s="129">
        <v>-919206</v>
      </c>
      <c r="BQ138" s="129">
        <v>0</v>
      </c>
      <c r="BR138" s="129">
        <v>-919206</v>
      </c>
      <c r="BS138" s="129">
        <v>-919206</v>
      </c>
      <c r="BT138" s="129">
        <v>0</v>
      </c>
      <c r="BU138" s="129">
        <v>-750000</v>
      </c>
      <c r="BV138" s="129">
        <v>0</v>
      </c>
      <c r="BW138" s="129">
        <v>-1669206</v>
      </c>
      <c r="BX138" s="129">
        <v>0</v>
      </c>
      <c r="BY138" s="129">
        <v>-1669206</v>
      </c>
      <c r="BZ138" s="129">
        <v>-96638</v>
      </c>
      <c r="CA138" s="129">
        <v>0</v>
      </c>
      <c r="CB138" s="129">
        <v>-96638</v>
      </c>
      <c r="CC138" s="129">
        <v>-74018</v>
      </c>
      <c r="CD138" s="129">
        <v>0</v>
      </c>
      <c r="CE138" s="129">
        <v>-74018</v>
      </c>
      <c r="CF138" s="129">
        <v>0</v>
      </c>
      <c r="CG138" s="129">
        <v>0</v>
      </c>
      <c r="CH138" s="129">
        <v>0</v>
      </c>
      <c r="CI138" s="129">
        <v>0</v>
      </c>
      <c r="CJ138" s="129">
        <v>0</v>
      </c>
      <c r="CK138" s="129">
        <v>0</v>
      </c>
      <c r="CL138" s="129">
        <v>0</v>
      </c>
      <c r="CM138" s="129">
        <v>0</v>
      </c>
      <c r="CN138" s="129">
        <v>0</v>
      </c>
      <c r="CO138" s="129">
        <v>0</v>
      </c>
      <c r="CP138" s="129">
        <v>0</v>
      </c>
      <c r="CQ138" s="129">
        <v>0</v>
      </c>
      <c r="CR138" s="129">
        <v>0</v>
      </c>
      <c r="CS138" s="129">
        <v>0</v>
      </c>
      <c r="CT138" s="129">
        <v>-170656</v>
      </c>
      <c r="CU138" s="129">
        <v>0</v>
      </c>
      <c r="CV138" s="129">
        <v>-75000</v>
      </c>
      <c r="CW138" s="129">
        <v>0</v>
      </c>
      <c r="CX138" s="129">
        <v>-245656</v>
      </c>
      <c r="CY138" s="129">
        <v>0</v>
      </c>
      <c r="CZ138" s="129">
        <v>-245656</v>
      </c>
      <c r="DA138" s="129">
        <v>0</v>
      </c>
      <c r="DB138" s="129">
        <v>0</v>
      </c>
      <c r="DC138" s="129">
        <v>0</v>
      </c>
      <c r="DD138" s="129">
        <v>0</v>
      </c>
      <c r="DE138" s="129">
        <v>0</v>
      </c>
      <c r="DF138" s="129">
        <v>0</v>
      </c>
      <c r="DG138" s="129">
        <v>0</v>
      </c>
      <c r="DH138" s="129">
        <v>0</v>
      </c>
      <c r="DI138" s="129">
        <v>0</v>
      </c>
      <c r="DJ138" s="129">
        <v>0</v>
      </c>
      <c r="DK138" s="129">
        <v>0</v>
      </c>
      <c r="DL138" s="129">
        <v>0</v>
      </c>
      <c r="DM138" s="129">
        <v>0</v>
      </c>
      <c r="DN138" s="129">
        <v>0</v>
      </c>
      <c r="DO138" s="129">
        <v>0</v>
      </c>
      <c r="DP138" s="129">
        <v>0</v>
      </c>
      <c r="DQ138" s="129">
        <v>20127823</v>
      </c>
      <c r="DR138" s="129">
        <v>0</v>
      </c>
      <c r="DS138" s="129">
        <v>20127823</v>
      </c>
      <c r="DT138" s="662" t="s">
        <v>144</v>
      </c>
      <c r="DU138" s="324" t="s">
        <v>547</v>
      </c>
      <c r="DV138" s="663" t="s">
        <v>545</v>
      </c>
      <c r="DW138" s="529" t="s">
        <v>1345</v>
      </c>
    </row>
    <row r="139" spans="1:127" ht="12.75" x14ac:dyDescent="0.2">
      <c r="A139" s="664">
        <v>132</v>
      </c>
      <c r="B139" s="665" t="s">
        <v>147</v>
      </c>
      <c r="C139" s="666" t="s">
        <v>1201</v>
      </c>
      <c r="D139" s="667" t="s">
        <v>1211</v>
      </c>
      <c r="E139" s="668" t="s">
        <v>146</v>
      </c>
      <c r="F139" s="753" t="s">
        <v>1879</v>
      </c>
      <c r="G139" s="129">
        <v>135414753</v>
      </c>
      <c r="H139" s="129">
        <v>2020635</v>
      </c>
      <c r="I139" s="129">
        <v>137435388</v>
      </c>
      <c r="J139" s="793">
        <v>49.9</v>
      </c>
      <c r="K139" s="129">
        <v>67571962</v>
      </c>
      <c r="L139" s="129">
        <v>1008297</v>
      </c>
      <c r="M139" s="129">
        <v>429500</v>
      </c>
      <c r="N139" s="129">
        <v>470500</v>
      </c>
      <c r="O139" s="129">
        <v>68001462</v>
      </c>
      <c r="P139" s="129">
        <v>1478797</v>
      </c>
      <c r="Q139" s="129">
        <v>69480259</v>
      </c>
      <c r="R139" s="129">
        <v>-57994</v>
      </c>
      <c r="S139" s="129">
        <v>0</v>
      </c>
      <c r="T139" s="129">
        <v>-57994</v>
      </c>
      <c r="U139" s="129">
        <v>261725</v>
      </c>
      <c r="V139" s="129">
        <v>0</v>
      </c>
      <c r="W139" s="129">
        <v>261725</v>
      </c>
      <c r="X139" s="129">
        <v>203731</v>
      </c>
      <c r="Y139" s="129">
        <v>0</v>
      </c>
      <c r="Z139" s="129">
        <v>0</v>
      </c>
      <c r="AA139" s="129">
        <v>0</v>
      </c>
      <c r="AB139" s="129">
        <v>203731</v>
      </c>
      <c r="AC139" s="129">
        <v>0</v>
      </c>
      <c r="AD139" s="129">
        <v>203731</v>
      </c>
      <c r="AE139" s="129">
        <v>-203731</v>
      </c>
      <c r="AF139" s="129">
        <v>0</v>
      </c>
      <c r="AG139" s="129">
        <v>-203731</v>
      </c>
      <c r="AH139" s="129">
        <v>-4559974</v>
      </c>
      <c r="AI139" s="129">
        <v>0</v>
      </c>
      <c r="AJ139" s="129">
        <v>-4559974</v>
      </c>
      <c r="AK139" s="129">
        <v>-21831</v>
      </c>
      <c r="AL139" s="129">
        <v>0</v>
      </c>
      <c r="AM139" s="129">
        <v>-21831</v>
      </c>
      <c r="AN139" s="129">
        <v>1296445</v>
      </c>
      <c r="AO139" s="129">
        <v>23038</v>
      </c>
      <c r="AP139" s="129">
        <v>1319483</v>
      </c>
      <c r="AQ139" s="129">
        <v>-3263529</v>
      </c>
      <c r="AR139" s="129">
        <v>23038</v>
      </c>
      <c r="AS139" s="129">
        <v>-3240491</v>
      </c>
      <c r="AT139" s="129">
        <v>-4711058</v>
      </c>
      <c r="AU139" s="129">
        <v>0</v>
      </c>
      <c r="AV139" s="129">
        <v>-4711058</v>
      </c>
      <c r="AW139" s="129">
        <v>-108134</v>
      </c>
      <c r="AX139" s="129">
        <v>0</v>
      </c>
      <c r="AY139" s="129">
        <v>-108134</v>
      </c>
      <c r="AZ139" s="129">
        <v>0</v>
      </c>
      <c r="BA139" s="129">
        <v>0</v>
      </c>
      <c r="BB139" s="129">
        <v>0</v>
      </c>
      <c r="BC139" s="129">
        <v>0</v>
      </c>
      <c r="BD139" s="129">
        <v>0</v>
      </c>
      <c r="BE139" s="129">
        <v>0</v>
      </c>
      <c r="BF139" s="129">
        <v>-8082721</v>
      </c>
      <c r="BG139" s="129">
        <v>23038</v>
      </c>
      <c r="BH139" s="129">
        <v>-48500</v>
      </c>
      <c r="BI139" s="129">
        <v>-36000</v>
      </c>
      <c r="BJ139" s="129">
        <v>-8131221</v>
      </c>
      <c r="BK139" s="129">
        <v>-12962</v>
      </c>
      <c r="BL139" s="129">
        <v>-8144183</v>
      </c>
      <c r="BM139" s="129">
        <v>-71325</v>
      </c>
      <c r="BN139" s="129">
        <v>0</v>
      </c>
      <c r="BO139" s="129">
        <v>-71325</v>
      </c>
      <c r="BP139" s="129">
        <v>-1794617</v>
      </c>
      <c r="BQ139" s="129">
        <v>-2394</v>
      </c>
      <c r="BR139" s="129">
        <v>-1797011</v>
      </c>
      <c r="BS139" s="129">
        <v>-1865942</v>
      </c>
      <c r="BT139" s="129">
        <v>-2394</v>
      </c>
      <c r="BU139" s="129">
        <v>-1000000</v>
      </c>
      <c r="BV139" s="129">
        <v>-90000</v>
      </c>
      <c r="BW139" s="129">
        <v>-2865942</v>
      </c>
      <c r="BX139" s="129">
        <v>-92394</v>
      </c>
      <c r="BY139" s="129">
        <v>-2958336</v>
      </c>
      <c r="BZ139" s="129">
        <v>-138913</v>
      </c>
      <c r="CA139" s="129">
        <v>0</v>
      </c>
      <c r="CB139" s="129">
        <v>-138913</v>
      </c>
      <c r="CC139" s="129">
        <v>-40636</v>
      </c>
      <c r="CD139" s="129">
        <v>0</v>
      </c>
      <c r="CE139" s="129">
        <v>-40636</v>
      </c>
      <c r="CF139" s="129">
        <v>0</v>
      </c>
      <c r="CG139" s="129">
        <v>0</v>
      </c>
      <c r="CH139" s="129">
        <v>0</v>
      </c>
      <c r="CI139" s="129">
        <v>0</v>
      </c>
      <c r="CJ139" s="129">
        <v>0</v>
      </c>
      <c r="CK139" s="129">
        <v>0</v>
      </c>
      <c r="CL139" s="129">
        <v>0</v>
      </c>
      <c r="CM139" s="129">
        <v>0</v>
      </c>
      <c r="CN139" s="129">
        <v>0</v>
      </c>
      <c r="CO139" s="129">
        <v>0</v>
      </c>
      <c r="CP139" s="129">
        <v>-131518</v>
      </c>
      <c r="CQ139" s="129">
        <v>-131518</v>
      </c>
      <c r="CR139" s="129">
        <v>-131518</v>
      </c>
      <c r="CS139" s="129">
        <v>0</v>
      </c>
      <c r="CT139" s="129">
        <v>-179549</v>
      </c>
      <c r="CU139" s="129">
        <v>-131518</v>
      </c>
      <c r="CV139" s="129">
        <v>0</v>
      </c>
      <c r="CW139" s="129">
        <v>0</v>
      </c>
      <c r="CX139" s="129">
        <v>-179549</v>
      </c>
      <c r="CY139" s="129">
        <v>-131518</v>
      </c>
      <c r="CZ139" s="129">
        <v>-311067</v>
      </c>
      <c r="DA139" s="129">
        <v>0</v>
      </c>
      <c r="DB139" s="129">
        <v>0</v>
      </c>
      <c r="DC139" s="129">
        <v>0</v>
      </c>
      <c r="DD139" s="129">
        <v>-3382</v>
      </c>
      <c r="DE139" s="129">
        <v>0</v>
      </c>
      <c r="DF139" s="129">
        <v>-3382</v>
      </c>
      <c r="DG139" s="129">
        <v>-1500</v>
      </c>
      <c r="DH139" s="129">
        <v>0</v>
      </c>
      <c r="DI139" s="129">
        <v>-1500</v>
      </c>
      <c r="DJ139" s="129">
        <v>-4882</v>
      </c>
      <c r="DK139" s="129">
        <v>0</v>
      </c>
      <c r="DL139" s="129">
        <v>0</v>
      </c>
      <c r="DM139" s="129">
        <v>0</v>
      </c>
      <c r="DN139" s="129">
        <v>-4882</v>
      </c>
      <c r="DO139" s="129">
        <v>0</v>
      </c>
      <c r="DP139" s="129">
        <v>-4882</v>
      </c>
      <c r="DQ139" s="129">
        <v>57023599</v>
      </c>
      <c r="DR139" s="129">
        <v>1241923</v>
      </c>
      <c r="DS139" s="129">
        <v>58265522</v>
      </c>
      <c r="DT139" s="662" t="s">
        <v>146</v>
      </c>
      <c r="DU139" s="324" t="s">
        <v>565</v>
      </c>
      <c r="DV139" s="663" t="s">
        <v>512</v>
      </c>
      <c r="DW139" s="529" t="s">
        <v>1346</v>
      </c>
    </row>
    <row r="140" spans="1:127" ht="12.75" x14ac:dyDescent="0.2">
      <c r="A140" s="664">
        <v>133</v>
      </c>
      <c r="B140" s="665" t="s">
        <v>148</v>
      </c>
      <c r="C140" s="666" t="s">
        <v>486</v>
      </c>
      <c r="D140" s="667" t="s">
        <v>1202</v>
      </c>
      <c r="E140" s="668" t="s">
        <v>820</v>
      </c>
      <c r="F140" s="753" t="s">
        <v>1875</v>
      </c>
      <c r="G140" s="129">
        <v>111830889</v>
      </c>
      <c r="H140" s="129">
        <v>0</v>
      </c>
      <c r="I140" s="129">
        <v>111830889</v>
      </c>
      <c r="J140" s="793">
        <v>49.9</v>
      </c>
      <c r="K140" s="129">
        <v>55803614</v>
      </c>
      <c r="L140" s="129">
        <v>0</v>
      </c>
      <c r="M140" s="129">
        <v>0</v>
      </c>
      <c r="N140" s="129">
        <v>0</v>
      </c>
      <c r="O140" s="129">
        <v>55803614</v>
      </c>
      <c r="P140" s="129">
        <v>0</v>
      </c>
      <c r="Q140" s="129">
        <v>55803614</v>
      </c>
      <c r="R140" s="129">
        <v>-379570</v>
      </c>
      <c r="S140" s="129">
        <v>0</v>
      </c>
      <c r="T140" s="129">
        <v>-379570</v>
      </c>
      <c r="U140" s="129">
        <v>81298</v>
      </c>
      <c r="V140" s="129">
        <v>0</v>
      </c>
      <c r="W140" s="129">
        <v>81298</v>
      </c>
      <c r="X140" s="129">
        <v>-298272</v>
      </c>
      <c r="Y140" s="129">
        <v>0</v>
      </c>
      <c r="Z140" s="129">
        <v>0</v>
      </c>
      <c r="AA140" s="129">
        <v>0</v>
      </c>
      <c r="AB140" s="129">
        <v>-298272</v>
      </c>
      <c r="AC140" s="129">
        <v>0</v>
      </c>
      <c r="AD140" s="129">
        <v>-298272</v>
      </c>
      <c r="AE140" s="129">
        <v>298272</v>
      </c>
      <c r="AF140" s="129">
        <v>0</v>
      </c>
      <c r="AG140" s="129">
        <v>298272</v>
      </c>
      <c r="AH140" s="129">
        <v>-9035112</v>
      </c>
      <c r="AI140" s="129">
        <v>0</v>
      </c>
      <c r="AJ140" s="129">
        <v>-9035112</v>
      </c>
      <c r="AK140" s="129">
        <v>-13623</v>
      </c>
      <c r="AL140" s="129">
        <v>0</v>
      </c>
      <c r="AM140" s="129">
        <v>-13623</v>
      </c>
      <c r="AN140" s="129">
        <v>856352</v>
      </c>
      <c r="AO140" s="129">
        <v>0</v>
      </c>
      <c r="AP140" s="129">
        <v>856352</v>
      </c>
      <c r="AQ140" s="129">
        <v>-8178760</v>
      </c>
      <c r="AR140" s="129">
        <v>0</v>
      </c>
      <c r="AS140" s="129">
        <v>-8178760</v>
      </c>
      <c r="AT140" s="129">
        <v>-3756334</v>
      </c>
      <c r="AU140" s="129">
        <v>0</v>
      </c>
      <c r="AV140" s="129">
        <v>-3756334</v>
      </c>
      <c r="AW140" s="129">
        <v>-109332</v>
      </c>
      <c r="AX140" s="129">
        <v>0</v>
      </c>
      <c r="AY140" s="129">
        <v>-109332</v>
      </c>
      <c r="AZ140" s="129">
        <v>-636</v>
      </c>
      <c r="BA140" s="129">
        <v>0</v>
      </c>
      <c r="BB140" s="129">
        <v>-636</v>
      </c>
      <c r="BC140" s="129">
        <v>-61351</v>
      </c>
      <c r="BD140" s="129">
        <v>0</v>
      </c>
      <c r="BE140" s="129">
        <v>-61351</v>
      </c>
      <c r="BF140" s="129">
        <v>-12106413</v>
      </c>
      <c r="BG140" s="129">
        <v>0</v>
      </c>
      <c r="BH140" s="129">
        <v>0</v>
      </c>
      <c r="BI140" s="129">
        <v>0</v>
      </c>
      <c r="BJ140" s="129">
        <v>-12106413</v>
      </c>
      <c r="BK140" s="129">
        <v>0</v>
      </c>
      <c r="BL140" s="129">
        <v>-12106413</v>
      </c>
      <c r="BM140" s="129">
        <v>-10000</v>
      </c>
      <c r="BN140" s="129">
        <v>0</v>
      </c>
      <c r="BO140" s="129">
        <v>-10000</v>
      </c>
      <c r="BP140" s="129">
        <v>-835918</v>
      </c>
      <c r="BQ140" s="129">
        <v>0</v>
      </c>
      <c r="BR140" s="129">
        <v>-835918</v>
      </c>
      <c r="BS140" s="129">
        <v>-845918</v>
      </c>
      <c r="BT140" s="129">
        <v>0</v>
      </c>
      <c r="BU140" s="129">
        <v>0</v>
      </c>
      <c r="BV140" s="129">
        <v>0</v>
      </c>
      <c r="BW140" s="129">
        <v>-845918</v>
      </c>
      <c r="BX140" s="129">
        <v>0</v>
      </c>
      <c r="BY140" s="129">
        <v>-845918</v>
      </c>
      <c r="BZ140" s="129">
        <v>-109231</v>
      </c>
      <c r="CA140" s="129">
        <v>0</v>
      </c>
      <c r="CB140" s="129">
        <v>-109231</v>
      </c>
      <c r="CC140" s="129">
        <v>-46140</v>
      </c>
      <c r="CD140" s="129">
        <v>0</v>
      </c>
      <c r="CE140" s="129">
        <v>-46140</v>
      </c>
      <c r="CF140" s="129">
        <v>-972</v>
      </c>
      <c r="CG140" s="129">
        <v>0</v>
      </c>
      <c r="CH140" s="129">
        <v>-972</v>
      </c>
      <c r="CI140" s="129">
        <v>0</v>
      </c>
      <c r="CJ140" s="129">
        <v>0</v>
      </c>
      <c r="CK140" s="129">
        <v>0</v>
      </c>
      <c r="CL140" s="129">
        <v>0</v>
      </c>
      <c r="CM140" s="129">
        <v>0</v>
      </c>
      <c r="CN140" s="129">
        <v>0</v>
      </c>
      <c r="CO140" s="129">
        <v>0</v>
      </c>
      <c r="CP140" s="129">
        <v>0</v>
      </c>
      <c r="CQ140" s="129">
        <v>0</v>
      </c>
      <c r="CR140" s="129">
        <v>0</v>
      </c>
      <c r="CS140" s="129">
        <v>0</v>
      </c>
      <c r="CT140" s="129">
        <v>-156343</v>
      </c>
      <c r="CU140" s="129">
        <v>0</v>
      </c>
      <c r="CV140" s="129">
        <v>0</v>
      </c>
      <c r="CW140" s="129">
        <v>0</v>
      </c>
      <c r="CX140" s="129">
        <v>-156343</v>
      </c>
      <c r="CY140" s="129">
        <v>0</v>
      </c>
      <c r="CZ140" s="129">
        <v>-156343</v>
      </c>
      <c r="DA140" s="129">
        <v>0</v>
      </c>
      <c r="DB140" s="129">
        <v>0</v>
      </c>
      <c r="DC140" s="129">
        <v>0</v>
      </c>
      <c r="DD140" s="129">
        <v>-23178</v>
      </c>
      <c r="DE140" s="129">
        <v>0</v>
      </c>
      <c r="DF140" s="129">
        <v>-23178</v>
      </c>
      <c r="DG140" s="129">
        <v>-1500</v>
      </c>
      <c r="DH140" s="129">
        <v>0</v>
      </c>
      <c r="DI140" s="129">
        <v>-1500</v>
      </c>
      <c r="DJ140" s="129">
        <v>-24678</v>
      </c>
      <c r="DK140" s="129">
        <v>0</v>
      </c>
      <c r="DL140" s="129">
        <v>0</v>
      </c>
      <c r="DM140" s="129">
        <v>0</v>
      </c>
      <c r="DN140" s="129">
        <v>-24678</v>
      </c>
      <c r="DO140" s="129">
        <v>0</v>
      </c>
      <c r="DP140" s="129">
        <v>-24678</v>
      </c>
      <c r="DQ140" s="129">
        <v>42371990</v>
      </c>
      <c r="DR140" s="129">
        <v>0</v>
      </c>
      <c r="DS140" s="129">
        <v>42371990</v>
      </c>
      <c r="DT140" s="662" t="s">
        <v>820</v>
      </c>
      <c r="DU140" s="324" t="s">
        <v>486</v>
      </c>
      <c r="DV140" s="663" t="s">
        <v>1914</v>
      </c>
      <c r="DW140" s="529" t="s">
        <v>1347</v>
      </c>
    </row>
    <row r="141" spans="1:127" ht="12.75" x14ac:dyDescent="0.2">
      <c r="A141" s="664">
        <v>134</v>
      </c>
      <c r="B141" s="665" t="s">
        <v>149</v>
      </c>
      <c r="C141" s="666" t="s">
        <v>486</v>
      </c>
      <c r="D141" s="667" t="s">
        <v>1224</v>
      </c>
      <c r="E141" s="668" t="s">
        <v>821</v>
      </c>
      <c r="F141" s="753" t="s">
        <v>1903</v>
      </c>
      <c r="G141" s="129">
        <v>4685529</v>
      </c>
      <c r="H141" s="129">
        <v>0</v>
      </c>
      <c r="I141" s="129">
        <v>4685529</v>
      </c>
      <c r="J141" s="793">
        <v>49.9</v>
      </c>
      <c r="K141" s="129">
        <v>2338079</v>
      </c>
      <c r="L141" s="129">
        <v>0</v>
      </c>
      <c r="M141" s="129">
        <v>0</v>
      </c>
      <c r="N141" s="129">
        <v>0</v>
      </c>
      <c r="O141" s="129">
        <v>2338079</v>
      </c>
      <c r="P141" s="129">
        <v>0</v>
      </c>
      <c r="Q141" s="129">
        <v>2338079</v>
      </c>
      <c r="R141" s="129">
        <v>-3175</v>
      </c>
      <c r="S141" s="129">
        <v>0</v>
      </c>
      <c r="T141" s="129">
        <v>-3175</v>
      </c>
      <c r="U141" s="129">
        <v>0</v>
      </c>
      <c r="V141" s="129">
        <v>0</v>
      </c>
      <c r="W141" s="129">
        <v>0</v>
      </c>
      <c r="X141" s="129">
        <v>-3175</v>
      </c>
      <c r="Y141" s="129">
        <v>0</v>
      </c>
      <c r="Z141" s="129">
        <v>0</v>
      </c>
      <c r="AA141" s="129">
        <v>0</v>
      </c>
      <c r="AB141" s="129">
        <v>-3175</v>
      </c>
      <c r="AC141" s="129">
        <v>0</v>
      </c>
      <c r="AD141" s="129">
        <v>-3175</v>
      </c>
      <c r="AE141" s="129">
        <v>3175</v>
      </c>
      <c r="AF141" s="129">
        <v>0</v>
      </c>
      <c r="AG141" s="129">
        <v>3175</v>
      </c>
      <c r="AH141" s="129">
        <v>-679147</v>
      </c>
      <c r="AI141" s="129">
        <v>0</v>
      </c>
      <c r="AJ141" s="129">
        <v>-679147</v>
      </c>
      <c r="AK141" s="129">
        <v>0</v>
      </c>
      <c r="AL141" s="129">
        <v>0</v>
      </c>
      <c r="AM141" s="129">
        <v>0</v>
      </c>
      <c r="AN141" s="129">
        <v>19476</v>
      </c>
      <c r="AO141" s="129">
        <v>0</v>
      </c>
      <c r="AP141" s="129">
        <v>19476</v>
      </c>
      <c r="AQ141" s="129">
        <v>-659671</v>
      </c>
      <c r="AR141" s="129">
        <v>0</v>
      </c>
      <c r="AS141" s="129">
        <v>-659671</v>
      </c>
      <c r="AT141" s="129">
        <v>-48080</v>
      </c>
      <c r="AU141" s="129">
        <v>0</v>
      </c>
      <c r="AV141" s="129">
        <v>-48080</v>
      </c>
      <c r="AW141" s="129">
        <v>-6287</v>
      </c>
      <c r="AX141" s="129">
        <v>0</v>
      </c>
      <c r="AY141" s="129">
        <v>-6287</v>
      </c>
      <c r="AZ141" s="129">
        <v>-2286</v>
      </c>
      <c r="BA141" s="129">
        <v>0</v>
      </c>
      <c r="BB141" s="129">
        <v>-2286</v>
      </c>
      <c r="BC141" s="129">
        <v>0</v>
      </c>
      <c r="BD141" s="129">
        <v>0</v>
      </c>
      <c r="BE141" s="129">
        <v>0</v>
      </c>
      <c r="BF141" s="129">
        <v>-716324</v>
      </c>
      <c r="BG141" s="129">
        <v>0</v>
      </c>
      <c r="BH141" s="129">
        <v>0</v>
      </c>
      <c r="BI141" s="129">
        <v>0</v>
      </c>
      <c r="BJ141" s="129">
        <v>-716324</v>
      </c>
      <c r="BK141" s="129">
        <v>0</v>
      </c>
      <c r="BL141" s="129">
        <v>-716324</v>
      </c>
      <c r="BM141" s="129">
        <v>0</v>
      </c>
      <c r="BN141" s="129">
        <v>0</v>
      </c>
      <c r="BO141" s="129">
        <v>0</v>
      </c>
      <c r="BP141" s="129">
        <v>-20754</v>
      </c>
      <c r="BQ141" s="129">
        <v>0</v>
      </c>
      <c r="BR141" s="129">
        <v>-20754</v>
      </c>
      <c r="BS141" s="129">
        <v>-20754</v>
      </c>
      <c r="BT141" s="129">
        <v>0</v>
      </c>
      <c r="BU141" s="129">
        <v>0</v>
      </c>
      <c r="BV141" s="129">
        <v>0</v>
      </c>
      <c r="BW141" s="129">
        <v>-20754</v>
      </c>
      <c r="BX141" s="129">
        <v>0</v>
      </c>
      <c r="BY141" s="129">
        <v>-20754</v>
      </c>
      <c r="BZ141" s="129">
        <v>-2844</v>
      </c>
      <c r="CA141" s="129">
        <v>0</v>
      </c>
      <c r="CB141" s="129">
        <v>-2844</v>
      </c>
      <c r="CC141" s="129">
        <v>-3965</v>
      </c>
      <c r="CD141" s="129">
        <v>0</v>
      </c>
      <c r="CE141" s="129">
        <v>-3965</v>
      </c>
      <c r="CF141" s="129">
        <v>-1280</v>
      </c>
      <c r="CG141" s="129">
        <v>0</v>
      </c>
      <c r="CH141" s="129">
        <v>-1280</v>
      </c>
      <c r="CI141" s="129">
        <v>0</v>
      </c>
      <c r="CJ141" s="129">
        <v>0</v>
      </c>
      <c r="CK141" s="129">
        <v>0</v>
      </c>
      <c r="CL141" s="129">
        <v>0</v>
      </c>
      <c r="CM141" s="129">
        <v>0</v>
      </c>
      <c r="CN141" s="129">
        <v>0</v>
      </c>
      <c r="CO141" s="129">
        <v>0</v>
      </c>
      <c r="CP141" s="129">
        <v>0</v>
      </c>
      <c r="CQ141" s="129">
        <v>0</v>
      </c>
      <c r="CR141" s="129">
        <v>0</v>
      </c>
      <c r="CS141" s="129">
        <v>0</v>
      </c>
      <c r="CT141" s="129">
        <v>-8089</v>
      </c>
      <c r="CU141" s="129">
        <v>0</v>
      </c>
      <c r="CV141" s="129">
        <v>0</v>
      </c>
      <c r="CW141" s="129">
        <v>0</v>
      </c>
      <c r="CX141" s="129">
        <v>-8089</v>
      </c>
      <c r="CY141" s="129">
        <v>0</v>
      </c>
      <c r="CZ141" s="129">
        <v>-8089</v>
      </c>
      <c r="DA141" s="129">
        <v>-2286</v>
      </c>
      <c r="DB141" s="129">
        <v>0</v>
      </c>
      <c r="DC141" s="129">
        <v>-2286</v>
      </c>
      <c r="DD141" s="129">
        <v>0</v>
      </c>
      <c r="DE141" s="129">
        <v>0</v>
      </c>
      <c r="DF141" s="129">
        <v>0</v>
      </c>
      <c r="DG141" s="129">
        <v>0</v>
      </c>
      <c r="DH141" s="129">
        <v>0</v>
      </c>
      <c r="DI141" s="129">
        <v>0</v>
      </c>
      <c r="DJ141" s="129">
        <v>-2286</v>
      </c>
      <c r="DK141" s="129">
        <v>0</v>
      </c>
      <c r="DL141" s="129">
        <v>0</v>
      </c>
      <c r="DM141" s="129">
        <v>0</v>
      </c>
      <c r="DN141" s="129">
        <v>-2286</v>
      </c>
      <c r="DO141" s="129">
        <v>0</v>
      </c>
      <c r="DP141" s="129">
        <v>-2286</v>
      </c>
      <c r="DQ141" s="129">
        <v>1587451</v>
      </c>
      <c r="DR141" s="129">
        <v>0</v>
      </c>
      <c r="DS141" s="129">
        <v>1587451</v>
      </c>
      <c r="DT141" s="662" t="s">
        <v>821</v>
      </c>
      <c r="DU141" s="324" t="s">
        <v>486</v>
      </c>
      <c r="DV141" s="663" t="s">
        <v>512</v>
      </c>
      <c r="DW141" s="529" t="s">
        <v>1348</v>
      </c>
    </row>
    <row r="142" spans="1:127" ht="12.75" x14ac:dyDescent="0.2">
      <c r="A142" s="664">
        <v>135</v>
      </c>
      <c r="B142" s="665" t="s">
        <v>151</v>
      </c>
      <c r="C142" s="666" t="s">
        <v>1257</v>
      </c>
      <c r="D142" s="667" t="s">
        <v>1214</v>
      </c>
      <c r="E142" s="668" t="s">
        <v>150</v>
      </c>
      <c r="F142" s="753" t="s">
        <v>1879</v>
      </c>
      <c r="G142" s="129">
        <v>727956430</v>
      </c>
      <c r="H142" s="129">
        <v>0</v>
      </c>
      <c r="I142" s="129">
        <v>727956430</v>
      </c>
      <c r="J142" s="793">
        <v>49.9</v>
      </c>
      <c r="K142" s="129">
        <v>363250259</v>
      </c>
      <c r="L142" s="129">
        <v>0</v>
      </c>
      <c r="M142" s="129">
        <v>0</v>
      </c>
      <c r="N142" s="129">
        <v>0</v>
      </c>
      <c r="O142" s="129">
        <v>363250259</v>
      </c>
      <c r="P142" s="129">
        <v>0</v>
      </c>
      <c r="Q142" s="129">
        <v>363250259</v>
      </c>
      <c r="R142" s="129">
        <v>-1857094</v>
      </c>
      <c r="S142" s="129">
        <v>0</v>
      </c>
      <c r="T142" s="129">
        <v>-1857094</v>
      </c>
      <c r="U142" s="129">
        <v>95058</v>
      </c>
      <c r="V142" s="129">
        <v>0</v>
      </c>
      <c r="W142" s="129">
        <v>95058</v>
      </c>
      <c r="X142" s="129">
        <v>-1762036</v>
      </c>
      <c r="Y142" s="129">
        <v>0</v>
      </c>
      <c r="Z142" s="129">
        <v>0</v>
      </c>
      <c r="AA142" s="129">
        <v>0</v>
      </c>
      <c r="AB142" s="129">
        <v>-1762036</v>
      </c>
      <c r="AC142" s="129">
        <v>0</v>
      </c>
      <c r="AD142" s="129">
        <v>-1762036</v>
      </c>
      <c r="AE142" s="129">
        <v>1762036</v>
      </c>
      <c r="AF142" s="129">
        <v>0</v>
      </c>
      <c r="AG142" s="129">
        <v>1762036</v>
      </c>
      <c r="AH142" s="129">
        <v>-8112132</v>
      </c>
      <c r="AI142" s="129">
        <v>0</v>
      </c>
      <c r="AJ142" s="129">
        <v>-8112132</v>
      </c>
      <c r="AK142" s="129">
        <v>0</v>
      </c>
      <c r="AL142" s="129">
        <v>0</v>
      </c>
      <c r="AM142" s="129">
        <v>0</v>
      </c>
      <c r="AN142" s="129">
        <v>7896492</v>
      </c>
      <c r="AO142" s="129">
        <v>0</v>
      </c>
      <c r="AP142" s="129">
        <v>7896492</v>
      </c>
      <c r="AQ142" s="129">
        <v>-215640</v>
      </c>
      <c r="AR142" s="129">
        <v>0</v>
      </c>
      <c r="AS142" s="129">
        <v>-215640</v>
      </c>
      <c r="AT142" s="129">
        <v>-24532029</v>
      </c>
      <c r="AU142" s="129">
        <v>0</v>
      </c>
      <c r="AV142" s="129">
        <v>-24532029</v>
      </c>
      <c r="AW142" s="129">
        <v>0</v>
      </c>
      <c r="AX142" s="129">
        <v>0</v>
      </c>
      <c r="AY142" s="129">
        <v>0</v>
      </c>
      <c r="AZ142" s="129">
        <v>0</v>
      </c>
      <c r="BA142" s="129">
        <v>0</v>
      </c>
      <c r="BB142" s="129">
        <v>0</v>
      </c>
      <c r="BC142" s="129">
        <v>0</v>
      </c>
      <c r="BD142" s="129">
        <v>0</v>
      </c>
      <c r="BE142" s="129">
        <v>0</v>
      </c>
      <c r="BF142" s="129">
        <v>-24747669</v>
      </c>
      <c r="BG142" s="129">
        <v>0</v>
      </c>
      <c r="BH142" s="129">
        <v>0</v>
      </c>
      <c r="BI142" s="129">
        <v>0</v>
      </c>
      <c r="BJ142" s="129">
        <v>-24747669</v>
      </c>
      <c r="BK142" s="129">
        <v>0</v>
      </c>
      <c r="BL142" s="129">
        <v>-24747669</v>
      </c>
      <c r="BM142" s="129">
        <v>0</v>
      </c>
      <c r="BN142" s="129">
        <v>0</v>
      </c>
      <c r="BO142" s="129">
        <v>0</v>
      </c>
      <c r="BP142" s="129">
        <v>-12367169</v>
      </c>
      <c r="BQ142" s="129">
        <v>0</v>
      </c>
      <c r="BR142" s="129">
        <v>-12367169</v>
      </c>
      <c r="BS142" s="129">
        <v>-12367169</v>
      </c>
      <c r="BT142" s="129">
        <v>0</v>
      </c>
      <c r="BU142" s="129">
        <v>0</v>
      </c>
      <c r="BV142" s="129">
        <v>0</v>
      </c>
      <c r="BW142" s="129">
        <v>-12367169</v>
      </c>
      <c r="BX142" s="129">
        <v>0</v>
      </c>
      <c r="BY142" s="129">
        <v>-12367169</v>
      </c>
      <c r="BZ142" s="129">
        <v>-730606</v>
      </c>
      <c r="CA142" s="129">
        <v>0</v>
      </c>
      <c r="CB142" s="129">
        <v>-730606</v>
      </c>
      <c r="CC142" s="129">
        <v>-629394</v>
      </c>
      <c r="CD142" s="129">
        <v>0</v>
      </c>
      <c r="CE142" s="129">
        <v>-629394</v>
      </c>
      <c r="CF142" s="129">
        <v>0</v>
      </c>
      <c r="CG142" s="129">
        <v>0</v>
      </c>
      <c r="CH142" s="129">
        <v>0</v>
      </c>
      <c r="CI142" s="129">
        <v>0</v>
      </c>
      <c r="CJ142" s="129">
        <v>0</v>
      </c>
      <c r="CK142" s="129">
        <v>0</v>
      </c>
      <c r="CL142" s="129">
        <v>0</v>
      </c>
      <c r="CM142" s="129">
        <v>0</v>
      </c>
      <c r="CN142" s="129">
        <v>0</v>
      </c>
      <c r="CO142" s="129">
        <v>0</v>
      </c>
      <c r="CP142" s="129">
        <v>0</v>
      </c>
      <c r="CQ142" s="129">
        <v>0</v>
      </c>
      <c r="CR142" s="129">
        <v>0</v>
      </c>
      <c r="CS142" s="129">
        <v>0</v>
      </c>
      <c r="CT142" s="129">
        <v>-1360000</v>
      </c>
      <c r="CU142" s="129">
        <v>0</v>
      </c>
      <c r="CV142" s="129">
        <v>0</v>
      </c>
      <c r="CW142" s="129">
        <v>0</v>
      </c>
      <c r="CX142" s="129">
        <v>-1360000</v>
      </c>
      <c r="CY142" s="129">
        <v>0</v>
      </c>
      <c r="CZ142" s="129">
        <v>-1360000</v>
      </c>
      <c r="DA142" s="129">
        <v>0</v>
      </c>
      <c r="DB142" s="129">
        <v>0</v>
      </c>
      <c r="DC142" s="129">
        <v>0</v>
      </c>
      <c r="DD142" s="129">
        <v>-175297</v>
      </c>
      <c r="DE142" s="129">
        <v>0</v>
      </c>
      <c r="DF142" s="129">
        <v>-175297</v>
      </c>
      <c r="DG142" s="129">
        <v>0</v>
      </c>
      <c r="DH142" s="129">
        <v>0</v>
      </c>
      <c r="DI142" s="129">
        <v>0</v>
      </c>
      <c r="DJ142" s="129">
        <v>-175297</v>
      </c>
      <c r="DK142" s="129">
        <v>0</v>
      </c>
      <c r="DL142" s="129">
        <v>0</v>
      </c>
      <c r="DM142" s="129">
        <v>0</v>
      </c>
      <c r="DN142" s="129">
        <v>-175297</v>
      </c>
      <c r="DO142" s="129">
        <v>0</v>
      </c>
      <c r="DP142" s="129">
        <v>-175297</v>
      </c>
      <c r="DQ142" s="129">
        <v>322838088</v>
      </c>
      <c r="DR142" s="129">
        <v>0</v>
      </c>
      <c r="DS142" s="129">
        <v>322838088</v>
      </c>
      <c r="DT142" s="662" t="s">
        <v>150</v>
      </c>
      <c r="DU142" s="324" t="s">
        <v>576</v>
      </c>
      <c r="DV142" s="669" t="s">
        <v>485</v>
      </c>
      <c r="DW142" s="529" t="s">
        <v>1349</v>
      </c>
    </row>
    <row r="143" spans="1:127" ht="12.75" x14ac:dyDescent="0.2">
      <c r="A143" s="664">
        <v>136</v>
      </c>
      <c r="B143" s="665" t="s">
        <v>153</v>
      </c>
      <c r="C143" s="666" t="s">
        <v>1257</v>
      </c>
      <c r="D143" s="667" t="s">
        <v>1214</v>
      </c>
      <c r="E143" s="668" t="s">
        <v>152</v>
      </c>
      <c r="F143" s="753" t="s">
        <v>1906</v>
      </c>
      <c r="G143" s="129">
        <v>788475291</v>
      </c>
      <c r="H143" s="129">
        <v>0</v>
      </c>
      <c r="I143" s="129">
        <v>788475291</v>
      </c>
      <c r="J143" s="793">
        <v>49.9</v>
      </c>
      <c r="K143" s="129">
        <v>393449170</v>
      </c>
      <c r="L143" s="129">
        <v>0</v>
      </c>
      <c r="M143" s="129">
        <v>0</v>
      </c>
      <c r="N143" s="129">
        <v>0</v>
      </c>
      <c r="O143" s="129">
        <v>393449170</v>
      </c>
      <c r="P143" s="129">
        <v>0</v>
      </c>
      <c r="Q143" s="129">
        <v>393449170</v>
      </c>
      <c r="R143" s="129">
        <v>-436847</v>
      </c>
      <c r="S143" s="129">
        <v>0</v>
      </c>
      <c r="T143" s="129">
        <v>-436847</v>
      </c>
      <c r="U143" s="129">
        <v>177881</v>
      </c>
      <c r="V143" s="129">
        <v>0</v>
      </c>
      <c r="W143" s="129">
        <v>177881</v>
      </c>
      <c r="X143" s="129">
        <v>-258966</v>
      </c>
      <c r="Y143" s="129">
        <v>0</v>
      </c>
      <c r="Z143" s="129">
        <v>0</v>
      </c>
      <c r="AA143" s="129">
        <v>0</v>
      </c>
      <c r="AB143" s="129">
        <v>-258966</v>
      </c>
      <c r="AC143" s="129">
        <v>0</v>
      </c>
      <c r="AD143" s="129">
        <v>-258966</v>
      </c>
      <c r="AE143" s="129">
        <v>258966</v>
      </c>
      <c r="AF143" s="129">
        <v>0</v>
      </c>
      <c r="AG143" s="129">
        <v>258966</v>
      </c>
      <c r="AH143" s="129">
        <v>-4547929</v>
      </c>
      <c r="AI143" s="129">
        <v>0</v>
      </c>
      <c r="AJ143" s="129">
        <v>-4547929</v>
      </c>
      <c r="AK143" s="129">
        <v>0</v>
      </c>
      <c r="AL143" s="129">
        <v>0</v>
      </c>
      <c r="AM143" s="129">
        <v>0</v>
      </c>
      <c r="AN143" s="129">
        <v>9083634</v>
      </c>
      <c r="AO143" s="129">
        <v>0</v>
      </c>
      <c r="AP143" s="129">
        <v>9083634</v>
      </c>
      <c r="AQ143" s="129">
        <v>4535705</v>
      </c>
      <c r="AR143" s="129">
        <v>0</v>
      </c>
      <c r="AS143" s="129">
        <v>4535705</v>
      </c>
      <c r="AT143" s="129">
        <v>-25726347</v>
      </c>
      <c r="AU143" s="129">
        <v>0</v>
      </c>
      <c r="AV143" s="129">
        <v>-25726347</v>
      </c>
      <c r="AW143" s="129">
        <v>0</v>
      </c>
      <c r="AX143" s="129">
        <v>0</v>
      </c>
      <c r="AY143" s="129">
        <v>0</v>
      </c>
      <c r="AZ143" s="129">
        <v>0</v>
      </c>
      <c r="BA143" s="129">
        <v>0</v>
      </c>
      <c r="BB143" s="129">
        <v>0</v>
      </c>
      <c r="BC143" s="129">
        <v>0</v>
      </c>
      <c r="BD143" s="129">
        <v>0</v>
      </c>
      <c r="BE143" s="129">
        <v>0</v>
      </c>
      <c r="BF143" s="129">
        <v>-21190642</v>
      </c>
      <c r="BG143" s="129">
        <v>0</v>
      </c>
      <c r="BH143" s="129">
        <v>0</v>
      </c>
      <c r="BI143" s="129">
        <v>0</v>
      </c>
      <c r="BJ143" s="129">
        <v>-21190642</v>
      </c>
      <c r="BK143" s="129">
        <v>0</v>
      </c>
      <c r="BL143" s="129">
        <v>-21190642</v>
      </c>
      <c r="BM143" s="129">
        <v>0</v>
      </c>
      <c r="BN143" s="129">
        <v>0</v>
      </c>
      <c r="BO143" s="129">
        <v>0</v>
      </c>
      <c r="BP143" s="129">
        <v>-9529686</v>
      </c>
      <c r="BQ143" s="129">
        <v>0</v>
      </c>
      <c r="BR143" s="129">
        <v>-9529686</v>
      </c>
      <c r="BS143" s="129">
        <v>-9529686</v>
      </c>
      <c r="BT143" s="129">
        <v>0</v>
      </c>
      <c r="BU143" s="129">
        <v>0</v>
      </c>
      <c r="BV143" s="129">
        <v>0</v>
      </c>
      <c r="BW143" s="129">
        <v>-9529686</v>
      </c>
      <c r="BX143" s="129">
        <v>0</v>
      </c>
      <c r="BY143" s="129">
        <v>-9529686</v>
      </c>
      <c r="BZ143" s="129">
        <v>-101592</v>
      </c>
      <c r="CA143" s="129">
        <v>0</v>
      </c>
      <c r="CB143" s="129">
        <v>-101592</v>
      </c>
      <c r="CC143" s="129">
        <v>-97334</v>
      </c>
      <c r="CD143" s="129">
        <v>0</v>
      </c>
      <c r="CE143" s="129">
        <v>-97334</v>
      </c>
      <c r="CF143" s="129">
        <v>0</v>
      </c>
      <c r="CG143" s="129">
        <v>0</v>
      </c>
      <c r="CH143" s="129">
        <v>0</v>
      </c>
      <c r="CI143" s="129">
        <v>0</v>
      </c>
      <c r="CJ143" s="129">
        <v>0</v>
      </c>
      <c r="CK143" s="129">
        <v>0</v>
      </c>
      <c r="CL143" s="129">
        <v>0</v>
      </c>
      <c r="CM143" s="129">
        <v>0</v>
      </c>
      <c r="CN143" s="129">
        <v>0</v>
      </c>
      <c r="CO143" s="129">
        <v>0</v>
      </c>
      <c r="CP143" s="129">
        <v>0</v>
      </c>
      <c r="CQ143" s="129">
        <v>0</v>
      </c>
      <c r="CR143" s="129">
        <v>0</v>
      </c>
      <c r="CS143" s="129">
        <v>0</v>
      </c>
      <c r="CT143" s="129">
        <v>-198926</v>
      </c>
      <c r="CU143" s="129">
        <v>0</v>
      </c>
      <c r="CV143" s="129">
        <v>0</v>
      </c>
      <c r="CW143" s="129">
        <v>0</v>
      </c>
      <c r="CX143" s="129">
        <v>-198926</v>
      </c>
      <c r="CY143" s="129">
        <v>0</v>
      </c>
      <c r="CZ143" s="129">
        <v>-198926</v>
      </c>
      <c r="DA143" s="129">
        <v>0</v>
      </c>
      <c r="DB143" s="129">
        <v>0</v>
      </c>
      <c r="DC143" s="129">
        <v>0</v>
      </c>
      <c r="DD143" s="129">
        <v>-37579</v>
      </c>
      <c r="DE143" s="129">
        <v>0</v>
      </c>
      <c r="DF143" s="129">
        <v>-37579</v>
      </c>
      <c r="DG143" s="129">
        <v>0</v>
      </c>
      <c r="DH143" s="129">
        <v>0</v>
      </c>
      <c r="DI143" s="129">
        <v>0</v>
      </c>
      <c r="DJ143" s="129">
        <v>-37579</v>
      </c>
      <c r="DK143" s="129">
        <v>0</v>
      </c>
      <c r="DL143" s="129">
        <v>0</v>
      </c>
      <c r="DM143" s="129">
        <v>0</v>
      </c>
      <c r="DN143" s="129">
        <v>-37579</v>
      </c>
      <c r="DO143" s="129">
        <v>0</v>
      </c>
      <c r="DP143" s="129">
        <v>-37579</v>
      </c>
      <c r="DQ143" s="129">
        <v>362233371</v>
      </c>
      <c r="DR143" s="129">
        <v>0</v>
      </c>
      <c r="DS143" s="129">
        <v>362233371</v>
      </c>
      <c r="DT143" s="662" t="s">
        <v>152</v>
      </c>
      <c r="DU143" s="324" t="s">
        <v>576</v>
      </c>
      <c r="DV143" s="669" t="s">
        <v>485</v>
      </c>
      <c r="DW143" s="529" t="s">
        <v>1350</v>
      </c>
    </row>
    <row r="144" spans="1:127" ht="12.75" x14ac:dyDescent="0.2">
      <c r="A144" s="664">
        <v>137</v>
      </c>
      <c r="B144" s="665" t="s">
        <v>155</v>
      </c>
      <c r="C144" s="666" t="s">
        <v>1201</v>
      </c>
      <c r="D144" s="667" t="s">
        <v>1211</v>
      </c>
      <c r="E144" s="668" t="s">
        <v>823</v>
      </c>
      <c r="F144" s="753" t="s">
        <v>1880</v>
      </c>
      <c r="G144" s="129">
        <v>122565460</v>
      </c>
      <c r="H144" s="129">
        <v>203275</v>
      </c>
      <c r="I144" s="129">
        <v>122768735</v>
      </c>
      <c r="J144" s="793">
        <v>49.9</v>
      </c>
      <c r="K144" s="129">
        <v>61160165</v>
      </c>
      <c r="L144" s="129">
        <v>101434</v>
      </c>
      <c r="M144" s="129">
        <v>0</v>
      </c>
      <c r="N144" s="129">
        <v>0</v>
      </c>
      <c r="O144" s="129">
        <v>61160165</v>
      </c>
      <c r="P144" s="129">
        <v>101434</v>
      </c>
      <c r="Q144" s="129">
        <v>61261599</v>
      </c>
      <c r="R144" s="129">
        <v>-193621</v>
      </c>
      <c r="S144" s="129">
        <v>0</v>
      </c>
      <c r="T144" s="129">
        <v>-193621</v>
      </c>
      <c r="U144" s="129">
        <v>35122</v>
      </c>
      <c r="V144" s="129">
        <v>0</v>
      </c>
      <c r="W144" s="129">
        <v>35122</v>
      </c>
      <c r="X144" s="129">
        <v>-158499</v>
      </c>
      <c r="Y144" s="129">
        <v>0</v>
      </c>
      <c r="Z144" s="129">
        <v>0</v>
      </c>
      <c r="AA144" s="129">
        <v>0</v>
      </c>
      <c r="AB144" s="129">
        <v>-158499</v>
      </c>
      <c r="AC144" s="129">
        <v>0</v>
      </c>
      <c r="AD144" s="129">
        <v>-158499</v>
      </c>
      <c r="AE144" s="129">
        <v>158499</v>
      </c>
      <c r="AF144" s="129">
        <v>0</v>
      </c>
      <c r="AG144" s="129">
        <v>158499</v>
      </c>
      <c r="AH144" s="129">
        <v>-7032487</v>
      </c>
      <c r="AI144" s="129">
        <v>-14371</v>
      </c>
      <c r="AJ144" s="129">
        <v>-7046858</v>
      </c>
      <c r="AK144" s="129">
        <v>-5341</v>
      </c>
      <c r="AL144" s="129">
        <v>0</v>
      </c>
      <c r="AM144" s="129">
        <v>-5341</v>
      </c>
      <c r="AN144" s="129">
        <v>1048398</v>
      </c>
      <c r="AO144" s="129">
        <v>684</v>
      </c>
      <c r="AP144" s="129">
        <v>1049082</v>
      </c>
      <c r="AQ144" s="129">
        <v>-5984089</v>
      </c>
      <c r="AR144" s="129">
        <v>-13687</v>
      </c>
      <c r="AS144" s="129">
        <v>-5997776</v>
      </c>
      <c r="AT144" s="129">
        <v>-3194645</v>
      </c>
      <c r="AU144" s="129">
        <v>-19251</v>
      </c>
      <c r="AV144" s="129">
        <v>-3213896</v>
      </c>
      <c r="AW144" s="129">
        <v>-38681</v>
      </c>
      <c r="AX144" s="129">
        <v>0</v>
      </c>
      <c r="AY144" s="129">
        <v>-38681</v>
      </c>
      <c r="AZ144" s="129">
        <v>-66626</v>
      </c>
      <c r="BA144" s="129">
        <v>0</v>
      </c>
      <c r="BB144" s="129">
        <v>-66626</v>
      </c>
      <c r="BC144" s="129">
        <v>0</v>
      </c>
      <c r="BD144" s="129">
        <v>0</v>
      </c>
      <c r="BE144" s="129">
        <v>0</v>
      </c>
      <c r="BF144" s="129">
        <v>-9284041</v>
      </c>
      <c r="BG144" s="129">
        <v>-32938</v>
      </c>
      <c r="BH144" s="129">
        <v>0</v>
      </c>
      <c r="BI144" s="129">
        <v>0</v>
      </c>
      <c r="BJ144" s="129">
        <v>-9284041</v>
      </c>
      <c r="BK144" s="129">
        <v>-32938</v>
      </c>
      <c r="BL144" s="129">
        <v>-9316979</v>
      </c>
      <c r="BM144" s="129">
        <v>-15000</v>
      </c>
      <c r="BN144" s="129">
        <v>0</v>
      </c>
      <c r="BO144" s="129">
        <v>-15000</v>
      </c>
      <c r="BP144" s="129">
        <v>-948405</v>
      </c>
      <c r="BQ144" s="129">
        <v>0</v>
      </c>
      <c r="BR144" s="129">
        <v>-948405</v>
      </c>
      <c r="BS144" s="129">
        <v>-963405</v>
      </c>
      <c r="BT144" s="129">
        <v>0</v>
      </c>
      <c r="BU144" s="129">
        <v>-1563929</v>
      </c>
      <c r="BV144" s="129">
        <v>0</v>
      </c>
      <c r="BW144" s="129">
        <v>-2527334</v>
      </c>
      <c r="BX144" s="129">
        <v>0</v>
      </c>
      <c r="BY144" s="129">
        <v>-2527334</v>
      </c>
      <c r="BZ144" s="129">
        <v>-130931</v>
      </c>
      <c r="CA144" s="129">
        <v>0</v>
      </c>
      <c r="CB144" s="129">
        <v>-130931</v>
      </c>
      <c r="CC144" s="129">
        <v>-606927</v>
      </c>
      <c r="CD144" s="129">
        <v>0</v>
      </c>
      <c r="CE144" s="129">
        <v>-606927</v>
      </c>
      <c r="CF144" s="129">
        <v>-2489</v>
      </c>
      <c r="CG144" s="129">
        <v>0</v>
      </c>
      <c r="CH144" s="129">
        <v>-2489</v>
      </c>
      <c r="CI144" s="129">
        <v>0</v>
      </c>
      <c r="CJ144" s="129">
        <v>0</v>
      </c>
      <c r="CK144" s="129">
        <v>0</v>
      </c>
      <c r="CL144" s="129">
        <v>-3700</v>
      </c>
      <c r="CM144" s="129">
        <v>0</v>
      </c>
      <c r="CN144" s="129">
        <v>-3700</v>
      </c>
      <c r="CO144" s="129">
        <v>0</v>
      </c>
      <c r="CP144" s="129">
        <v>-51594</v>
      </c>
      <c r="CQ144" s="129">
        <v>-51594</v>
      </c>
      <c r="CR144" s="129">
        <v>-51594</v>
      </c>
      <c r="CS144" s="129">
        <v>0</v>
      </c>
      <c r="CT144" s="129">
        <v>-744047</v>
      </c>
      <c r="CU144" s="129">
        <v>-51594</v>
      </c>
      <c r="CV144" s="129">
        <v>-50000</v>
      </c>
      <c r="CW144" s="129">
        <v>0</v>
      </c>
      <c r="CX144" s="129">
        <v>-794047</v>
      </c>
      <c r="CY144" s="129">
        <v>-51594</v>
      </c>
      <c r="CZ144" s="129">
        <v>-845641</v>
      </c>
      <c r="DA144" s="129">
        <v>-66626</v>
      </c>
      <c r="DB144" s="129">
        <v>0</v>
      </c>
      <c r="DC144" s="129">
        <v>-66626</v>
      </c>
      <c r="DD144" s="129">
        <v>-67808</v>
      </c>
      <c r="DE144" s="129">
        <v>0</v>
      </c>
      <c r="DF144" s="129">
        <v>-67808</v>
      </c>
      <c r="DG144" s="129">
        <v>-1500</v>
      </c>
      <c r="DH144" s="129">
        <v>0</v>
      </c>
      <c r="DI144" s="129">
        <v>-1500</v>
      </c>
      <c r="DJ144" s="129">
        <v>-135934</v>
      </c>
      <c r="DK144" s="129">
        <v>0</v>
      </c>
      <c r="DL144" s="129">
        <v>0</v>
      </c>
      <c r="DM144" s="129">
        <v>0</v>
      </c>
      <c r="DN144" s="129">
        <v>-135934</v>
      </c>
      <c r="DO144" s="129">
        <v>0</v>
      </c>
      <c r="DP144" s="129">
        <v>-135934</v>
      </c>
      <c r="DQ144" s="129">
        <v>48260310</v>
      </c>
      <c r="DR144" s="129">
        <v>16902</v>
      </c>
      <c r="DS144" s="129">
        <v>48277212</v>
      </c>
      <c r="DT144" s="662" t="s">
        <v>823</v>
      </c>
      <c r="DU144" s="324" t="s">
        <v>553</v>
      </c>
      <c r="DV144" s="663" t="s">
        <v>512</v>
      </c>
      <c r="DW144" s="529" t="s">
        <v>1351</v>
      </c>
    </row>
    <row r="145" spans="1:127" ht="12.75" x14ac:dyDescent="0.2">
      <c r="A145" s="664">
        <v>138</v>
      </c>
      <c r="B145" s="665" t="s">
        <v>157</v>
      </c>
      <c r="C145" s="666" t="s">
        <v>486</v>
      </c>
      <c r="D145" s="667" t="s">
        <v>1218</v>
      </c>
      <c r="E145" s="668" t="s">
        <v>819</v>
      </c>
      <c r="F145" s="753" t="s">
        <v>1890</v>
      </c>
      <c r="G145" s="129">
        <v>220193225</v>
      </c>
      <c r="H145" s="129">
        <v>7115550</v>
      </c>
      <c r="I145" s="129">
        <v>227308775</v>
      </c>
      <c r="J145" s="793">
        <v>49.9</v>
      </c>
      <c r="K145" s="129">
        <v>109876419</v>
      </c>
      <c r="L145" s="129">
        <v>3550659</v>
      </c>
      <c r="M145" s="129">
        <v>-10000000</v>
      </c>
      <c r="N145" s="129">
        <v>500000</v>
      </c>
      <c r="O145" s="129">
        <v>99876419</v>
      </c>
      <c r="P145" s="129">
        <v>4050659</v>
      </c>
      <c r="Q145" s="129">
        <v>103927078</v>
      </c>
      <c r="R145" s="129">
        <v>-74389</v>
      </c>
      <c r="S145" s="129">
        <v>0</v>
      </c>
      <c r="T145" s="129">
        <v>-74389</v>
      </c>
      <c r="U145" s="129">
        <v>862227</v>
      </c>
      <c r="V145" s="129">
        <v>0</v>
      </c>
      <c r="W145" s="129">
        <v>862227</v>
      </c>
      <c r="X145" s="129">
        <v>787838</v>
      </c>
      <c r="Y145" s="129">
        <v>0</v>
      </c>
      <c r="Z145" s="129">
        <v>0</v>
      </c>
      <c r="AA145" s="129">
        <v>0</v>
      </c>
      <c r="AB145" s="129">
        <v>787838</v>
      </c>
      <c r="AC145" s="129">
        <v>0</v>
      </c>
      <c r="AD145" s="129">
        <v>787838</v>
      </c>
      <c r="AE145" s="129">
        <v>-787838</v>
      </c>
      <c r="AF145" s="129">
        <v>0</v>
      </c>
      <c r="AG145" s="129">
        <v>-787838</v>
      </c>
      <c r="AH145" s="129">
        <v>-9775365</v>
      </c>
      <c r="AI145" s="129">
        <v>-10379</v>
      </c>
      <c r="AJ145" s="129">
        <v>-9785744</v>
      </c>
      <c r="AK145" s="129">
        <v>0</v>
      </c>
      <c r="AL145" s="129">
        <v>0</v>
      </c>
      <c r="AM145" s="129">
        <v>0</v>
      </c>
      <c r="AN145" s="129">
        <v>1983628</v>
      </c>
      <c r="AO145" s="129">
        <v>89485</v>
      </c>
      <c r="AP145" s="129">
        <v>2073113</v>
      </c>
      <c r="AQ145" s="129">
        <v>-7791737</v>
      </c>
      <c r="AR145" s="129">
        <v>79106</v>
      </c>
      <c r="AS145" s="129">
        <v>-7712631</v>
      </c>
      <c r="AT145" s="129">
        <v>-9394218</v>
      </c>
      <c r="AU145" s="129">
        <v>-81920</v>
      </c>
      <c r="AV145" s="129">
        <v>-9476138</v>
      </c>
      <c r="AW145" s="129">
        <v>0</v>
      </c>
      <c r="AX145" s="129">
        <v>0</v>
      </c>
      <c r="AY145" s="129">
        <v>0</v>
      </c>
      <c r="AZ145" s="129">
        <v>0</v>
      </c>
      <c r="BA145" s="129">
        <v>0</v>
      </c>
      <c r="BB145" s="129">
        <v>0</v>
      </c>
      <c r="BC145" s="129">
        <v>0</v>
      </c>
      <c r="BD145" s="129">
        <v>0</v>
      </c>
      <c r="BE145" s="129">
        <v>0</v>
      </c>
      <c r="BF145" s="129">
        <v>-17185955</v>
      </c>
      <c r="BG145" s="129">
        <v>-2814</v>
      </c>
      <c r="BH145" s="129">
        <v>0</v>
      </c>
      <c r="BI145" s="129">
        <v>0</v>
      </c>
      <c r="BJ145" s="129">
        <v>-17185955</v>
      </c>
      <c r="BK145" s="129">
        <v>-2814</v>
      </c>
      <c r="BL145" s="129">
        <v>-17188769</v>
      </c>
      <c r="BM145" s="129">
        <v>-150000</v>
      </c>
      <c r="BN145" s="129">
        <v>0</v>
      </c>
      <c r="BO145" s="129">
        <v>-150000</v>
      </c>
      <c r="BP145" s="129">
        <v>-2232133</v>
      </c>
      <c r="BQ145" s="129">
        <v>-157030</v>
      </c>
      <c r="BR145" s="129">
        <v>-2389163</v>
      </c>
      <c r="BS145" s="129">
        <v>-2382133</v>
      </c>
      <c r="BT145" s="129">
        <v>-157030</v>
      </c>
      <c r="BU145" s="129">
        <v>-700000</v>
      </c>
      <c r="BV145" s="129">
        <v>0</v>
      </c>
      <c r="BW145" s="129">
        <v>-3082133</v>
      </c>
      <c r="BX145" s="129">
        <v>-157030</v>
      </c>
      <c r="BY145" s="129">
        <v>-3239163</v>
      </c>
      <c r="BZ145" s="129">
        <v>-1178</v>
      </c>
      <c r="CA145" s="129">
        <v>0</v>
      </c>
      <c r="CB145" s="129">
        <v>-1178</v>
      </c>
      <c r="CC145" s="129">
        <v>-971976</v>
      </c>
      <c r="CD145" s="129">
        <v>0</v>
      </c>
      <c r="CE145" s="129">
        <v>-971976</v>
      </c>
      <c r="CF145" s="129">
        <v>0</v>
      </c>
      <c r="CG145" s="129">
        <v>0</v>
      </c>
      <c r="CH145" s="129">
        <v>0</v>
      </c>
      <c r="CI145" s="129">
        <v>0</v>
      </c>
      <c r="CJ145" s="129">
        <v>0</v>
      </c>
      <c r="CK145" s="129">
        <v>0</v>
      </c>
      <c r="CL145" s="129">
        <v>0</v>
      </c>
      <c r="CM145" s="129">
        <v>0</v>
      </c>
      <c r="CN145" s="129">
        <v>0</v>
      </c>
      <c r="CO145" s="129">
        <v>0</v>
      </c>
      <c r="CP145" s="129">
        <v>-165848</v>
      </c>
      <c r="CQ145" s="129">
        <v>-165848</v>
      </c>
      <c r="CR145" s="129">
        <v>-165848</v>
      </c>
      <c r="CS145" s="129">
        <v>0</v>
      </c>
      <c r="CT145" s="129">
        <v>-973154</v>
      </c>
      <c r="CU145" s="129">
        <v>-165848</v>
      </c>
      <c r="CV145" s="129">
        <v>0</v>
      </c>
      <c r="CW145" s="129">
        <v>0</v>
      </c>
      <c r="CX145" s="129">
        <v>-973154</v>
      </c>
      <c r="CY145" s="129">
        <v>-165848</v>
      </c>
      <c r="CZ145" s="129">
        <v>-1139002</v>
      </c>
      <c r="DA145" s="129">
        <v>0</v>
      </c>
      <c r="DB145" s="129">
        <v>0</v>
      </c>
      <c r="DC145" s="129">
        <v>0</v>
      </c>
      <c r="DD145" s="129">
        <v>-9559</v>
      </c>
      <c r="DE145" s="129">
        <v>0</v>
      </c>
      <c r="DF145" s="129">
        <v>-9559</v>
      </c>
      <c r="DG145" s="129">
        <v>-3000</v>
      </c>
      <c r="DH145" s="129">
        <v>0</v>
      </c>
      <c r="DI145" s="129">
        <v>-3000</v>
      </c>
      <c r="DJ145" s="129">
        <v>-12559</v>
      </c>
      <c r="DK145" s="129">
        <v>0</v>
      </c>
      <c r="DL145" s="129">
        <v>0</v>
      </c>
      <c r="DM145" s="129">
        <v>0</v>
      </c>
      <c r="DN145" s="129">
        <v>-12559</v>
      </c>
      <c r="DO145" s="129">
        <v>0</v>
      </c>
      <c r="DP145" s="129">
        <v>-12559</v>
      </c>
      <c r="DQ145" s="129">
        <v>79410456</v>
      </c>
      <c r="DR145" s="129">
        <v>3724967</v>
      </c>
      <c r="DS145" s="129">
        <v>83135423</v>
      </c>
      <c r="DT145" s="662" t="s">
        <v>819</v>
      </c>
      <c r="DU145" s="324" t="s">
        <v>486</v>
      </c>
      <c r="DV145" s="663" t="s">
        <v>538</v>
      </c>
      <c r="DW145" s="529" t="s">
        <v>1352</v>
      </c>
    </row>
    <row r="146" spans="1:127" ht="12.75" x14ac:dyDescent="0.2">
      <c r="A146" s="664">
        <v>139</v>
      </c>
      <c r="B146" s="665" t="s">
        <v>159</v>
      </c>
      <c r="C146" s="666" t="s">
        <v>1213</v>
      </c>
      <c r="D146" s="667" t="s">
        <v>1214</v>
      </c>
      <c r="E146" s="668" t="s">
        <v>158</v>
      </c>
      <c r="F146" s="753" t="s">
        <v>1885</v>
      </c>
      <c r="G146" s="129">
        <v>205369577</v>
      </c>
      <c r="H146" s="129">
        <v>0</v>
      </c>
      <c r="I146" s="129">
        <v>205369577</v>
      </c>
      <c r="J146" s="793">
        <v>49.9</v>
      </c>
      <c r="K146" s="129">
        <v>102479419</v>
      </c>
      <c r="L146" s="129">
        <v>0</v>
      </c>
      <c r="M146" s="129">
        <v>0</v>
      </c>
      <c r="N146" s="129">
        <v>0</v>
      </c>
      <c r="O146" s="129">
        <v>102479419</v>
      </c>
      <c r="P146" s="129">
        <v>0</v>
      </c>
      <c r="Q146" s="129">
        <v>102479419</v>
      </c>
      <c r="R146" s="129">
        <v>-123000</v>
      </c>
      <c r="S146" s="129">
        <v>0</v>
      </c>
      <c r="T146" s="129">
        <v>-123000</v>
      </c>
      <c r="U146" s="129">
        <v>62000</v>
      </c>
      <c r="V146" s="129">
        <v>0</v>
      </c>
      <c r="W146" s="129">
        <v>62000</v>
      </c>
      <c r="X146" s="129">
        <v>-61000</v>
      </c>
      <c r="Y146" s="129">
        <v>0</v>
      </c>
      <c r="Z146" s="129">
        <v>30000</v>
      </c>
      <c r="AA146" s="129">
        <v>0</v>
      </c>
      <c r="AB146" s="129">
        <v>-31000</v>
      </c>
      <c r="AC146" s="129">
        <v>0</v>
      </c>
      <c r="AD146" s="129">
        <v>-31000</v>
      </c>
      <c r="AE146" s="129">
        <v>31000</v>
      </c>
      <c r="AF146" s="129">
        <v>0</v>
      </c>
      <c r="AG146" s="129">
        <v>31000</v>
      </c>
      <c r="AH146" s="129">
        <v>-4375191</v>
      </c>
      <c r="AI146" s="129">
        <v>0</v>
      </c>
      <c r="AJ146" s="129">
        <v>-4375191</v>
      </c>
      <c r="AK146" s="129">
        <v>-3356</v>
      </c>
      <c r="AL146" s="129">
        <v>0</v>
      </c>
      <c r="AM146" s="129">
        <v>-3356</v>
      </c>
      <c r="AN146" s="129">
        <v>2121013</v>
      </c>
      <c r="AO146" s="129">
        <v>0</v>
      </c>
      <c r="AP146" s="129">
        <v>2121013</v>
      </c>
      <c r="AQ146" s="129">
        <v>-2254178</v>
      </c>
      <c r="AR146" s="129">
        <v>0</v>
      </c>
      <c r="AS146" s="129">
        <v>-2254178</v>
      </c>
      <c r="AT146" s="129">
        <v>-8296217</v>
      </c>
      <c r="AU146" s="129">
        <v>0</v>
      </c>
      <c r="AV146" s="129">
        <v>-8296217</v>
      </c>
      <c r="AW146" s="129">
        <v>-136090</v>
      </c>
      <c r="AX146" s="129">
        <v>0</v>
      </c>
      <c r="AY146" s="129">
        <v>-136090</v>
      </c>
      <c r="AZ146" s="129">
        <v>0</v>
      </c>
      <c r="BA146" s="129">
        <v>0</v>
      </c>
      <c r="BB146" s="129">
        <v>0</v>
      </c>
      <c r="BC146" s="129">
        <v>0</v>
      </c>
      <c r="BD146" s="129">
        <v>0</v>
      </c>
      <c r="BE146" s="129">
        <v>0</v>
      </c>
      <c r="BF146" s="129">
        <v>-10686485</v>
      </c>
      <c r="BG146" s="129">
        <v>0</v>
      </c>
      <c r="BH146" s="129">
        <v>0</v>
      </c>
      <c r="BI146" s="129">
        <v>0</v>
      </c>
      <c r="BJ146" s="129">
        <v>-10686485</v>
      </c>
      <c r="BK146" s="129">
        <v>0</v>
      </c>
      <c r="BL146" s="129">
        <v>-10686485</v>
      </c>
      <c r="BM146" s="129">
        <v>-30000</v>
      </c>
      <c r="BN146" s="129">
        <v>0</v>
      </c>
      <c r="BO146" s="129">
        <v>-30000</v>
      </c>
      <c r="BP146" s="129">
        <v>-3510000</v>
      </c>
      <c r="BQ146" s="129">
        <v>0</v>
      </c>
      <c r="BR146" s="129">
        <v>-3510000</v>
      </c>
      <c r="BS146" s="129">
        <v>-3540000</v>
      </c>
      <c r="BT146" s="129">
        <v>0</v>
      </c>
      <c r="BU146" s="129">
        <v>0</v>
      </c>
      <c r="BV146" s="129">
        <v>0</v>
      </c>
      <c r="BW146" s="129">
        <v>-3540000</v>
      </c>
      <c r="BX146" s="129">
        <v>0</v>
      </c>
      <c r="BY146" s="129">
        <v>-3540000</v>
      </c>
      <c r="BZ146" s="129">
        <v>-50000</v>
      </c>
      <c r="CA146" s="129">
        <v>0</v>
      </c>
      <c r="CB146" s="129">
        <v>-50000</v>
      </c>
      <c r="CC146" s="129">
        <v>-400000</v>
      </c>
      <c r="CD146" s="129">
        <v>0</v>
      </c>
      <c r="CE146" s="129">
        <v>-400000</v>
      </c>
      <c r="CF146" s="129">
        <v>0</v>
      </c>
      <c r="CG146" s="129">
        <v>0</v>
      </c>
      <c r="CH146" s="129">
        <v>0</v>
      </c>
      <c r="CI146" s="129">
        <v>0</v>
      </c>
      <c r="CJ146" s="129">
        <v>0</v>
      </c>
      <c r="CK146" s="129">
        <v>0</v>
      </c>
      <c r="CL146" s="129">
        <v>0</v>
      </c>
      <c r="CM146" s="129">
        <v>0</v>
      </c>
      <c r="CN146" s="129">
        <v>0</v>
      </c>
      <c r="CO146" s="129">
        <v>0</v>
      </c>
      <c r="CP146" s="129">
        <v>0</v>
      </c>
      <c r="CQ146" s="129">
        <v>0</v>
      </c>
      <c r="CR146" s="129">
        <v>0</v>
      </c>
      <c r="CS146" s="129">
        <v>0</v>
      </c>
      <c r="CT146" s="129">
        <v>-450000</v>
      </c>
      <c r="CU146" s="129">
        <v>0</v>
      </c>
      <c r="CV146" s="129">
        <v>0</v>
      </c>
      <c r="CW146" s="129">
        <v>0</v>
      </c>
      <c r="CX146" s="129">
        <v>-450000</v>
      </c>
      <c r="CY146" s="129">
        <v>0</v>
      </c>
      <c r="CZ146" s="129">
        <v>-450000</v>
      </c>
      <c r="DA146" s="129">
        <v>0</v>
      </c>
      <c r="DB146" s="129">
        <v>0</v>
      </c>
      <c r="DC146" s="129">
        <v>0</v>
      </c>
      <c r="DD146" s="129">
        <v>-12000</v>
      </c>
      <c r="DE146" s="129">
        <v>0</v>
      </c>
      <c r="DF146" s="129">
        <v>-12000</v>
      </c>
      <c r="DG146" s="129">
        <v>0</v>
      </c>
      <c r="DH146" s="129">
        <v>0</v>
      </c>
      <c r="DI146" s="129">
        <v>0</v>
      </c>
      <c r="DJ146" s="129">
        <v>-12000</v>
      </c>
      <c r="DK146" s="129">
        <v>0</v>
      </c>
      <c r="DL146" s="129">
        <v>0</v>
      </c>
      <c r="DM146" s="129">
        <v>0</v>
      </c>
      <c r="DN146" s="129">
        <v>-12000</v>
      </c>
      <c r="DO146" s="129">
        <v>0</v>
      </c>
      <c r="DP146" s="129">
        <v>-12000</v>
      </c>
      <c r="DQ146" s="129">
        <v>87759934</v>
      </c>
      <c r="DR146" s="129">
        <v>0</v>
      </c>
      <c r="DS146" s="129">
        <v>87759934</v>
      </c>
      <c r="DT146" s="662" t="s">
        <v>158</v>
      </c>
      <c r="DU146" s="324" t="s">
        <v>576</v>
      </c>
      <c r="DV146" s="669" t="s">
        <v>485</v>
      </c>
      <c r="DW146" s="529" t="s">
        <v>1353</v>
      </c>
    </row>
    <row r="147" spans="1:127" ht="12.75" x14ac:dyDescent="0.2">
      <c r="A147" s="664">
        <v>140</v>
      </c>
      <c r="B147" s="665" t="s">
        <v>161</v>
      </c>
      <c r="C147" s="666" t="s">
        <v>1217</v>
      </c>
      <c r="D147" s="667" t="s">
        <v>1218</v>
      </c>
      <c r="E147" s="668" t="s">
        <v>160</v>
      </c>
      <c r="F147" s="753" t="s">
        <v>1879</v>
      </c>
      <c r="G147" s="129">
        <v>286064440</v>
      </c>
      <c r="H147" s="129">
        <v>925500</v>
      </c>
      <c r="I147" s="129">
        <v>286989940</v>
      </c>
      <c r="J147" s="793">
        <v>49.9</v>
      </c>
      <c r="K147" s="129">
        <v>142746156</v>
      </c>
      <c r="L147" s="129">
        <v>461825</v>
      </c>
      <c r="M147" s="129">
        <v>0</v>
      </c>
      <c r="N147" s="129">
        <v>0</v>
      </c>
      <c r="O147" s="129">
        <v>142746156</v>
      </c>
      <c r="P147" s="129">
        <v>461825</v>
      </c>
      <c r="Q147" s="129">
        <v>143207981</v>
      </c>
      <c r="R147" s="129">
        <v>-125396</v>
      </c>
      <c r="S147" s="129">
        <v>0</v>
      </c>
      <c r="T147" s="129">
        <v>-125396</v>
      </c>
      <c r="U147" s="129">
        <v>446266</v>
      </c>
      <c r="V147" s="129">
        <v>0</v>
      </c>
      <c r="W147" s="129">
        <v>446266</v>
      </c>
      <c r="X147" s="129">
        <v>320870</v>
      </c>
      <c r="Y147" s="129">
        <v>0</v>
      </c>
      <c r="Z147" s="129">
        <v>0</v>
      </c>
      <c r="AA147" s="129">
        <v>0</v>
      </c>
      <c r="AB147" s="129">
        <v>320870</v>
      </c>
      <c r="AC147" s="129">
        <v>0</v>
      </c>
      <c r="AD147" s="129">
        <v>320870</v>
      </c>
      <c r="AE147" s="129">
        <v>-320870</v>
      </c>
      <c r="AF147" s="129">
        <v>0</v>
      </c>
      <c r="AG147" s="129">
        <v>-320870</v>
      </c>
      <c r="AH147" s="129">
        <v>-21317988</v>
      </c>
      <c r="AI147" s="129">
        <v>0</v>
      </c>
      <c r="AJ147" s="129">
        <v>-21317988</v>
      </c>
      <c r="AK147" s="129">
        <v>-48760</v>
      </c>
      <c r="AL147" s="129">
        <v>0</v>
      </c>
      <c r="AM147" s="129">
        <v>-48760</v>
      </c>
      <c r="AN147" s="129">
        <v>2355562</v>
      </c>
      <c r="AO147" s="129">
        <v>0</v>
      </c>
      <c r="AP147" s="129">
        <v>2355562</v>
      </c>
      <c r="AQ147" s="129">
        <v>-18962426</v>
      </c>
      <c r="AR147" s="129">
        <v>0</v>
      </c>
      <c r="AS147" s="129">
        <v>-18962426</v>
      </c>
      <c r="AT147" s="129">
        <v>-9250137</v>
      </c>
      <c r="AU147" s="129">
        <v>0</v>
      </c>
      <c r="AV147" s="129">
        <v>-9250137</v>
      </c>
      <c r="AW147" s="129">
        <v>-140659</v>
      </c>
      <c r="AX147" s="129">
        <v>0</v>
      </c>
      <c r="AY147" s="129">
        <v>-140659</v>
      </c>
      <c r="AZ147" s="129">
        <v>-4192</v>
      </c>
      <c r="BA147" s="129">
        <v>0</v>
      </c>
      <c r="BB147" s="129">
        <v>-4192</v>
      </c>
      <c r="BC147" s="129">
        <v>0</v>
      </c>
      <c r="BD147" s="129">
        <v>0</v>
      </c>
      <c r="BE147" s="129">
        <v>0</v>
      </c>
      <c r="BF147" s="129">
        <v>-28357414</v>
      </c>
      <c r="BG147" s="129">
        <v>0</v>
      </c>
      <c r="BH147" s="129">
        <v>0</v>
      </c>
      <c r="BI147" s="129">
        <v>0</v>
      </c>
      <c r="BJ147" s="129">
        <v>-28357414</v>
      </c>
      <c r="BK147" s="129">
        <v>0</v>
      </c>
      <c r="BL147" s="129">
        <v>-28357414</v>
      </c>
      <c r="BM147" s="129">
        <v>-42082</v>
      </c>
      <c r="BN147" s="129">
        <v>0</v>
      </c>
      <c r="BO147" s="129">
        <v>-42082</v>
      </c>
      <c r="BP147" s="129">
        <v>-4135383</v>
      </c>
      <c r="BQ147" s="129">
        <v>0</v>
      </c>
      <c r="BR147" s="129">
        <v>-4135383</v>
      </c>
      <c r="BS147" s="129">
        <v>-4177465</v>
      </c>
      <c r="BT147" s="129">
        <v>0</v>
      </c>
      <c r="BU147" s="129">
        <v>0</v>
      </c>
      <c r="BV147" s="129">
        <v>0</v>
      </c>
      <c r="BW147" s="129">
        <v>-4177465</v>
      </c>
      <c r="BX147" s="129">
        <v>0</v>
      </c>
      <c r="BY147" s="129">
        <v>-4177465</v>
      </c>
      <c r="BZ147" s="129">
        <v>-280000</v>
      </c>
      <c r="CA147" s="129">
        <v>0</v>
      </c>
      <c r="CB147" s="129">
        <v>-280000</v>
      </c>
      <c r="CC147" s="129">
        <v>-103000</v>
      </c>
      <c r="CD147" s="129">
        <v>0</v>
      </c>
      <c r="CE147" s="129">
        <v>-103000</v>
      </c>
      <c r="CF147" s="129">
        <v>0</v>
      </c>
      <c r="CG147" s="129">
        <v>0</v>
      </c>
      <c r="CH147" s="129">
        <v>0</v>
      </c>
      <c r="CI147" s="129">
        <v>0</v>
      </c>
      <c r="CJ147" s="129">
        <v>0</v>
      </c>
      <c r="CK147" s="129">
        <v>0</v>
      </c>
      <c r="CL147" s="129">
        <v>-83216</v>
      </c>
      <c r="CM147" s="129">
        <v>0</v>
      </c>
      <c r="CN147" s="129">
        <v>-83216</v>
      </c>
      <c r="CO147" s="129">
        <v>0</v>
      </c>
      <c r="CP147" s="129">
        <v>-158896</v>
      </c>
      <c r="CQ147" s="129">
        <v>-158896</v>
      </c>
      <c r="CR147" s="129">
        <v>-158896</v>
      </c>
      <c r="CS147" s="129">
        <v>0</v>
      </c>
      <c r="CT147" s="129">
        <v>-466216</v>
      </c>
      <c r="CU147" s="129">
        <v>-158896</v>
      </c>
      <c r="CV147" s="129">
        <v>0</v>
      </c>
      <c r="CW147" s="129">
        <v>0</v>
      </c>
      <c r="CX147" s="129">
        <v>-466216</v>
      </c>
      <c r="CY147" s="129">
        <v>-158896</v>
      </c>
      <c r="CZ147" s="129">
        <v>-625112</v>
      </c>
      <c r="DA147" s="129">
        <v>0</v>
      </c>
      <c r="DB147" s="129">
        <v>0</v>
      </c>
      <c r="DC147" s="129">
        <v>0</v>
      </c>
      <c r="DD147" s="129">
        <v>-65610</v>
      </c>
      <c r="DE147" s="129">
        <v>0</v>
      </c>
      <c r="DF147" s="129">
        <v>-65610</v>
      </c>
      <c r="DG147" s="129">
        <v>-1500</v>
      </c>
      <c r="DH147" s="129">
        <v>0</v>
      </c>
      <c r="DI147" s="129">
        <v>-1500</v>
      </c>
      <c r="DJ147" s="129">
        <v>-67110</v>
      </c>
      <c r="DK147" s="129">
        <v>0</v>
      </c>
      <c r="DL147" s="129">
        <v>0</v>
      </c>
      <c r="DM147" s="129">
        <v>0</v>
      </c>
      <c r="DN147" s="129">
        <v>-67110</v>
      </c>
      <c r="DO147" s="129">
        <v>0</v>
      </c>
      <c r="DP147" s="129">
        <v>-67110</v>
      </c>
      <c r="DQ147" s="129">
        <v>109998821</v>
      </c>
      <c r="DR147" s="129">
        <v>302929</v>
      </c>
      <c r="DS147" s="129">
        <v>110301750</v>
      </c>
      <c r="DT147" s="662" t="s">
        <v>160</v>
      </c>
      <c r="DU147" s="324" t="s">
        <v>570</v>
      </c>
      <c r="DV147" s="663" t="s">
        <v>575</v>
      </c>
      <c r="DW147" s="529" t="s">
        <v>1354</v>
      </c>
    </row>
    <row r="148" spans="1:127" ht="12.75" x14ac:dyDescent="0.2">
      <c r="A148" s="664">
        <v>141</v>
      </c>
      <c r="B148" s="665" t="s">
        <v>163</v>
      </c>
      <c r="C148" s="666" t="s">
        <v>1217</v>
      </c>
      <c r="D148" s="667" t="s">
        <v>1204</v>
      </c>
      <c r="E148" s="668" t="s">
        <v>162</v>
      </c>
      <c r="F148" s="753" t="s">
        <v>1896</v>
      </c>
      <c r="G148" s="129">
        <v>111365040</v>
      </c>
      <c r="H148" s="129">
        <v>0</v>
      </c>
      <c r="I148" s="129">
        <v>111365040</v>
      </c>
      <c r="J148" s="793">
        <v>49.9</v>
      </c>
      <c r="K148" s="129">
        <v>55571155</v>
      </c>
      <c r="L148" s="129">
        <v>0</v>
      </c>
      <c r="M148" s="129">
        <v>0</v>
      </c>
      <c r="N148" s="129">
        <v>0</v>
      </c>
      <c r="O148" s="129">
        <v>55571155</v>
      </c>
      <c r="P148" s="129">
        <v>0</v>
      </c>
      <c r="Q148" s="129">
        <v>55571155</v>
      </c>
      <c r="R148" s="129">
        <v>-81562</v>
      </c>
      <c r="S148" s="129">
        <v>0</v>
      </c>
      <c r="T148" s="129">
        <v>-81562</v>
      </c>
      <c r="U148" s="129">
        <v>119888</v>
      </c>
      <c r="V148" s="129">
        <v>0</v>
      </c>
      <c r="W148" s="129">
        <v>119888</v>
      </c>
      <c r="X148" s="129">
        <v>38326</v>
      </c>
      <c r="Y148" s="129">
        <v>0</v>
      </c>
      <c r="Z148" s="129">
        <v>0</v>
      </c>
      <c r="AA148" s="129">
        <v>0</v>
      </c>
      <c r="AB148" s="129">
        <v>38326</v>
      </c>
      <c r="AC148" s="129">
        <v>0</v>
      </c>
      <c r="AD148" s="129">
        <v>38326</v>
      </c>
      <c r="AE148" s="129">
        <v>-38326</v>
      </c>
      <c r="AF148" s="129">
        <v>0</v>
      </c>
      <c r="AG148" s="129">
        <v>-38326</v>
      </c>
      <c r="AH148" s="129">
        <v>-3610458</v>
      </c>
      <c r="AI148" s="129">
        <v>0</v>
      </c>
      <c r="AJ148" s="129">
        <v>-3610458</v>
      </c>
      <c r="AK148" s="129">
        <v>-12205</v>
      </c>
      <c r="AL148" s="129">
        <v>0</v>
      </c>
      <c r="AM148" s="129">
        <v>-12205</v>
      </c>
      <c r="AN148" s="129">
        <v>1102716</v>
      </c>
      <c r="AO148" s="129">
        <v>0</v>
      </c>
      <c r="AP148" s="129">
        <v>1102716</v>
      </c>
      <c r="AQ148" s="129">
        <v>-2507742</v>
      </c>
      <c r="AR148" s="129">
        <v>0</v>
      </c>
      <c r="AS148" s="129">
        <v>-2507742</v>
      </c>
      <c r="AT148" s="129">
        <v>-2488291</v>
      </c>
      <c r="AU148" s="129">
        <v>0</v>
      </c>
      <c r="AV148" s="129">
        <v>-2488291</v>
      </c>
      <c r="AW148" s="129">
        <v>-8888</v>
      </c>
      <c r="AX148" s="129">
        <v>0</v>
      </c>
      <c r="AY148" s="129">
        <v>-8888</v>
      </c>
      <c r="AZ148" s="129">
        <v>0</v>
      </c>
      <c r="BA148" s="129">
        <v>0</v>
      </c>
      <c r="BB148" s="129">
        <v>0</v>
      </c>
      <c r="BC148" s="129">
        <v>0</v>
      </c>
      <c r="BD148" s="129">
        <v>0</v>
      </c>
      <c r="BE148" s="129">
        <v>0</v>
      </c>
      <c r="BF148" s="129">
        <v>-5004921</v>
      </c>
      <c r="BG148" s="129">
        <v>0</v>
      </c>
      <c r="BH148" s="129">
        <v>0</v>
      </c>
      <c r="BI148" s="129">
        <v>0</v>
      </c>
      <c r="BJ148" s="129">
        <v>-5004921</v>
      </c>
      <c r="BK148" s="129">
        <v>0</v>
      </c>
      <c r="BL148" s="129">
        <v>-5004921</v>
      </c>
      <c r="BM148" s="129">
        <v>-250000</v>
      </c>
      <c r="BN148" s="129">
        <v>0</v>
      </c>
      <c r="BO148" s="129">
        <v>-250000</v>
      </c>
      <c r="BP148" s="129">
        <v>-1012563</v>
      </c>
      <c r="BQ148" s="129">
        <v>0</v>
      </c>
      <c r="BR148" s="129">
        <v>-1012563</v>
      </c>
      <c r="BS148" s="129">
        <v>-1262563</v>
      </c>
      <c r="BT148" s="129">
        <v>0</v>
      </c>
      <c r="BU148" s="129">
        <v>0</v>
      </c>
      <c r="BV148" s="129">
        <v>0</v>
      </c>
      <c r="BW148" s="129">
        <v>-1262563</v>
      </c>
      <c r="BX148" s="129">
        <v>0</v>
      </c>
      <c r="BY148" s="129">
        <v>-1262563</v>
      </c>
      <c r="BZ148" s="129">
        <v>-214103</v>
      </c>
      <c r="CA148" s="129">
        <v>0</v>
      </c>
      <c r="CB148" s="129">
        <v>-214103</v>
      </c>
      <c r="CC148" s="129">
        <v>-803787</v>
      </c>
      <c r="CD148" s="129">
        <v>0</v>
      </c>
      <c r="CE148" s="129">
        <v>-803787</v>
      </c>
      <c r="CF148" s="129">
        <v>0</v>
      </c>
      <c r="CG148" s="129">
        <v>0</v>
      </c>
      <c r="CH148" s="129">
        <v>0</v>
      </c>
      <c r="CI148" s="129">
        <v>0</v>
      </c>
      <c r="CJ148" s="129">
        <v>0</v>
      </c>
      <c r="CK148" s="129">
        <v>0</v>
      </c>
      <c r="CL148" s="129">
        <v>0</v>
      </c>
      <c r="CM148" s="129">
        <v>0</v>
      </c>
      <c r="CN148" s="129">
        <v>0</v>
      </c>
      <c r="CO148" s="129">
        <v>0</v>
      </c>
      <c r="CP148" s="129">
        <v>0</v>
      </c>
      <c r="CQ148" s="129">
        <v>0</v>
      </c>
      <c r="CR148" s="129">
        <v>0</v>
      </c>
      <c r="CS148" s="129">
        <v>0</v>
      </c>
      <c r="CT148" s="129">
        <v>-1017890</v>
      </c>
      <c r="CU148" s="129">
        <v>0</v>
      </c>
      <c r="CV148" s="129">
        <v>0</v>
      </c>
      <c r="CW148" s="129">
        <v>0</v>
      </c>
      <c r="CX148" s="129">
        <v>-1017890</v>
      </c>
      <c r="CY148" s="129">
        <v>0</v>
      </c>
      <c r="CZ148" s="129">
        <v>-1017890</v>
      </c>
      <c r="DA148" s="129">
        <v>0</v>
      </c>
      <c r="DB148" s="129">
        <v>0</v>
      </c>
      <c r="DC148" s="129">
        <v>0</v>
      </c>
      <c r="DD148" s="129">
        <v>-5475</v>
      </c>
      <c r="DE148" s="129">
        <v>0</v>
      </c>
      <c r="DF148" s="129">
        <v>-5475</v>
      </c>
      <c r="DG148" s="129">
        <v>0</v>
      </c>
      <c r="DH148" s="129">
        <v>0</v>
      </c>
      <c r="DI148" s="129">
        <v>0</v>
      </c>
      <c r="DJ148" s="129">
        <v>-5475</v>
      </c>
      <c r="DK148" s="129">
        <v>0</v>
      </c>
      <c r="DL148" s="129">
        <v>0</v>
      </c>
      <c r="DM148" s="129">
        <v>0</v>
      </c>
      <c r="DN148" s="129">
        <v>-5475</v>
      </c>
      <c r="DO148" s="129">
        <v>0</v>
      </c>
      <c r="DP148" s="129">
        <v>-5475</v>
      </c>
      <c r="DQ148" s="129">
        <v>48318632</v>
      </c>
      <c r="DR148" s="129">
        <v>0</v>
      </c>
      <c r="DS148" s="129">
        <v>48318632</v>
      </c>
      <c r="DT148" s="662" t="s">
        <v>162</v>
      </c>
      <c r="DU148" s="324" t="s">
        <v>570</v>
      </c>
      <c r="DV148" s="663" t="s">
        <v>571</v>
      </c>
      <c r="DW148" s="529" t="s">
        <v>1355</v>
      </c>
    </row>
    <row r="149" spans="1:127" ht="12.75" x14ac:dyDescent="0.2">
      <c r="A149" s="664">
        <v>142</v>
      </c>
      <c r="B149" s="665" t="s">
        <v>165</v>
      </c>
      <c r="C149" s="666" t="s">
        <v>1257</v>
      </c>
      <c r="D149" s="667" t="s">
        <v>1214</v>
      </c>
      <c r="E149" s="668" t="s">
        <v>164</v>
      </c>
      <c r="F149" s="753" t="s">
        <v>1884</v>
      </c>
      <c r="G149" s="129">
        <v>444435995</v>
      </c>
      <c r="H149" s="129">
        <v>3549575</v>
      </c>
      <c r="I149" s="129">
        <v>447985570</v>
      </c>
      <c r="J149" s="793">
        <v>49.9</v>
      </c>
      <c r="K149" s="129">
        <v>221773562</v>
      </c>
      <c r="L149" s="129">
        <v>1771238</v>
      </c>
      <c r="M149" s="129">
        <v>0</v>
      </c>
      <c r="N149" s="129">
        <v>0</v>
      </c>
      <c r="O149" s="129">
        <v>221773562</v>
      </c>
      <c r="P149" s="129">
        <v>1771238</v>
      </c>
      <c r="Q149" s="129">
        <v>223544800</v>
      </c>
      <c r="R149" s="129">
        <v>-2377408</v>
      </c>
      <c r="S149" s="129">
        <v>0</v>
      </c>
      <c r="T149" s="129">
        <v>-2377408</v>
      </c>
      <c r="U149" s="129">
        <v>384143</v>
      </c>
      <c r="V149" s="129">
        <v>0</v>
      </c>
      <c r="W149" s="129">
        <v>384143</v>
      </c>
      <c r="X149" s="129">
        <v>-1993265</v>
      </c>
      <c r="Y149" s="129">
        <v>0</v>
      </c>
      <c r="Z149" s="129">
        <v>0</v>
      </c>
      <c r="AA149" s="129">
        <v>0</v>
      </c>
      <c r="AB149" s="129">
        <v>-1993265</v>
      </c>
      <c r="AC149" s="129">
        <v>0</v>
      </c>
      <c r="AD149" s="129">
        <v>-1993265</v>
      </c>
      <c r="AE149" s="129">
        <v>1993265</v>
      </c>
      <c r="AF149" s="129">
        <v>0</v>
      </c>
      <c r="AG149" s="129">
        <v>1993265</v>
      </c>
      <c r="AH149" s="129">
        <v>-9409356</v>
      </c>
      <c r="AI149" s="129">
        <v>0</v>
      </c>
      <c r="AJ149" s="129">
        <v>-9409356</v>
      </c>
      <c r="AK149" s="129">
        <v>0</v>
      </c>
      <c r="AL149" s="129">
        <v>0</v>
      </c>
      <c r="AM149" s="129">
        <v>0</v>
      </c>
      <c r="AN149" s="129">
        <v>4651936</v>
      </c>
      <c r="AO149" s="129">
        <v>39858</v>
      </c>
      <c r="AP149" s="129">
        <v>4691794</v>
      </c>
      <c r="AQ149" s="129">
        <v>-4757420</v>
      </c>
      <c r="AR149" s="129">
        <v>39858</v>
      </c>
      <c r="AS149" s="129">
        <v>-4717562</v>
      </c>
      <c r="AT149" s="129">
        <v>-20952835</v>
      </c>
      <c r="AU149" s="129">
        <v>0</v>
      </c>
      <c r="AV149" s="129">
        <v>-20952835</v>
      </c>
      <c r="AW149" s="129">
        <v>-8090</v>
      </c>
      <c r="AX149" s="129">
        <v>0</v>
      </c>
      <c r="AY149" s="129">
        <v>-8090</v>
      </c>
      <c r="AZ149" s="129">
        <v>0</v>
      </c>
      <c r="BA149" s="129">
        <v>0</v>
      </c>
      <c r="BB149" s="129">
        <v>0</v>
      </c>
      <c r="BC149" s="129">
        <v>0</v>
      </c>
      <c r="BD149" s="129">
        <v>0</v>
      </c>
      <c r="BE149" s="129">
        <v>0</v>
      </c>
      <c r="BF149" s="129">
        <v>-25718345</v>
      </c>
      <c r="BG149" s="129">
        <v>39858</v>
      </c>
      <c r="BH149" s="129">
        <v>0</v>
      </c>
      <c r="BI149" s="129">
        <v>0</v>
      </c>
      <c r="BJ149" s="129">
        <v>-25718345</v>
      </c>
      <c r="BK149" s="129">
        <v>39858</v>
      </c>
      <c r="BL149" s="129">
        <v>-25678487</v>
      </c>
      <c r="BM149" s="129">
        <v>0</v>
      </c>
      <c r="BN149" s="129">
        <v>0</v>
      </c>
      <c r="BO149" s="129">
        <v>0</v>
      </c>
      <c r="BP149" s="129">
        <v>-4748547</v>
      </c>
      <c r="BQ149" s="129">
        <v>0</v>
      </c>
      <c r="BR149" s="129">
        <v>-4748547</v>
      </c>
      <c r="BS149" s="129">
        <v>-4748547</v>
      </c>
      <c r="BT149" s="129">
        <v>0</v>
      </c>
      <c r="BU149" s="129">
        <v>0</v>
      </c>
      <c r="BV149" s="129">
        <v>0</v>
      </c>
      <c r="BW149" s="129">
        <v>-4748547</v>
      </c>
      <c r="BX149" s="129">
        <v>0</v>
      </c>
      <c r="BY149" s="129">
        <v>-4748547</v>
      </c>
      <c r="BZ149" s="129">
        <v>-232661</v>
      </c>
      <c r="CA149" s="129">
        <v>0</v>
      </c>
      <c r="CB149" s="129">
        <v>-232661</v>
      </c>
      <c r="CC149" s="129">
        <v>-377182</v>
      </c>
      <c r="CD149" s="129">
        <v>0</v>
      </c>
      <c r="CE149" s="129">
        <v>-377182</v>
      </c>
      <c r="CF149" s="129">
        <v>0</v>
      </c>
      <c r="CG149" s="129">
        <v>0</v>
      </c>
      <c r="CH149" s="129">
        <v>0</v>
      </c>
      <c r="CI149" s="129">
        <v>0</v>
      </c>
      <c r="CJ149" s="129">
        <v>0</v>
      </c>
      <c r="CK149" s="129">
        <v>0</v>
      </c>
      <c r="CL149" s="129">
        <v>0</v>
      </c>
      <c r="CM149" s="129">
        <v>0</v>
      </c>
      <c r="CN149" s="129">
        <v>0</v>
      </c>
      <c r="CO149" s="129">
        <v>0</v>
      </c>
      <c r="CP149" s="129">
        <v>0</v>
      </c>
      <c r="CQ149" s="129">
        <v>0</v>
      </c>
      <c r="CR149" s="129">
        <v>0</v>
      </c>
      <c r="CS149" s="129">
        <v>0</v>
      </c>
      <c r="CT149" s="129">
        <v>-609843</v>
      </c>
      <c r="CU149" s="129">
        <v>0</v>
      </c>
      <c r="CV149" s="129">
        <v>0</v>
      </c>
      <c r="CW149" s="129">
        <v>0</v>
      </c>
      <c r="CX149" s="129">
        <v>-609843</v>
      </c>
      <c r="CY149" s="129">
        <v>0</v>
      </c>
      <c r="CZ149" s="129">
        <v>-609843</v>
      </c>
      <c r="DA149" s="129">
        <v>0</v>
      </c>
      <c r="DB149" s="129">
        <v>0</v>
      </c>
      <c r="DC149" s="129">
        <v>0</v>
      </c>
      <c r="DD149" s="129">
        <v>-221640</v>
      </c>
      <c r="DE149" s="129">
        <v>0</v>
      </c>
      <c r="DF149" s="129">
        <v>-221640</v>
      </c>
      <c r="DG149" s="129">
        <v>0</v>
      </c>
      <c r="DH149" s="129">
        <v>0</v>
      </c>
      <c r="DI149" s="129">
        <v>0</v>
      </c>
      <c r="DJ149" s="129">
        <v>-221640</v>
      </c>
      <c r="DK149" s="129">
        <v>0</v>
      </c>
      <c r="DL149" s="129">
        <v>0</v>
      </c>
      <c r="DM149" s="129">
        <v>0</v>
      </c>
      <c r="DN149" s="129">
        <v>-221640</v>
      </c>
      <c r="DO149" s="129">
        <v>0</v>
      </c>
      <c r="DP149" s="129">
        <v>-221640</v>
      </c>
      <c r="DQ149" s="129">
        <v>188481922</v>
      </c>
      <c r="DR149" s="129">
        <v>1811096</v>
      </c>
      <c r="DS149" s="129">
        <v>190293018</v>
      </c>
      <c r="DT149" s="662" t="s">
        <v>164</v>
      </c>
      <c r="DU149" s="324" t="s">
        <v>576</v>
      </c>
      <c r="DV149" s="669" t="s">
        <v>485</v>
      </c>
      <c r="DW149" s="529" t="s">
        <v>1356</v>
      </c>
    </row>
    <row r="150" spans="1:127" ht="12.75" x14ac:dyDescent="0.2">
      <c r="A150" s="664">
        <v>143</v>
      </c>
      <c r="B150" s="665" t="s">
        <v>167</v>
      </c>
      <c r="C150" s="666" t="s">
        <v>1201</v>
      </c>
      <c r="D150" s="667" t="s">
        <v>1204</v>
      </c>
      <c r="E150" s="668" t="s">
        <v>166</v>
      </c>
      <c r="F150" s="753" t="s">
        <v>1891</v>
      </c>
      <c r="G150" s="129">
        <v>159434088</v>
      </c>
      <c r="H150" s="129">
        <v>0</v>
      </c>
      <c r="I150" s="129">
        <v>159434088</v>
      </c>
      <c r="J150" s="793">
        <v>49.9</v>
      </c>
      <c r="K150" s="129">
        <v>79557610</v>
      </c>
      <c r="L150" s="129">
        <v>0</v>
      </c>
      <c r="M150" s="129">
        <v>0</v>
      </c>
      <c r="N150" s="129">
        <v>0</v>
      </c>
      <c r="O150" s="129">
        <v>79557610</v>
      </c>
      <c r="P150" s="129">
        <v>0</v>
      </c>
      <c r="Q150" s="129">
        <v>79557610</v>
      </c>
      <c r="R150" s="129">
        <v>-171799</v>
      </c>
      <c r="S150" s="129">
        <v>0</v>
      </c>
      <c r="T150" s="129">
        <v>-171799</v>
      </c>
      <c r="U150" s="129">
        <v>202192</v>
      </c>
      <c r="V150" s="129">
        <v>0</v>
      </c>
      <c r="W150" s="129">
        <v>202192</v>
      </c>
      <c r="X150" s="129">
        <v>30393</v>
      </c>
      <c r="Y150" s="129">
        <v>0</v>
      </c>
      <c r="Z150" s="129">
        <v>0</v>
      </c>
      <c r="AA150" s="129">
        <v>0</v>
      </c>
      <c r="AB150" s="129">
        <v>30393</v>
      </c>
      <c r="AC150" s="129">
        <v>0</v>
      </c>
      <c r="AD150" s="129">
        <v>30393</v>
      </c>
      <c r="AE150" s="129">
        <v>-30393</v>
      </c>
      <c r="AF150" s="129">
        <v>0</v>
      </c>
      <c r="AG150" s="129">
        <v>-30393</v>
      </c>
      <c r="AH150" s="129">
        <v>-5498239</v>
      </c>
      <c r="AI150" s="129">
        <v>0</v>
      </c>
      <c r="AJ150" s="129">
        <v>-5498239</v>
      </c>
      <c r="AK150" s="129">
        <v>-39935</v>
      </c>
      <c r="AL150" s="129">
        <v>0</v>
      </c>
      <c r="AM150" s="129">
        <v>-39935</v>
      </c>
      <c r="AN150" s="129">
        <v>1634772</v>
      </c>
      <c r="AO150" s="129">
        <v>0</v>
      </c>
      <c r="AP150" s="129">
        <v>1634772</v>
      </c>
      <c r="AQ150" s="129">
        <v>-3863467</v>
      </c>
      <c r="AR150" s="129">
        <v>0</v>
      </c>
      <c r="AS150" s="129">
        <v>-3863467</v>
      </c>
      <c r="AT150" s="129">
        <v>-4543589</v>
      </c>
      <c r="AU150" s="129">
        <v>0</v>
      </c>
      <c r="AV150" s="129">
        <v>-4543589</v>
      </c>
      <c r="AW150" s="129">
        <v>-66382</v>
      </c>
      <c r="AX150" s="129">
        <v>0</v>
      </c>
      <c r="AY150" s="129">
        <v>-66382</v>
      </c>
      <c r="AZ150" s="129">
        <v>-23456</v>
      </c>
      <c r="BA150" s="129">
        <v>0</v>
      </c>
      <c r="BB150" s="129">
        <v>-23456</v>
      </c>
      <c r="BC150" s="129">
        <v>0</v>
      </c>
      <c r="BD150" s="129">
        <v>0</v>
      </c>
      <c r="BE150" s="129">
        <v>0</v>
      </c>
      <c r="BF150" s="129">
        <v>-8496894</v>
      </c>
      <c r="BG150" s="129">
        <v>0</v>
      </c>
      <c r="BH150" s="129">
        <v>0</v>
      </c>
      <c r="BI150" s="129">
        <v>0</v>
      </c>
      <c r="BJ150" s="129">
        <v>-8496894</v>
      </c>
      <c r="BK150" s="129">
        <v>0</v>
      </c>
      <c r="BL150" s="129">
        <v>-8496894</v>
      </c>
      <c r="BM150" s="129">
        <v>0</v>
      </c>
      <c r="BN150" s="129">
        <v>0</v>
      </c>
      <c r="BO150" s="129">
        <v>0</v>
      </c>
      <c r="BP150" s="129">
        <v>-1051437</v>
      </c>
      <c r="BQ150" s="129">
        <v>0</v>
      </c>
      <c r="BR150" s="129">
        <v>-1051437</v>
      </c>
      <c r="BS150" s="129">
        <v>-1051437</v>
      </c>
      <c r="BT150" s="129">
        <v>0</v>
      </c>
      <c r="BU150" s="129">
        <v>0</v>
      </c>
      <c r="BV150" s="129">
        <v>0</v>
      </c>
      <c r="BW150" s="129">
        <v>-1051437</v>
      </c>
      <c r="BX150" s="129">
        <v>0</v>
      </c>
      <c r="BY150" s="129">
        <v>-1051437</v>
      </c>
      <c r="BZ150" s="129">
        <v>-118961</v>
      </c>
      <c r="CA150" s="129">
        <v>0</v>
      </c>
      <c r="CB150" s="129">
        <v>-118961</v>
      </c>
      <c r="CC150" s="129">
        <v>-103383</v>
      </c>
      <c r="CD150" s="129">
        <v>0</v>
      </c>
      <c r="CE150" s="129">
        <v>-103383</v>
      </c>
      <c r="CF150" s="129">
        <v>-3698</v>
      </c>
      <c r="CG150" s="129">
        <v>0</v>
      </c>
      <c r="CH150" s="129">
        <v>-3698</v>
      </c>
      <c r="CI150" s="129">
        <v>0</v>
      </c>
      <c r="CJ150" s="129">
        <v>0</v>
      </c>
      <c r="CK150" s="129">
        <v>0</v>
      </c>
      <c r="CL150" s="129">
        <v>0</v>
      </c>
      <c r="CM150" s="129">
        <v>0</v>
      </c>
      <c r="CN150" s="129">
        <v>0</v>
      </c>
      <c r="CO150" s="129">
        <v>0</v>
      </c>
      <c r="CP150" s="129">
        <v>0</v>
      </c>
      <c r="CQ150" s="129">
        <v>0</v>
      </c>
      <c r="CR150" s="129">
        <v>0</v>
      </c>
      <c r="CS150" s="129">
        <v>0</v>
      </c>
      <c r="CT150" s="129">
        <v>-226042</v>
      </c>
      <c r="CU150" s="129">
        <v>0</v>
      </c>
      <c r="CV150" s="129">
        <v>0</v>
      </c>
      <c r="CW150" s="129">
        <v>0</v>
      </c>
      <c r="CX150" s="129">
        <v>-226042</v>
      </c>
      <c r="CY150" s="129">
        <v>0</v>
      </c>
      <c r="CZ150" s="129">
        <v>-226042</v>
      </c>
      <c r="DA150" s="129">
        <v>-26300</v>
      </c>
      <c r="DB150" s="129">
        <v>0</v>
      </c>
      <c r="DC150" s="129">
        <v>-26300</v>
      </c>
      <c r="DD150" s="129">
        <v>-28598</v>
      </c>
      <c r="DE150" s="129">
        <v>0</v>
      </c>
      <c r="DF150" s="129">
        <v>-28598</v>
      </c>
      <c r="DG150" s="129">
        <v>0</v>
      </c>
      <c r="DH150" s="129">
        <v>0</v>
      </c>
      <c r="DI150" s="129">
        <v>0</v>
      </c>
      <c r="DJ150" s="129">
        <v>-54898</v>
      </c>
      <c r="DK150" s="129">
        <v>0</v>
      </c>
      <c r="DL150" s="129">
        <v>0</v>
      </c>
      <c r="DM150" s="129">
        <v>0</v>
      </c>
      <c r="DN150" s="129">
        <v>-54898</v>
      </c>
      <c r="DO150" s="129">
        <v>0</v>
      </c>
      <c r="DP150" s="129">
        <v>-54898</v>
      </c>
      <c r="DQ150" s="129">
        <v>69758732</v>
      </c>
      <c r="DR150" s="129">
        <v>0</v>
      </c>
      <c r="DS150" s="129">
        <v>69758732</v>
      </c>
      <c r="DT150" s="662" t="s">
        <v>166</v>
      </c>
      <c r="DU150" s="324" t="s">
        <v>547</v>
      </c>
      <c r="DV150" s="663" t="s">
        <v>545</v>
      </c>
      <c r="DW150" s="529" t="s">
        <v>1357</v>
      </c>
    </row>
    <row r="151" spans="1:127" ht="12.75" x14ac:dyDescent="0.2">
      <c r="A151" s="664">
        <v>144</v>
      </c>
      <c r="B151" s="665" t="s">
        <v>169</v>
      </c>
      <c r="C151" s="666" t="s">
        <v>1217</v>
      </c>
      <c r="D151" s="667" t="s">
        <v>1218</v>
      </c>
      <c r="E151" s="668" t="s">
        <v>168</v>
      </c>
      <c r="F151" s="753" t="s">
        <v>1879</v>
      </c>
      <c r="G151" s="129">
        <v>921665813</v>
      </c>
      <c r="H151" s="129">
        <v>7681000</v>
      </c>
      <c r="I151" s="129">
        <v>929346813</v>
      </c>
      <c r="J151" s="793">
        <v>49.9</v>
      </c>
      <c r="K151" s="129">
        <v>459911241</v>
      </c>
      <c r="L151" s="129">
        <v>3832819</v>
      </c>
      <c r="M151" s="129">
        <v>-5567282</v>
      </c>
      <c r="N151" s="129">
        <v>0</v>
      </c>
      <c r="O151" s="129">
        <v>454343959</v>
      </c>
      <c r="P151" s="129">
        <v>3832819</v>
      </c>
      <c r="Q151" s="129">
        <v>458176778</v>
      </c>
      <c r="R151" s="129">
        <v>-565108</v>
      </c>
      <c r="S151" s="129">
        <v>0</v>
      </c>
      <c r="T151" s="129">
        <v>-565108</v>
      </c>
      <c r="U151" s="129">
        <v>2325531</v>
      </c>
      <c r="V151" s="129">
        <v>0</v>
      </c>
      <c r="W151" s="129">
        <v>2325531</v>
      </c>
      <c r="X151" s="129">
        <v>1760423</v>
      </c>
      <c r="Y151" s="129">
        <v>0</v>
      </c>
      <c r="Z151" s="129">
        <v>0</v>
      </c>
      <c r="AA151" s="129">
        <v>0</v>
      </c>
      <c r="AB151" s="129">
        <v>1760423</v>
      </c>
      <c r="AC151" s="129">
        <v>0</v>
      </c>
      <c r="AD151" s="129">
        <v>1760423</v>
      </c>
      <c r="AE151" s="129">
        <v>-1760423</v>
      </c>
      <c r="AF151" s="129">
        <v>0</v>
      </c>
      <c r="AG151" s="129">
        <v>-1760423</v>
      </c>
      <c r="AH151" s="129">
        <v>-32608438</v>
      </c>
      <c r="AI151" s="129">
        <v>0</v>
      </c>
      <c r="AJ151" s="129">
        <v>-32608438</v>
      </c>
      <c r="AK151" s="129">
        <v>-20000</v>
      </c>
      <c r="AL151" s="129">
        <v>0</v>
      </c>
      <c r="AM151" s="129">
        <v>-20000</v>
      </c>
      <c r="AN151" s="129">
        <v>9061325</v>
      </c>
      <c r="AO151" s="129">
        <v>97851</v>
      </c>
      <c r="AP151" s="129">
        <v>9159176</v>
      </c>
      <c r="AQ151" s="129">
        <v>-23547113</v>
      </c>
      <c r="AR151" s="129">
        <v>97851</v>
      </c>
      <c r="AS151" s="129">
        <v>-23449262</v>
      </c>
      <c r="AT151" s="129">
        <v>-27547113</v>
      </c>
      <c r="AU151" s="129">
        <v>0</v>
      </c>
      <c r="AV151" s="129">
        <v>-27547113</v>
      </c>
      <c r="AW151" s="129">
        <v>-357816</v>
      </c>
      <c r="AX151" s="129">
        <v>0</v>
      </c>
      <c r="AY151" s="129">
        <v>-357816</v>
      </c>
      <c r="AZ151" s="129">
        <v>-7510</v>
      </c>
      <c r="BA151" s="129">
        <v>0</v>
      </c>
      <c r="BB151" s="129">
        <v>-7510</v>
      </c>
      <c r="BC151" s="129">
        <v>0</v>
      </c>
      <c r="BD151" s="129">
        <v>0</v>
      </c>
      <c r="BE151" s="129">
        <v>0</v>
      </c>
      <c r="BF151" s="129">
        <v>-51459552</v>
      </c>
      <c r="BG151" s="129">
        <v>97851</v>
      </c>
      <c r="BH151" s="129">
        <v>0</v>
      </c>
      <c r="BI151" s="129">
        <v>0</v>
      </c>
      <c r="BJ151" s="129">
        <v>-51459552</v>
      </c>
      <c r="BK151" s="129">
        <v>97851</v>
      </c>
      <c r="BL151" s="129">
        <v>-51361701</v>
      </c>
      <c r="BM151" s="129">
        <v>-150000</v>
      </c>
      <c r="BN151" s="129">
        <v>0</v>
      </c>
      <c r="BO151" s="129">
        <v>-150000</v>
      </c>
      <c r="BP151" s="129">
        <v>-26201950</v>
      </c>
      <c r="BQ151" s="129">
        <v>0</v>
      </c>
      <c r="BR151" s="129">
        <v>-26201950</v>
      </c>
      <c r="BS151" s="129">
        <v>-26351950</v>
      </c>
      <c r="BT151" s="129">
        <v>0</v>
      </c>
      <c r="BU151" s="129">
        <v>0</v>
      </c>
      <c r="BV151" s="129">
        <v>0</v>
      </c>
      <c r="BW151" s="129">
        <v>-26351950</v>
      </c>
      <c r="BX151" s="129">
        <v>0</v>
      </c>
      <c r="BY151" s="129">
        <v>-26351950</v>
      </c>
      <c r="BZ151" s="129">
        <v>-72000</v>
      </c>
      <c r="CA151" s="129">
        <v>0</v>
      </c>
      <c r="CB151" s="129">
        <v>-72000</v>
      </c>
      <c r="CC151" s="129">
        <v>-465851</v>
      </c>
      <c r="CD151" s="129">
        <v>0</v>
      </c>
      <c r="CE151" s="129">
        <v>-465851</v>
      </c>
      <c r="CF151" s="129">
        <v>-60000</v>
      </c>
      <c r="CG151" s="129">
        <v>0</v>
      </c>
      <c r="CH151" s="129">
        <v>-60000</v>
      </c>
      <c r="CI151" s="129">
        <v>0</v>
      </c>
      <c r="CJ151" s="129">
        <v>0</v>
      </c>
      <c r="CK151" s="129">
        <v>0</v>
      </c>
      <c r="CL151" s="129">
        <v>-2353</v>
      </c>
      <c r="CM151" s="129">
        <v>0</v>
      </c>
      <c r="CN151" s="129">
        <v>-2353</v>
      </c>
      <c r="CO151" s="129">
        <v>-500000</v>
      </c>
      <c r="CP151" s="129">
        <v>-58368</v>
      </c>
      <c r="CQ151" s="129">
        <v>-558368</v>
      </c>
      <c r="CR151" s="129">
        <v>-58368</v>
      </c>
      <c r="CS151" s="129">
        <v>0</v>
      </c>
      <c r="CT151" s="129">
        <v>-1100204</v>
      </c>
      <c r="CU151" s="129">
        <v>-58368</v>
      </c>
      <c r="CV151" s="129">
        <v>0</v>
      </c>
      <c r="CW151" s="129">
        <v>0</v>
      </c>
      <c r="CX151" s="129">
        <v>-1100204</v>
      </c>
      <c r="CY151" s="129">
        <v>-58368</v>
      </c>
      <c r="CZ151" s="129">
        <v>-1158572</v>
      </c>
      <c r="DA151" s="129">
        <v>-7250</v>
      </c>
      <c r="DB151" s="129">
        <v>0</v>
      </c>
      <c r="DC151" s="129">
        <v>-7250</v>
      </c>
      <c r="DD151" s="129">
        <v>-82750</v>
      </c>
      <c r="DE151" s="129">
        <v>0</v>
      </c>
      <c r="DF151" s="129">
        <v>-82750</v>
      </c>
      <c r="DG151" s="129">
        <v>-1500</v>
      </c>
      <c r="DH151" s="129">
        <v>0</v>
      </c>
      <c r="DI151" s="129">
        <v>-1500</v>
      </c>
      <c r="DJ151" s="129">
        <v>-91500</v>
      </c>
      <c r="DK151" s="129">
        <v>0</v>
      </c>
      <c r="DL151" s="129">
        <v>0</v>
      </c>
      <c r="DM151" s="129">
        <v>0</v>
      </c>
      <c r="DN151" s="129">
        <v>-91500</v>
      </c>
      <c r="DO151" s="129">
        <v>0</v>
      </c>
      <c r="DP151" s="129">
        <v>-91500</v>
      </c>
      <c r="DQ151" s="129">
        <v>377101176</v>
      </c>
      <c r="DR151" s="129">
        <v>3872302</v>
      </c>
      <c r="DS151" s="129">
        <v>380973478</v>
      </c>
      <c r="DT151" s="662" t="s">
        <v>168</v>
      </c>
      <c r="DU151" s="324" t="s">
        <v>570</v>
      </c>
      <c r="DV151" s="663" t="s">
        <v>575</v>
      </c>
      <c r="DW151" s="529" t="s">
        <v>1358</v>
      </c>
    </row>
    <row r="152" spans="1:127" ht="12.75" x14ac:dyDescent="0.2">
      <c r="A152" s="664">
        <v>145</v>
      </c>
      <c r="B152" s="665" t="s">
        <v>171</v>
      </c>
      <c r="C152" s="666" t="s">
        <v>486</v>
      </c>
      <c r="D152" s="667" t="s">
        <v>1206</v>
      </c>
      <c r="E152" s="668" t="s">
        <v>548</v>
      </c>
      <c r="F152" s="753" t="s">
        <v>1875</v>
      </c>
      <c r="G152" s="129">
        <v>294958139</v>
      </c>
      <c r="H152" s="129">
        <v>7942755</v>
      </c>
      <c r="I152" s="129">
        <v>302900894</v>
      </c>
      <c r="J152" s="793">
        <v>49.9</v>
      </c>
      <c r="K152" s="129">
        <v>147184111</v>
      </c>
      <c r="L152" s="129">
        <v>3963435</v>
      </c>
      <c r="M152" s="129">
        <v>400000</v>
      </c>
      <c r="N152" s="129">
        <v>200000</v>
      </c>
      <c r="O152" s="129">
        <v>147584111</v>
      </c>
      <c r="P152" s="129">
        <v>4163435</v>
      </c>
      <c r="Q152" s="129">
        <v>151747546</v>
      </c>
      <c r="R152" s="129">
        <v>-1100315</v>
      </c>
      <c r="S152" s="129">
        <v>-7097</v>
      </c>
      <c r="T152" s="129">
        <v>-1107412</v>
      </c>
      <c r="U152" s="129">
        <v>82435</v>
      </c>
      <c r="V152" s="129">
        <v>0</v>
      </c>
      <c r="W152" s="129">
        <v>82435</v>
      </c>
      <c r="X152" s="129">
        <v>-1017880</v>
      </c>
      <c r="Y152" s="129">
        <v>-7097</v>
      </c>
      <c r="Z152" s="129">
        <v>0</v>
      </c>
      <c r="AA152" s="129">
        <v>0</v>
      </c>
      <c r="AB152" s="129">
        <v>-1017880</v>
      </c>
      <c r="AC152" s="129">
        <v>-7097</v>
      </c>
      <c r="AD152" s="129">
        <v>-1024977</v>
      </c>
      <c r="AE152" s="129">
        <v>1017880</v>
      </c>
      <c r="AF152" s="129">
        <v>7097</v>
      </c>
      <c r="AG152" s="129">
        <v>1024977</v>
      </c>
      <c r="AH152" s="129">
        <v>-15951135</v>
      </c>
      <c r="AI152" s="129">
        <v>-607552</v>
      </c>
      <c r="AJ152" s="129">
        <v>-16558687</v>
      </c>
      <c r="AK152" s="129">
        <v>-25000</v>
      </c>
      <c r="AL152" s="129">
        <v>0</v>
      </c>
      <c r="AM152" s="129">
        <v>-25000</v>
      </c>
      <c r="AN152" s="129">
        <v>2667009</v>
      </c>
      <c r="AO152" s="129">
        <v>58583</v>
      </c>
      <c r="AP152" s="129">
        <v>2725592</v>
      </c>
      <c r="AQ152" s="129">
        <v>-13284126</v>
      </c>
      <c r="AR152" s="129">
        <v>-548969</v>
      </c>
      <c r="AS152" s="129">
        <v>-13833095</v>
      </c>
      <c r="AT152" s="129">
        <v>-12606464</v>
      </c>
      <c r="AU152" s="129">
        <v>-619754</v>
      </c>
      <c r="AV152" s="129">
        <v>-13226218</v>
      </c>
      <c r="AW152" s="129">
        <v>-44667</v>
      </c>
      <c r="AX152" s="129">
        <v>-18432</v>
      </c>
      <c r="AY152" s="129">
        <v>-63099</v>
      </c>
      <c r="AZ152" s="129">
        <v>0</v>
      </c>
      <c r="BA152" s="129">
        <v>0</v>
      </c>
      <c r="BB152" s="129">
        <v>0</v>
      </c>
      <c r="BC152" s="129">
        <v>0</v>
      </c>
      <c r="BD152" s="129">
        <v>0</v>
      </c>
      <c r="BE152" s="129">
        <v>0</v>
      </c>
      <c r="BF152" s="129">
        <v>-25935257</v>
      </c>
      <c r="BG152" s="129">
        <v>-1187155</v>
      </c>
      <c r="BH152" s="129">
        <v>-1000000</v>
      </c>
      <c r="BI152" s="129">
        <v>0</v>
      </c>
      <c r="BJ152" s="129">
        <v>-26935257</v>
      </c>
      <c r="BK152" s="129">
        <v>-1187155</v>
      </c>
      <c r="BL152" s="129">
        <v>-28122412</v>
      </c>
      <c r="BM152" s="129">
        <v>-25000</v>
      </c>
      <c r="BN152" s="129">
        <v>0</v>
      </c>
      <c r="BO152" s="129">
        <v>-25000</v>
      </c>
      <c r="BP152" s="129">
        <v>-3599534</v>
      </c>
      <c r="BQ152" s="129">
        <v>-45041</v>
      </c>
      <c r="BR152" s="129">
        <v>-3644575</v>
      </c>
      <c r="BS152" s="129">
        <v>-3624534</v>
      </c>
      <c r="BT152" s="129">
        <v>-45041</v>
      </c>
      <c r="BU152" s="129">
        <v>-1050000</v>
      </c>
      <c r="BV152" s="129">
        <v>-50000</v>
      </c>
      <c r="BW152" s="129">
        <v>-4674534</v>
      </c>
      <c r="BX152" s="129">
        <v>-95041</v>
      </c>
      <c r="BY152" s="129">
        <v>-4769575</v>
      </c>
      <c r="BZ152" s="129">
        <v>-395388</v>
      </c>
      <c r="CA152" s="129">
        <v>-77427</v>
      </c>
      <c r="CB152" s="129">
        <v>-472815</v>
      </c>
      <c r="CC152" s="129">
        <v>-119972</v>
      </c>
      <c r="CD152" s="129">
        <v>0</v>
      </c>
      <c r="CE152" s="129">
        <v>-119972</v>
      </c>
      <c r="CF152" s="129">
        <v>0</v>
      </c>
      <c r="CG152" s="129">
        <v>0</v>
      </c>
      <c r="CH152" s="129">
        <v>0</v>
      </c>
      <c r="CI152" s="129">
        <v>0</v>
      </c>
      <c r="CJ152" s="129">
        <v>0</v>
      </c>
      <c r="CK152" s="129">
        <v>0</v>
      </c>
      <c r="CL152" s="129">
        <v>0</v>
      </c>
      <c r="CM152" s="129">
        <v>0</v>
      </c>
      <c r="CN152" s="129">
        <v>0</v>
      </c>
      <c r="CO152" s="129">
        <v>-200000</v>
      </c>
      <c r="CP152" s="129">
        <v>0</v>
      </c>
      <c r="CQ152" s="129">
        <v>-200000</v>
      </c>
      <c r="CR152" s="129">
        <v>0</v>
      </c>
      <c r="CS152" s="129">
        <v>0</v>
      </c>
      <c r="CT152" s="129">
        <v>-715360</v>
      </c>
      <c r="CU152" s="129">
        <v>-77427</v>
      </c>
      <c r="CV152" s="129">
        <v>0</v>
      </c>
      <c r="CW152" s="129">
        <v>0</v>
      </c>
      <c r="CX152" s="129">
        <v>-715360</v>
      </c>
      <c r="CY152" s="129">
        <v>-77427</v>
      </c>
      <c r="CZ152" s="129">
        <v>-792787</v>
      </c>
      <c r="DA152" s="129">
        <v>0</v>
      </c>
      <c r="DB152" s="129">
        <v>0</v>
      </c>
      <c r="DC152" s="129">
        <v>0</v>
      </c>
      <c r="DD152" s="129">
        <v>-98522</v>
      </c>
      <c r="DE152" s="129">
        <v>-931</v>
      </c>
      <c r="DF152" s="129">
        <v>-99453</v>
      </c>
      <c r="DG152" s="129">
        <v>-1500</v>
      </c>
      <c r="DH152" s="129">
        <v>0</v>
      </c>
      <c r="DI152" s="129">
        <v>-1500</v>
      </c>
      <c r="DJ152" s="129">
        <v>-100022</v>
      </c>
      <c r="DK152" s="129">
        <v>-931</v>
      </c>
      <c r="DL152" s="129">
        <v>0</v>
      </c>
      <c r="DM152" s="129">
        <v>0</v>
      </c>
      <c r="DN152" s="129">
        <v>-100022</v>
      </c>
      <c r="DO152" s="129">
        <v>-931</v>
      </c>
      <c r="DP152" s="129">
        <v>-100953</v>
      </c>
      <c r="DQ152" s="129">
        <v>114141058</v>
      </c>
      <c r="DR152" s="129">
        <v>2795784</v>
      </c>
      <c r="DS152" s="129">
        <v>116936842</v>
      </c>
      <c r="DT152" s="662" t="s">
        <v>548</v>
      </c>
      <c r="DU152" s="324" t="s">
        <v>486</v>
      </c>
      <c r="DV152" s="663" t="s">
        <v>549</v>
      </c>
      <c r="DW152" s="529" t="s">
        <v>1359</v>
      </c>
    </row>
    <row r="153" spans="1:127" ht="12.75" x14ac:dyDescent="0.2">
      <c r="A153" s="664">
        <v>146</v>
      </c>
      <c r="B153" s="665" t="s">
        <v>173</v>
      </c>
      <c r="C153" s="666" t="s">
        <v>1201</v>
      </c>
      <c r="D153" s="667" t="s">
        <v>1202</v>
      </c>
      <c r="E153" s="668" t="s">
        <v>172</v>
      </c>
      <c r="F153" s="753" t="s">
        <v>1907</v>
      </c>
      <c r="G153" s="129">
        <v>65360035</v>
      </c>
      <c r="H153" s="129">
        <v>6766850</v>
      </c>
      <c r="I153" s="129">
        <v>72126885</v>
      </c>
      <c r="J153" s="793">
        <v>49.9</v>
      </c>
      <c r="K153" s="129">
        <v>32614657</v>
      </c>
      <c r="L153" s="129">
        <v>3376658</v>
      </c>
      <c r="M153" s="129">
        <v>132566</v>
      </c>
      <c r="N153" s="129">
        <v>65910</v>
      </c>
      <c r="O153" s="129">
        <v>32747223</v>
      </c>
      <c r="P153" s="129">
        <v>3442568</v>
      </c>
      <c r="Q153" s="129">
        <v>36189791</v>
      </c>
      <c r="R153" s="129">
        <v>-221912</v>
      </c>
      <c r="S153" s="129">
        <v>-1598</v>
      </c>
      <c r="T153" s="129">
        <v>-223510</v>
      </c>
      <c r="U153" s="129">
        <v>4830</v>
      </c>
      <c r="V153" s="129">
        <v>12494</v>
      </c>
      <c r="W153" s="129">
        <v>17324</v>
      </c>
      <c r="X153" s="129">
        <v>-217082</v>
      </c>
      <c r="Y153" s="129">
        <v>10896</v>
      </c>
      <c r="Z153" s="129">
        <v>0</v>
      </c>
      <c r="AA153" s="129">
        <v>0</v>
      </c>
      <c r="AB153" s="129">
        <v>-217082</v>
      </c>
      <c r="AC153" s="129">
        <v>10896</v>
      </c>
      <c r="AD153" s="129">
        <v>-206186</v>
      </c>
      <c r="AE153" s="129">
        <v>217082</v>
      </c>
      <c r="AF153" s="129">
        <v>-10896</v>
      </c>
      <c r="AG153" s="129">
        <v>206186</v>
      </c>
      <c r="AH153" s="129">
        <v>-4169744</v>
      </c>
      <c r="AI153" s="129">
        <v>-396243</v>
      </c>
      <c r="AJ153" s="129">
        <v>-4565987</v>
      </c>
      <c r="AK153" s="129">
        <v>0</v>
      </c>
      <c r="AL153" s="129">
        <v>0</v>
      </c>
      <c r="AM153" s="129">
        <v>0</v>
      </c>
      <c r="AN153" s="129">
        <v>507921</v>
      </c>
      <c r="AO153" s="129">
        <v>53085</v>
      </c>
      <c r="AP153" s="129">
        <v>561006</v>
      </c>
      <c r="AQ153" s="129">
        <v>-3661823</v>
      </c>
      <c r="AR153" s="129">
        <v>-343158</v>
      </c>
      <c r="AS153" s="129">
        <v>-4004981</v>
      </c>
      <c r="AT153" s="129">
        <v>-2939939</v>
      </c>
      <c r="AU153" s="129">
        <v>-67359</v>
      </c>
      <c r="AV153" s="129">
        <v>-3007298</v>
      </c>
      <c r="AW153" s="129">
        <v>-114207</v>
      </c>
      <c r="AX153" s="129">
        <v>0</v>
      </c>
      <c r="AY153" s="129">
        <v>-114207</v>
      </c>
      <c r="AZ153" s="129">
        <v>-5693</v>
      </c>
      <c r="BA153" s="129">
        <v>0</v>
      </c>
      <c r="BB153" s="129">
        <v>-5693</v>
      </c>
      <c r="BC153" s="129">
        <v>0</v>
      </c>
      <c r="BD153" s="129">
        <v>0</v>
      </c>
      <c r="BE153" s="129">
        <v>0</v>
      </c>
      <c r="BF153" s="129">
        <v>-6721662</v>
      </c>
      <c r="BG153" s="129">
        <v>-410517</v>
      </c>
      <c r="BH153" s="129">
        <v>0</v>
      </c>
      <c r="BI153" s="129">
        <v>0</v>
      </c>
      <c r="BJ153" s="129">
        <v>-6721662</v>
      </c>
      <c r="BK153" s="129">
        <v>-410517</v>
      </c>
      <c r="BL153" s="129">
        <v>-7132179</v>
      </c>
      <c r="BM153" s="129">
        <v>-9247</v>
      </c>
      <c r="BN153" s="129">
        <v>0</v>
      </c>
      <c r="BO153" s="129">
        <v>-9247</v>
      </c>
      <c r="BP153" s="129">
        <v>-656980</v>
      </c>
      <c r="BQ153" s="129">
        <v>-77347</v>
      </c>
      <c r="BR153" s="129">
        <v>-734327</v>
      </c>
      <c r="BS153" s="129">
        <v>-666227</v>
      </c>
      <c r="BT153" s="129">
        <v>-77347</v>
      </c>
      <c r="BU153" s="129">
        <v>0</v>
      </c>
      <c r="BV153" s="129">
        <v>0</v>
      </c>
      <c r="BW153" s="129">
        <v>-666227</v>
      </c>
      <c r="BX153" s="129">
        <v>-77347</v>
      </c>
      <c r="BY153" s="129">
        <v>-743574</v>
      </c>
      <c r="BZ153" s="129">
        <v>-141913</v>
      </c>
      <c r="CA153" s="129">
        <v>-9216</v>
      </c>
      <c r="CB153" s="129">
        <v>-151129</v>
      </c>
      <c r="CC153" s="129">
        <v>-1572</v>
      </c>
      <c r="CD153" s="129">
        <v>0</v>
      </c>
      <c r="CE153" s="129">
        <v>-1572</v>
      </c>
      <c r="CF153" s="129">
        <v>-3917</v>
      </c>
      <c r="CG153" s="129">
        <v>0</v>
      </c>
      <c r="CH153" s="129">
        <v>-3917</v>
      </c>
      <c r="CI153" s="129">
        <v>0</v>
      </c>
      <c r="CJ153" s="129">
        <v>0</v>
      </c>
      <c r="CK153" s="129">
        <v>0</v>
      </c>
      <c r="CL153" s="129">
        <v>0</v>
      </c>
      <c r="CM153" s="129">
        <v>0</v>
      </c>
      <c r="CN153" s="129">
        <v>0</v>
      </c>
      <c r="CO153" s="129">
        <v>0</v>
      </c>
      <c r="CP153" s="129">
        <v>-553824</v>
      </c>
      <c r="CQ153" s="129">
        <v>-553824</v>
      </c>
      <c r="CR153" s="129">
        <v>-553824</v>
      </c>
      <c r="CS153" s="129">
        <v>0</v>
      </c>
      <c r="CT153" s="129">
        <v>-147402</v>
      </c>
      <c r="CU153" s="129">
        <v>-563040</v>
      </c>
      <c r="CV153" s="129">
        <v>0</v>
      </c>
      <c r="CW153" s="129">
        <v>0</v>
      </c>
      <c r="CX153" s="129">
        <v>-147402</v>
      </c>
      <c r="CY153" s="129">
        <v>-563040</v>
      </c>
      <c r="CZ153" s="129">
        <v>-710442</v>
      </c>
      <c r="DA153" s="129">
        <v>-10055</v>
      </c>
      <c r="DB153" s="129">
        <v>0</v>
      </c>
      <c r="DC153" s="129">
        <v>-10055</v>
      </c>
      <c r="DD153" s="129">
        <v>-19085</v>
      </c>
      <c r="DE153" s="129">
        <v>0</v>
      </c>
      <c r="DF153" s="129">
        <v>-19085</v>
      </c>
      <c r="DG153" s="129">
        <v>0</v>
      </c>
      <c r="DH153" s="129">
        <v>0</v>
      </c>
      <c r="DI153" s="129">
        <v>0</v>
      </c>
      <c r="DJ153" s="129">
        <v>-29140</v>
      </c>
      <c r="DK153" s="129">
        <v>0</v>
      </c>
      <c r="DL153" s="129">
        <v>0</v>
      </c>
      <c r="DM153" s="129">
        <v>0</v>
      </c>
      <c r="DN153" s="129">
        <v>-29140</v>
      </c>
      <c r="DO153" s="129">
        <v>0</v>
      </c>
      <c r="DP153" s="129">
        <v>-29140</v>
      </c>
      <c r="DQ153" s="129">
        <v>24965710</v>
      </c>
      <c r="DR153" s="129">
        <v>2402560</v>
      </c>
      <c r="DS153" s="129">
        <v>27368270</v>
      </c>
      <c r="DT153" s="662" t="s">
        <v>172</v>
      </c>
      <c r="DU153" s="324" t="s">
        <v>525</v>
      </c>
      <c r="DV153" s="663" t="s">
        <v>524</v>
      </c>
      <c r="DW153" s="529" t="s">
        <v>1360</v>
      </c>
    </row>
    <row r="154" spans="1:127" ht="12.75" x14ac:dyDescent="0.2">
      <c r="A154" s="664">
        <v>147</v>
      </c>
      <c r="B154" s="665" t="s">
        <v>175</v>
      </c>
      <c r="C154" s="666" t="s">
        <v>1257</v>
      </c>
      <c r="D154" s="667" t="s">
        <v>1214</v>
      </c>
      <c r="E154" s="668" t="s">
        <v>174</v>
      </c>
      <c r="F154" s="753" t="s">
        <v>1878</v>
      </c>
      <c r="G154" s="129">
        <v>177047335</v>
      </c>
      <c r="H154" s="129">
        <v>0</v>
      </c>
      <c r="I154" s="129">
        <v>177047335</v>
      </c>
      <c r="J154" s="793">
        <v>49.9</v>
      </c>
      <c r="K154" s="129">
        <v>88346620</v>
      </c>
      <c r="L154" s="129">
        <v>0</v>
      </c>
      <c r="M154" s="129">
        <v>0</v>
      </c>
      <c r="N154" s="129">
        <v>0</v>
      </c>
      <c r="O154" s="129">
        <v>88346620</v>
      </c>
      <c r="P154" s="129">
        <v>0</v>
      </c>
      <c r="Q154" s="129">
        <v>88346620</v>
      </c>
      <c r="R154" s="129">
        <v>-418860</v>
      </c>
      <c r="S154" s="129">
        <v>0</v>
      </c>
      <c r="T154" s="129">
        <v>-418860</v>
      </c>
      <c r="U154" s="129">
        <v>85629</v>
      </c>
      <c r="V154" s="129">
        <v>0</v>
      </c>
      <c r="W154" s="129">
        <v>85629</v>
      </c>
      <c r="X154" s="129">
        <v>-333231</v>
      </c>
      <c r="Y154" s="129">
        <v>0</v>
      </c>
      <c r="Z154" s="129">
        <v>0</v>
      </c>
      <c r="AA154" s="129">
        <v>0</v>
      </c>
      <c r="AB154" s="129">
        <v>-333231</v>
      </c>
      <c r="AC154" s="129">
        <v>0</v>
      </c>
      <c r="AD154" s="129">
        <v>-333231</v>
      </c>
      <c r="AE154" s="129">
        <v>333231</v>
      </c>
      <c r="AF154" s="129">
        <v>0</v>
      </c>
      <c r="AG154" s="129">
        <v>333231</v>
      </c>
      <c r="AH154" s="129">
        <v>-8538389</v>
      </c>
      <c r="AI154" s="129">
        <v>0</v>
      </c>
      <c r="AJ154" s="129">
        <v>-8538389</v>
      </c>
      <c r="AK154" s="129">
        <v>0</v>
      </c>
      <c r="AL154" s="129">
        <v>0</v>
      </c>
      <c r="AM154" s="129">
        <v>0</v>
      </c>
      <c r="AN154" s="129">
        <v>1549429</v>
      </c>
      <c r="AO154" s="129">
        <v>0</v>
      </c>
      <c r="AP154" s="129">
        <v>1549429</v>
      </c>
      <c r="AQ154" s="129">
        <v>-6988960</v>
      </c>
      <c r="AR154" s="129">
        <v>0</v>
      </c>
      <c r="AS154" s="129">
        <v>-6988960</v>
      </c>
      <c r="AT154" s="129">
        <v>-9346395</v>
      </c>
      <c r="AU154" s="129">
        <v>0</v>
      </c>
      <c r="AV154" s="129">
        <v>-9346395</v>
      </c>
      <c r="AW154" s="129">
        <v>0</v>
      </c>
      <c r="AX154" s="129">
        <v>0</v>
      </c>
      <c r="AY154" s="129">
        <v>0</v>
      </c>
      <c r="AZ154" s="129">
        <v>0</v>
      </c>
      <c r="BA154" s="129">
        <v>0</v>
      </c>
      <c r="BB154" s="129">
        <v>0</v>
      </c>
      <c r="BC154" s="129">
        <v>0</v>
      </c>
      <c r="BD154" s="129">
        <v>0</v>
      </c>
      <c r="BE154" s="129">
        <v>0</v>
      </c>
      <c r="BF154" s="129">
        <v>-16335355</v>
      </c>
      <c r="BG154" s="129">
        <v>0</v>
      </c>
      <c r="BH154" s="129">
        <v>0</v>
      </c>
      <c r="BI154" s="129">
        <v>0</v>
      </c>
      <c r="BJ154" s="129">
        <v>-16335355</v>
      </c>
      <c r="BK154" s="129">
        <v>0</v>
      </c>
      <c r="BL154" s="129">
        <v>-16335355</v>
      </c>
      <c r="BM154" s="129">
        <v>0</v>
      </c>
      <c r="BN154" s="129">
        <v>0</v>
      </c>
      <c r="BO154" s="129">
        <v>0</v>
      </c>
      <c r="BP154" s="129">
        <v>-1123305</v>
      </c>
      <c r="BQ154" s="129">
        <v>0</v>
      </c>
      <c r="BR154" s="129">
        <v>-1123305</v>
      </c>
      <c r="BS154" s="129">
        <v>-1123305</v>
      </c>
      <c r="BT154" s="129">
        <v>0</v>
      </c>
      <c r="BU154" s="129">
        <v>0</v>
      </c>
      <c r="BV154" s="129">
        <v>0</v>
      </c>
      <c r="BW154" s="129">
        <v>-1123305</v>
      </c>
      <c r="BX154" s="129">
        <v>0</v>
      </c>
      <c r="BY154" s="129">
        <v>-1123305</v>
      </c>
      <c r="BZ154" s="129">
        <v>-289960</v>
      </c>
      <c r="CA154" s="129">
        <v>0</v>
      </c>
      <c r="CB154" s="129">
        <v>-289960</v>
      </c>
      <c r="CC154" s="129">
        <v>0</v>
      </c>
      <c r="CD154" s="129">
        <v>0</v>
      </c>
      <c r="CE154" s="129">
        <v>0</v>
      </c>
      <c r="CF154" s="129">
        <v>0</v>
      </c>
      <c r="CG154" s="129">
        <v>0</v>
      </c>
      <c r="CH154" s="129">
        <v>0</v>
      </c>
      <c r="CI154" s="129">
        <v>0</v>
      </c>
      <c r="CJ154" s="129">
        <v>0</v>
      </c>
      <c r="CK154" s="129">
        <v>0</v>
      </c>
      <c r="CL154" s="129">
        <v>0</v>
      </c>
      <c r="CM154" s="129">
        <v>0</v>
      </c>
      <c r="CN154" s="129">
        <v>0</v>
      </c>
      <c r="CO154" s="129">
        <v>-300</v>
      </c>
      <c r="CP154" s="129">
        <v>0</v>
      </c>
      <c r="CQ154" s="129">
        <v>-300</v>
      </c>
      <c r="CR154" s="129">
        <v>0</v>
      </c>
      <c r="CS154" s="129">
        <v>0</v>
      </c>
      <c r="CT154" s="129">
        <v>-290260</v>
      </c>
      <c r="CU154" s="129">
        <v>0</v>
      </c>
      <c r="CV154" s="129">
        <v>0</v>
      </c>
      <c r="CW154" s="129">
        <v>0</v>
      </c>
      <c r="CX154" s="129">
        <v>-290260</v>
      </c>
      <c r="CY154" s="129">
        <v>0</v>
      </c>
      <c r="CZ154" s="129">
        <v>-290260</v>
      </c>
      <c r="DA154" s="129">
        <v>0</v>
      </c>
      <c r="DB154" s="129">
        <v>0</v>
      </c>
      <c r="DC154" s="129">
        <v>0</v>
      </c>
      <c r="DD154" s="129">
        <v>-97225</v>
      </c>
      <c r="DE154" s="129">
        <v>0</v>
      </c>
      <c r="DF154" s="129">
        <v>-97225</v>
      </c>
      <c r="DG154" s="129">
        <v>0</v>
      </c>
      <c r="DH154" s="129">
        <v>0</v>
      </c>
      <c r="DI154" s="129">
        <v>0</v>
      </c>
      <c r="DJ154" s="129">
        <v>-97225</v>
      </c>
      <c r="DK154" s="129">
        <v>0</v>
      </c>
      <c r="DL154" s="129">
        <v>0</v>
      </c>
      <c r="DM154" s="129">
        <v>0</v>
      </c>
      <c r="DN154" s="129">
        <v>-97225</v>
      </c>
      <c r="DO154" s="129">
        <v>0</v>
      </c>
      <c r="DP154" s="129">
        <v>-97225</v>
      </c>
      <c r="DQ154" s="129">
        <v>70167244</v>
      </c>
      <c r="DR154" s="129">
        <v>0</v>
      </c>
      <c r="DS154" s="129">
        <v>70167244</v>
      </c>
      <c r="DT154" s="662" t="s">
        <v>174</v>
      </c>
      <c r="DU154" s="324" t="s">
        <v>576</v>
      </c>
      <c r="DV154" s="669" t="s">
        <v>485</v>
      </c>
      <c r="DW154" s="529" t="s">
        <v>1361</v>
      </c>
    </row>
    <row r="155" spans="1:127" ht="12.75" x14ac:dyDescent="0.2">
      <c r="A155" s="664">
        <v>148</v>
      </c>
      <c r="B155" s="665" t="s">
        <v>177</v>
      </c>
      <c r="C155" s="666" t="s">
        <v>1201</v>
      </c>
      <c r="D155" s="667" t="s">
        <v>1228</v>
      </c>
      <c r="E155" s="668" t="s">
        <v>176</v>
      </c>
      <c r="F155" s="753" t="s">
        <v>1908</v>
      </c>
      <c r="G155" s="129">
        <v>88816805</v>
      </c>
      <c r="H155" s="129">
        <v>0</v>
      </c>
      <c r="I155" s="129">
        <v>88816805</v>
      </c>
      <c r="J155" s="793">
        <v>49.9</v>
      </c>
      <c r="K155" s="129">
        <v>44319586</v>
      </c>
      <c r="L155" s="129">
        <v>0</v>
      </c>
      <c r="M155" s="129">
        <v>315552</v>
      </c>
      <c r="N155" s="129">
        <v>0</v>
      </c>
      <c r="O155" s="129">
        <v>44635138</v>
      </c>
      <c r="P155" s="129">
        <v>0</v>
      </c>
      <c r="Q155" s="129">
        <v>44635138</v>
      </c>
      <c r="R155" s="129">
        <v>-242868</v>
      </c>
      <c r="S155" s="129">
        <v>0</v>
      </c>
      <c r="T155" s="129">
        <v>-242868</v>
      </c>
      <c r="U155" s="129">
        <v>195759</v>
      </c>
      <c r="V155" s="129">
        <v>0</v>
      </c>
      <c r="W155" s="129">
        <v>195759</v>
      </c>
      <c r="X155" s="129">
        <v>-47109</v>
      </c>
      <c r="Y155" s="129">
        <v>0</v>
      </c>
      <c r="Z155" s="129">
        <v>0</v>
      </c>
      <c r="AA155" s="129">
        <v>0</v>
      </c>
      <c r="AB155" s="129">
        <v>-47109</v>
      </c>
      <c r="AC155" s="129">
        <v>0</v>
      </c>
      <c r="AD155" s="129">
        <v>-47109</v>
      </c>
      <c r="AE155" s="129">
        <v>47109</v>
      </c>
      <c r="AF155" s="129">
        <v>0</v>
      </c>
      <c r="AG155" s="129">
        <v>47109</v>
      </c>
      <c r="AH155" s="129">
        <v>-3719857</v>
      </c>
      <c r="AI155" s="129">
        <v>0</v>
      </c>
      <c r="AJ155" s="129">
        <v>-3719857</v>
      </c>
      <c r="AK155" s="129">
        <v>-2171</v>
      </c>
      <c r="AL155" s="129">
        <v>0</v>
      </c>
      <c r="AM155" s="129">
        <v>-2171</v>
      </c>
      <c r="AN155" s="129">
        <v>804805</v>
      </c>
      <c r="AO155" s="129">
        <v>0</v>
      </c>
      <c r="AP155" s="129">
        <v>804805</v>
      </c>
      <c r="AQ155" s="129">
        <v>-2915052</v>
      </c>
      <c r="AR155" s="129">
        <v>0</v>
      </c>
      <c r="AS155" s="129">
        <v>-2915052</v>
      </c>
      <c r="AT155" s="129">
        <v>-2062474</v>
      </c>
      <c r="AU155" s="129">
        <v>0</v>
      </c>
      <c r="AV155" s="129">
        <v>-2062474</v>
      </c>
      <c r="AW155" s="129">
        <v>-56023</v>
      </c>
      <c r="AX155" s="129">
        <v>0</v>
      </c>
      <c r="AY155" s="129">
        <v>-56023</v>
      </c>
      <c r="AZ155" s="129">
        <v>-1868</v>
      </c>
      <c r="BA155" s="129">
        <v>0</v>
      </c>
      <c r="BB155" s="129">
        <v>-1868</v>
      </c>
      <c r="BC155" s="129">
        <v>0</v>
      </c>
      <c r="BD155" s="129">
        <v>0</v>
      </c>
      <c r="BE155" s="129">
        <v>0</v>
      </c>
      <c r="BF155" s="129">
        <v>-5035417</v>
      </c>
      <c r="BG155" s="129">
        <v>0</v>
      </c>
      <c r="BH155" s="129">
        <v>-668583</v>
      </c>
      <c r="BI155" s="129">
        <v>0</v>
      </c>
      <c r="BJ155" s="129">
        <v>-5704000</v>
      </c>
      <c r="BK155" s="129">
        <v>0</v>
      </c>
      <c r="BL155" s="129">
        <v>-5704000</v>
      </c>
      <c r="BM155" s="129">
        <v>0</v>
      </c>
      <c r="BN155" s="129">
        <v>0</v>
      </c>
      <c r="BO155" s="129">
        <v>0</v>
      </c>
      <c r="BP155" s="129">
        <v>-742086</v>
      </c>
      <c r="BQ155" s="129">
        <v>0</v>
      </c>
      <c r="BR155" s="129">
        <v>-742086</v>
      </c>
      <c r="BS155" s="129">
        <v>-742086</v>
      </c>
      <c r="BT155" s="129">
        <v>0</v>
      </c>
      <c r="BU155" s="129">
        <v>-2134394</v>
      </c>
      <c r="BV155" s="129">
        <v>0</v>
      </c>
      <c r="BW155" s="129">
        <v>-2876480</v>
      </c>
      <c r="BX155" s="129">
        <v>0</v>
      </c>
      <c r="BY155" s="129">
        <v>-2876480</v>
      </c>
      <c r="BZ155" s="129">
        <v>-26000</v>
      </c>
      <c r="CA155" s="129">
        <v>0</v>
      </c>
      <c r="CB155" s="129">
        <v>-26000</v>
      </c>
      <c r="CC155" s="129">
        <v>0</v>
      </c>
      <c r="CD155" s="129">
        <v>0</v>
      </c>
      <c r="CE155" s="129">
        <v>0</v>
      </c>
      <c r="CF155" s="129">
        <v>0</v>
      </c>
      <c r="CG155" s="129">
        <v>0</v>
      </c>
      <c r="CH155" s="129">
        <v>0</v>
      </c>
      <c r="CI155" s="129">
        <v>0</v>
      </c>
      <c r="CJ155" s="129">
        <v>0</v>
      </c>
      <c r="CK155" s="129">
        <v>0</v>
      </c>
      <c r="CL155" s="129">
        <v>0</v>
      </c>
      <c r="CM155" s="129">
        <v>0</v>
      </c>
      <c r="CN155" s="129">
        <v>0</v>
      </c>
      <c r="CO155" s="129">
        <v>0</v>
      </c>
      <c r="CP155" s="129">
        <v>0</v>
      </c>
      <c r="CQ155" s="129">
        <v>0</v>
      </c>
      <c r="CR155" s="129">
        <v>0</v>
      </c>
      <c r="CS155" s="129">
        <v>0</v>
      </c>
      <c r="CT155" s="129">
        <v>-26000</v>
      </c>
      <c r="CU155" s="129">
        <v>0</v>
      </c>
      <c r="CV155" s="129">
        <v>-4000</v>
      </c>
      <c r="CW155" s="129">
        <v>0</v>
      </c>
      <c r="CX155" s="129">
        <v>-30000</v>
      </c>
      <c r="CY155" s="129">
        <v>0</v>
      </c>
      <c r="CZ155" s="129">
        <v>-30000</v>
      </c>
      <c r="DA155" s="129">
        <v>-1868</v>
      </c>
      <c r="DB155" s="129">
        <v>0</v>
      </c>
      <c r="DC155" s="129">
        <v>-1868</v>
      </c>
      <c r="DD155" s="129">
        <v>-36946</v>
      </c>
      <c r="DE155" s="129">
        <v>0</v>
      </c>
      <c r="DF155" s="129">
        <v>-36946</v>
      </c>
      <c r="DG155" s="129">
        <v>0</v>
      </c>
      <c r="DH155" s="129">
        <v>0</v>
      </c>
      <c r="DI155" s="129">
        <v>0</v>
      </c>
      <c r="DJ155" s="129">
        <v>-38814</v>
      </c>
      <c r="DK155" s="129">
        <v>0</v>
      </c>
      <c r="DL155" s="129">
        <v>-1186</v>
      </c>
      <c r="DM155" s="129">
        <v>0</v>
      </c>
      <c r="DN155" s="129">
        <v>-40000</v>
      </c>
      <c r="DO155" s="129">
        <v>0</v>
      </c>
      <c r="DP155" s="129">
        <v>-40000</v>
      </c>
      <c r="DQ155" s="129">
        <v>35937549</v>
      </c>
      <c r="DR155" s="129">
        <v>0</v>
      </c>
      <c r="DS155" s="129">
        <v>35937549</v>
      </c>
      <c r="DT155" s="662" t="s">
        <v>176</v>
      </c>
      <c r="DU155" s="324" t="s">
        <v>564</v>
      </c>
      <c r="DV155" s="663" t="s">
        <v>1917</v>
      </c>
      <c r="DW155" s="529" t="s">
        <v>1362</v>
      </c>
    </row>
    <row r="156" spans="1:127" ht="12.75" x14ac:dyDescent="0.2">
      <c r="A156" s="664">
        <v>149</v>
      </c>
      <c r="B156" s="665" t="s">
        <v>179</v>
      </c>
      <c r="C156" s="666" t="s">
        <v>1201</v>
      </c>
      <c r="D156" s="667" t="s">
        <v>1206</v>
      </c>
      <c r="E156" s="668" t="s">
        <v>178</v>
      </c>
      <c r="F156" s="753" t="s">
        <v>1875</v>
      </c>
      <c r="G156" s="129">
        <v>112475309</v>
      </c>
      <c r="H156" s="129">
        <v>0</v>
      </c>
      <c r="I156" s="129">
        <v>112475309</v>
      </c>
      <c r="J156" s="793">
        <v>49.9</v>
      </c>
      <c r="K156" s="129">
        <v>56125179</v>
      </c>
      <c r="L156" s="129">
        <v>0</v>
      </c>
      <c r="M156" s="129">
        <v>-500000</v>
      </c>
      <c r="N156" s="129">
        <v>0</v>
      </c>
      <c r="O156" s="129">
        <v>55625179</v>
      </c>
      <c r="P156" s="129">
        <v>0</v>
      </c>
      <c r="Q156" s="129">
        <v>55625179</v>
      </c>
      <c r="R156" s="129">
        <v>-40708</v>
      </c>
      <c r="S156" s="129">
        <v>0</v>
      </c>
      <c r="T156" s="129">
        <v>-40708</v>
      </c>
      <c r="U156" s="129">
        <v>61751</v>
      </c>
      <c r="V156" s="129">
        <v>0</v>
      </c>
      <c r="W156" s="129">
        <v>61751</v>
      </c>
      <c r="X156" s="129">
        <v>21043</v>
      </c>
      <c r="Y156" s="129">
        <v>0</v>
      </c>
      <c r="Z156" s="129">
        <v>0</v>
      </c>
      <c r="AA156" s="129">
        <v>0</v>
      </c>
      <c r="AB156" s="129">
        <v>21043</v>
      </c>
      <c r="AC156" s="129">
        <v>0</v>
      </c>
      <c r="AD156" s="129">
        <v>21043</v>
      </c>
      <c r="AE156" s="129">
        <v>-21043</v>
      </c>
      <c r="AF156" s="129">
        <v>0</v>
      </c>
      <c r="AG156" s="129">
        <v>-21043</v>
      </c>
      <c r="AH156" s="129">
        <v>-3599357</v>
      </c>
      <c r="AI156" s="129">
        <v>0</v>
      </c>
      <c r="AJ156" s="129">
        <v>-3599357</v>
      </c>
      <c r="AK156" s="129">
        <v>-28258</v>
      </c>
      <c r="AL156" s="129">
        <v>0</v>
      </c>
      <c r="AM156" s="129">
        <v>-28258</v>
      </c>
      <c r="AN156" s="129">
        <v>1097454</v>
      </c>
      <c r="AO156" s="129">
        <v>0</v>
      </c>
      <c r="AP156" s="129">
        <v>1097454</v>
      </c>
      <c r="AQ156" s="129">
        <v>-2501903</v>
      </c>
      <c r="AR156" s="129">
        <v>0</v>
      </c>
      <c r="AS156" s="129">
        <v>-2501903</v>
      </c>
      <c r="AT156" s="129">
        <v>-5345631</v>
      </c>
      <c r="AU156" s="129">
        <v>0</v>
      </c>
      <c r="AV156" s="129">
        <v>-5345631</v>
      </c>
      <c r="AW156" s="129">
        <v>-79931</v>
      </c>
      <c r="AX156" s="129">
        <v>0</v>
      </c>
      <c r="AY156" s="129">
        <v>-79931</v>
      </c>
      <c r="AZ156" s="129">
        <v>0</v>
      </c>
      <c r="BA156" s="129">
        <v>0</v>
      </c>
      <c r="BB156" s="129">
        <v>0</v>
      </c>
      <c r="BC156" s="129">
        <v>0</v>
      </c>
      <c r="BD156" s="129">
        <v>0</v>
      </c>
      <c r="BE156" s="129">
        <v>0</v>
      </c>
      <c r="BF156" s="129">
        <v>-7927465</v>
      </c>
      <c r="BG156" s="129">
        <v>0</v>
      </c>
      <c r="BH156" s="129">
        <v>0</v>
      </c>
      <c r="BI156" s="129">
        <v>0</v>
      </c>
      <c r="BJ156" s="129">
        <v>-7927465</v>
      </c>
      <c r="BK156" s="129">
        <v>0</v>
      </c>
      <c r="BL156" s="129">
        <v>-7927465</v>
      </c>
      <c r="BM156" s="129">
        <v>0</v>
      </c>
      <c r="BN156" s="129">
        <v>0</v>
      </c>
      <c r="BO156" s="129">
        <v>0</v>
      </c>
      <c r="BP156" s="129">
        <v>-1403942</v>
      </c>
      <c r="BQ156" s="129">
        <v>0</v>
      </c>
      <c r="BR156" s="129">
        <v>-1403942</v>
      </c>
      <c r="BS156" s="129">
        <v>-1403942</v>
      </c>
      <c r="BT156" s="129">
        <v>0</v>
      </c>
      <c r="BU156" s="129">
        <v>-596058</v>
      </c>
      <c r="BV156" s="129">
        <v>0</v>
      </c>
      <c r="BW156" s="129">
        <v>-2000000</v>
      </c>
      <c r="BX156" s="129">
        <v>0</v>
      </c>
      <c r="BY156" s="129">
        <v>-2000000</v>
      </c>
      <c r="BZ156" s="129">
        <v>-26159</v>
      </c>
      <c r="CA156" s="129">
        <v>0</v>
      </c>
      <c r="CB156" s="129">
        <v>-26159</v>
      </c>
      <c r="CC156" s="129">
        <v>-6213</v>
      </c>
      <c r="CD156" s="129">
        <v>0</v>
      </c>
      <c r="CE156" s="129">
        <v>-6213</v>
      </c>
      <c r="CF156" s="129">
        <v>-4595</v>
      </c>
      <c r="CG156" s="129">
        <v>0</v>
      </c>
      <c r="CH156" s="129">
        <v>-4595</v>
      </c>
      <c r="CI156" s="129">
        <v>0</v>
      </c>
      <c r="CJ156" s="129">
        <v>0</v>
      </c>
      <c r="CK156" s="129">
        <v>0</v>
      </c>
      <c r="CL156" s="129">
        <v>0</v>
      </c>
      <c r="CM156" s="129">
        <v>0</v>
      </c>
      <c r="CN156" s="129">
        <v>0</v>
      </c>
      <c r="CO156" s="129">
        <v>-150000</v>
      </c>
      <c r="CP156" s="129">
        <v>0</v>
      </c>
      <c r="CQ156" s="129">
        <v>-150000</v>
      </c>
      <c r="CR156" s="129">
        <v>0</v>
      </c>
      <c r="CS156" s="129">
        <v>0</v>
      </c>
      <c r="CT156" s="129">
        <v>-186967</v>
      </c>
      <c r="CU156" s="129">
        <v>0</v>
      </c>
      <c r="CV156" s="129">
        <v>-200000</v>
      </c>
      <c r="CW156" s="129">
        <v>0</v>
      </c>
      <c r="CX156" s="129">
        <v>-386967</v>
      </c>
      <c r="CY156" s="129">
        <v>0</v>
      </c>
      <c r="CZ156" s="129">
        <v>-386967</v>
      </c>
      <c r="DA156" s="129">
        <v>0</v>
      </c>
      <c r="DB156" s="129">
        <v>0</v>
      </c>
      <c r="DC156" s="129">
        <v>0</v>
      </c>
      <c r="DD156" s="129">
        <v>-5404</v>
      </c>
      <c r="DE156" s="129">
        <v>0</v>
      </c>
      <c r="DF156" s="129">
        <v>-5404</v>
      </c>
      <c r="DG156" s="129">
        <v>-1500</v>
      </c>
      <c r="DH156" s="129">
        <v>0</v>
      </c>
      <c r="DI156" s="129">
        <v>-1500</v>
      </c>
      <c r="DJ156" s="129">
        <v>-6904</v>
      </c>
      <c r="DK156" s="129">
        <v>0</v>
      </c>
      <c r="DL156" s="129">
        <v>0</v>
      </c>
      <c r="DM156" s="129">
        <v>0</v>
      </c>
      <c r="DN156" s="129">
        <v>-6904</v>
      </c>
      <c r="DO156" s="129">
        <v>0</v>
      </c>
      <c r="DP156" s="129">
        <v>-6904</v>
      </c>
      <c r="DQ156" s="129">
        <v>45324886</v>
      </c>
      <c r="DR156" s="129">
        <v>0</v>
      </c>
      <c r="DS156" s="129">
        <v>45324886</v>
      </c>
      <c r="DT156" s="662" t="s">
        <v>178</v>
      </c>
      <c r="DU156" s="324" t="s">
        <v>552</v>
      </c>
      <c r="DV156" s="663" t="s">
        <v>512</v>
      </c>
      <c r="DW156" s="529" t="s">
        <v>1363</v>
      </c>
    </row>
    <row r="157" spans="1:127" ht="12.75" x14ac:dyDescent="0.2">
      <c r="A157" s="664">
        <v>150</v>
      </c>
      <c r="B157" s="665" t="s">
        <v>181</v>
      </c>
      <c r="C157" s="666" t="s">
        <v>1217</v>
      </c>
      <c r="D157" s="667" t="s">
        <v>1204</v>
      </c>
      <c r="E157" s="668" t="s">
        <v>180</v>
      </c>
      <c r="F157" s="753" t="s">
        <v>1879</v>
      </c>
      <c r="G157" s="129">
        <v>469386602</v>
      </c>
      <c r="H157" s="129">
        <v>71236876</v>
      </c>
      <c r="I157" s="129">
        <v>540623478</v>
      </c>
      <c r="J157" s="793">
        <v>49.9</v>
      </c>
      <c r="K157" s="129">
        <v>234223914</v>
      </c>
      <c r="L157" s="129">
        <v>35547201</v>
      </c>
      <c r="M157" s="129">
        <v>958510</v>
      </c>
      <c r="N157" s="129">
        <v>361490</v>
      </c>
      <c r="O157" s="129">
        <v>235182424</v>
      </c>
      <c r="P157" s="129">
        <v>35908691</v>
      </c>
      <c r="Q157" s="129">
        <v>271091115</v>
      </c>
      <c r="R157" s="129">
        <v>-914485</v>
      </c>
      <c r="S157" s="129">
        <v>-21930</v>
      </c>
      <c r="T157" s="129">
        <v>-936415</v>
      </c>
      <c r="U157" s="129">
        <v>1093198</v>
      </c>
      <c r="V157" s="129">
        <v>292533</v>
      </c>
      <c r="W157" s="129">
        <v>1385731</v>
      </c>
      <c r="X157" s="129">
        <v>178713</v>
      </c>
      <c r="Y157" s="129">
        <v>270603</v>
      </c>
      <c r="Z157" s="129">
        <v>0</v>
      </c>
      <c r="AA157" s="129">
        <v>0</v>
      </c>
      <c r="AB157" s="129">
        <v>178713</v>
      </c>
      <c r="AC157" s="129">
        <v>270603</v>
      </c>
      <c r="AD157" s="129">
        <v>449316</v>
      </c>
      <c r="AE157" s="129">
        <v>-178713</v>
      </c>
      <c r="AF157" s="129">
        <v>-270603</v>
      </c>
      <c r="AG157" s="129">
        <v>-449316</v>
      </c>
      <c r="AH157" s="129">
        <v>-16542605</v>
      </c>
      <c r="AI157" s="129">
        <v>-1253239</v>
      </c>
      <c r="AJ157" s="129">
        <v>-17795844</v>
      </c>
      <c r="AK157" s="129">
        <v>-47468</v>
      </c>
      <c r="AL157" s="129">
        <v>-12532</v>
      </c>
      <c r="AM157" s="129">
        <v>-60000</v>
      </c>
      <c r="AN157" s="129">
        <v>4653924</v>
      </c>
      <c r="AO157" s="129">
        <v>721167</v>
      </c>
      <c r="AP157" s="129">
        <v>5375091</v>
      </c>
      <c r="AQ157" s="129">
        <v>-11888681</v>
      </c>
      <c r="AR157" s="129">
        <v>-532072</v>
      </c>
      <c r="AS157" s="129">
        <v>-12420753</v>
      </c>
      <c r="AT157" s="129">
        <v>-20120831</v>
      </c>
      <c r="AU157" s="129">
        <v>-1219575</v>
      </c>
      <c r="AV157" s="129">
        <v>-21340406</v>
      </c>
      <c r="AW157" s="129">
        <v>-4977</v>
      </c>
      <c r="AX157" s="129">
        <v>0</v>
      </c>
      <c r="AY157" s="129">
        <v>-4977</v>
      </c>
      <c r="AZ157" s="129">
        <v>0</v>
      </c>
      <c r="BA157" s="129">
        <v>0</v>
      </c>
      <c r="BB157" s="129">
        <v>0</v>
      </c>
      <c r="BC157" s="129">
        <v>0</v>
      </c>
      <c r="BD157" s="129">
        <v>0</v>
      </c>
      <c r="BE157" s="129">
        <v>0</v>
      </c>
      <c r="BF157" s="129">
        <v>-32014489</v>
      </c>
      <c r="BG157" s="129">
        <v>-1751647</v>
      </c>
      <c r="BH157" s="129">
        <v>-662125</v>
      </c>
      <c r="BI157" s="129">
        <v>-37875</v>
      </c>
      <c r="BJ157" s="129">
        <v>-32676614</v>
      </c>
      <c r="BK157" s="129">
        <v>-1789522</v>
      </c>
      <c r="BL157" s="129">
        <v>-34466136</v>
      </c>
      <c r="BM157" s="129">
        <v>0</v>
      </c>
      <c r="BN157" s="129">
        <v>0</v>
      </c>
      <c r="BO157" s="129">
        <v>0</v>
      </c>
      <c r="BP157" s="129">
        <v>-6565117</v>
      </c>
      <c r="BQ157" s="129">
        <v>-5481607</v>
      </c>
      <c r="BR157" s="129">
        <v>-12046724</v>
      </c>
      <c r="BS157" s="129">
        <v>-6565117</v>
      </c>
      <c r="BT157" s="129">
        <v>-5481607</v>
      </c>
      <c r="BU157" s="129">
        <v>-2500000</v>
      </c>
      <c r="BV157" s="129">
        <v>-500000</v>
      </c>
      <c r="BW157" s="129">
        <v>-9065117</v>
      </c>
      <c r="BX157" s="129">
        <v>-5981607</v>
      </c>
      <c r="BY157" s="129">
        <v>-15046724</v>
      </c>
      <c r="BZ157" s="129">
        <v>-248</v>
      </c>
      <c r="CA157" s="129">
        <v>-543</v>
      </c>
      <c r="CB157" s="129">
        <v>-791</v>
      </c>
      <c r="CC157" s="129">
        <v>-213</v>
      </c>
      <c r="CD157" s="129">
        <v>0</v>
      </c>
      <c r="CE157" s="129">
        <v>-213</v>
      </c>
      <c r="CF157" s="129">
        <v>0</v>
      </c>
      <c r="CG157" s="129">
        <v>0</v>
      </c>
      <c r="CH157" s="129">
        <v>0</v>
      </c>
      <c r="CI157" s="129">
        <v>0</v>
      </c>
      <c r="CJ157" s="129">
        <v>0</v>
      </c>
      <c r="CK157" s="129">
        <v>0</v>
      </c>
      <c r="CL157" s="129">
        <v>0</v>
      </c>
      <c r="CM157" s="129">
        <v>0</v>
      </c>
      <c r="CN157" s="129">
        <v>0</v>
      </c>
      <c r="CO157" s="129">
        <v>0</v>
      </c>
      <c r="CP157" s="129">
        <v>-58976</v>
      </c>
      <c r="CQ157" s="129">
        <v>-58976</v>
      </c>
      <c r="CR157" s="129">
        <v>-58976</v>
      </c>
      <c r="CS157" s="129">
        <v>0</v>
      </c>
      <c r="CT157" s="129">
        <v>-461</v>
      </c>
      <c r="CU157" s="129">
        <v>-59519</v>
      </c>
      <c r="CV157" s="129">
        <v>-100000</v>
      </c>
      <c r="CW157" s="129">
        <v>0</v>
      </c>
      <c r="CX157" s="129">
        <v>-100461</v>
      </c>
      <c r="CY157" s="129">
        <v>-59519</v>
      </c>
      <c r="CZ157" s="129">
        <v>-159980</v>
      </c>
      <c r="DA157" s="129">
        <v>0</v>
      </c>
      <c r="DB157" s="129">
        <v>0</v>
      </c>
      <c r="DC157" s="129">
        <v>0</v>
      </c>
      <c r="DD157" s="129">
        <v>-82029</v>
      </c>
      <c r="DE157" s="129">
        <v>-8451</v>
      </c>
      <c r="DF157" s="129">
        <v>-90480</v>
      </c>
      <c r="DG157" s="129">
        <v>0</v>
      </c>
      <c r="DH157" s="129">
        <v>0</v>
      </c>
      <c r="DI157" s="129">
        <v>0</v>
      </c>
      <c r="DJ157" s="129">
        <v>-82029</v>
      </c>
      <c r="DK157" s="129">
        <v>-8451</v>
      </c>
      <c r="DL157" s="129">
        <v>0</v>
      </c>
      <c r="DM157" s="129">
        <v>0</v>
      </c>
      <c r="DN157" s="129">
        <v>-82029</v>
      </c>
      <c r="DO157" s="129">
        <v>-8451</v>
      </c>
      <c r="DP157" s="129">
        <v>-90480</v>
      </c>
      <c r="DQ157" s="129">
        <v>193436916</v>
      </c>
      <c r="DR157" s="129">
        <v>28340195</v>
      </c>
      <c r="DS157" s="129">
        <v>221777111</v>
      </c>
      <c r="DT157" s="662" t="s">
        <v>180</v>
      </c>
      <c r="DU157" s="324" t="s">
        <v>570</v>
      </c>
      <c r="DV157" s="663" t="s">
        <v>571</v>
      </c>
      <c r="DW157" s="529" t="s">
        <v>1364</v>
      </c>
    </row>
    <row r="158" spans="1:127" ht="12.75" x14ac:dyDescent="0.2">
      <c r="A158" s="664">
        <v>151</v>
      </c>
      <c r="B158" s="665" t="s">
        <v>183</v>
      </c>
      <c r="C158" s="666" t="s">
        <v>486</v>
      </c>
      <c r="D158" s="667" t="s">
        <v>1211</v>
      </c>
      <c r="E158" s="668" t="s">
        <v>491</v>
      </c>
      <c r="F158" s="753" t="s">
        <v>1890</v>
      </c>
      <c r="G158" s="129">
        <v>162376739</v>
      </c>
      <c r="H158" s="129">
        <v>9217630</v>
      </c>
      <c r="I158" s="129">
        <v>171594369</v>
      </c>
      <c r="J158" s="793">
        <v>49.9</v>
      </c>
      <c r="K158" s="129">
        <v>81025993</v>
      </c>
      <c r="L158" s="129">
        <v>4599597</v>
      </c>
      <c r="M158" s="129">
        <v>0</v>
      </c>
      <c r="N158" s="129">
        <v>0</v>
      </c>
      <c r="O158" s="129">
        <v>81025993</v>
      </c>
      <c r="P158" s="129">
        <v>4599597</v>
      </c>
      <c r="Q158" s="129">
        <v>85625590</v>
      </c>
      <c r="R158" s="129">
        <v>-352241</v>
      </c>
      <c r="S158" s="129">
        <v>-17175</v>
      </c>
      <c r="T158" s="129">
        <v>-369416</v>
      </c>
      <c r="U158" s="129">
        <v>549618</v>
      </c>
      <c r="V158" s="129">
        <v>1233</v>
      </c>
      <c r="W158" s="129">
        <v>550851</v>
      </c>
      <c r="X158" s="129">
        <v>197377</v>
      </c>
      <c r="Y158" s="129">
        <v>-15942</v>
      </c>
      <c r="Z158" s="129">
        <v>0</v>
      </c>
      <c r="AA158" s="129">
        <v>0</v>
      </c>
      <c r="AB158" s="129">
        <v>197377</v>
      </c>
      <c r="AC158" s="129">
        <v>-15942</v>
      </c>
      <c r="AD158" s="129">
        <v>181435</v>
      </c>
      <c r="AE158" s="129">
        <v>-197377</v>
      </c>
      <c r="AF158" s="129">
        <v>15942</v>
      </c>
      <c r="AG158" s="129">
        <v>-181435</v>
      </c>
      <c r="AH158" s="129">
        <v>-6266635</v>
      </c>
      <c r="AI158" s="129">
        <v>-21657</v>
      </c>
      <c r="AJ158" s="129">
        <v>-6288292</v>
      </c>
      <c r="AK158" s="129">
        <v>0</v>
      </c>
      <c r="AL158" s="129">
        <v>0</v>
      </c>
      <c r="AM158" s="129">
        <v>0</v>
      </c>
      <c r="AN158" s="129">
        <v>1532989</v>
      </c>
      <c r="AO158" s="129">
        <v>107712</v>
      </c>
      <c r="AP158" s="129">
        <v>1640701</v>
      </c>
      <c r="AQ158" s="129">
        <v>-4733646</v>
      </c>
      <c r="AR158" s="129">
        <v>86055</v>
      </c>
      <c r="AS158" s="129">
        <v>-4647591</v>
      </c>
      <c r="AT158" s="129">
        <v>-5733401</v>
      </c>
      <c r="AU158" s="129">
        <v>0</v>
      </c>
      <c r="AV158" s="129">
        <v>-5733401</v>
      </c>
      <c r="AW158" s="129">
        <v>-57610</v>
      </c>
      <c r="AX158" s="129">
        <v>0</v>
      </c>
      <c r="AY158" s="129">
        <v>-57610</v>
      </c>
      <c r="AZ158" s="129">
        <v>0</v>
      </c>
      <c r="BA158" s="129">
        <v>0</v>
      </c>
      <c r="BB158" s="129">
        <v>0</v>
      </c>
      <c r="BC158" s="129">
        <v>0</v>
      </c>
      <c r="BD158" s="129">
        <v>0</v>
      </c>
      <c r="BE158" s="129">
        <v>0</v>
      </c>
      <c r="BF158" s="129">
        <v>-10524657</v>
      </c>
      <c r="BG158" s="129">
        <v>86055</v>
      </c>
      <c r="BH158" s="129">
        <v>0</v>
      </c>
      <c r="BI158" s="129">
        <v>0</v>
      </c>
      <c r="BJ158" s="129">
        <v>-10524657</v>
      </c>
      <c r="BK158" s="129">
        <v>86055</v>
      </c>
      <c r="BL158" s="129">
        <v>-10438602</v>
      </c>
      <c r="BM158" s="129">
        <v>0</v>
      </c>
      <c r="BN158" s="129">
        <v>0</v>
      </c>
      <c r="BO158" s="129">
        <v>0</v>
      </c>
      <c r="BP158" s="129">
        <v>-1656125</v>
      </c>
      <c r="BQ158" s="129">
        <v>-120882</v>
      </c>
      <c r="BR158" s="129">
        <v>-1777007</v>
      </c>
      <c r="BS158" s="129">
        <v>-1656125</v>
      </c>
      <c r="BT158" s="129">
        <v>-120882</v>
      </c>
      <c r="BU158" s="129">
        <v>-109951</v>
      </c>
      <c r="BV158" s="129">
        <v>0</v>
      </c>
      <c r="BW158" s="129">
        <v>-1766076</v>
      </c>
      <c r="BX158" s="129">
        <v>-120882</v>
      </c>
      <c r="BY158" s="129">
        <v>-1886958</v>
      </c>
      <c r="BZ158" s="129">
        <v>-60000</v>
      </c>
      <c r="CA158" s="129">
        <v>0</v>
      </c>
      <c r="CB158" s="129">
        <v>-60000</v>
      </c>
      <c r="CC158" s="129">
        <v>-45500</v>
      </c>
      <c r="CD158" s="129">
        <v>0</v>
      </c>
      <c r="CE158" s="129">
        <v>-45500</v>
      </c>
      <c r="CF158" s="129">
        <v>0</v>
      </c>
      <c r="CG158" s="129">
        <v>0</v>
      </c>
      <c r="CH158" s="129">
        <v>0</v>
      </c>
      <c r="CI158" s="129">
        <v>0</v>
      </c>
      <c r="CJ158" s="129">
        <v>0</v>
      </c>
      <c r="CK158" s="129">
        <v>0</v>
      </c>
      <c r="CL158" s="129">
        <v>0</v>
      </c>
      <c r="CM158" s="129">
        <v>0</v>
      </c>
      <c r="CN158" s="129">
        <v>0</v>
      </c>
      <c r="CO158" s="129">
        <v>0</v>
      </c>
      <c r="CP158" s="129">
        <v>0</v>
      </c>
      <c r="CQ158" s="129">
        <v>0</v>
      </c>
      <c r="CR158" s="129">
        <v>0</v>
      </c>
      <c r="CS158" s="129">
        <v>0</v>
      </c>
      <c r="CT158" s="129">
        <v>-105500</v>
      </c>
      <c r="CU158" s="129">
        <v>0</v>
      </c>
      <c r="CV158" s="129">
        <v>0</v>
      </c>
      <c r="CW158" s="129">
        <v>0</v>
      </c>
      <c r="CX158" s="129">
        <v>-105500</v>
      </c>
      <c r="CY158" s="129">
        <v>0</v>
      </c>
      <c r="CZ158" s="129">
        <v>-105500</v>
      </c>
      <c r="DA158" s="129">
        <v>0</v>
      </c>
      <c r="DB158" s="129">
        <v>0</v>
      </c>
      <c r="DC158" s="129">
        <v>0</v>
      </c>
      <c r="DD158" s="129">
        <v>-25397</v>
      </c>
      <c r="DE158" s="129">
        <v>0</v>
      </c>
      <c r="DF158" s="129">
        <v>-25397</v>
      </c>
      <c r="DG158" s="129">
        <v>0</v>
      </c>
      <c r="DH158" s="129">
        <v>0</v>
      </c>
      <c r="DI158" s="129">
        <v>0</v>
      </c>
      <c r="DJ158" s="129">
        <v>-25397</v>
      </c>
      <c r="DK158" s="129">
        <v>0</v>
      </c>
      <c r="DL158" s="129">
        <v>0</v>
      </c>
      <c r="DM158" s="129">
        <v>0</v>
      </c>
      <c r="DN158" s="129">
        <v>-25397</v>
      </c>
      <c r="DO158" s="129">
        <v>0</v>
      </c>
      <c r="DP158" s="129">
        <v>-25397</v>
      </c>
      <c r="DQ158" s="129">
        <v>68801740</v>
      </c>
      <c r="DR158" s="129">
        <v>4548828</v>
      </c>
      <c r="DS158" s="129">
        <v>73350568</v>
      </c>
      <c r="DT158" s="662" t="s">
        <v>491</v>
      </c>
      <c r="DU158" s="324" t="s">
        <v>486</v>
      </c>
      <c r="DV158" s="663" t="s">
        <v>492</v>
      </c>
      <c r="DW158" s="529" t="s">
        <v>1365</v>
      </c>
    </row>
    <row r="159" spans="1:127" ht="12.75" x14ac:dyDescent="0.2">
      <c r="A159" s="664">
        <v>152</v>
      </c>
      <c r="B159" s="665" t="s">
        <v>185</v>
      </c>
      <c r="C159" s="666" t="s">
        <v>1201</v>
      </c>
      <c r="D159" s="667" t="s">
        <v>1202</v>
      </c>
      <c r="E159" s="668" t="s">
        <v>184</v>
      </c>
      <c r="F159" s="753" t="s">
        <v>1890</v>
      </c>
      <c r="G159" s="129">
        <v>148546460</v>
      </c>
      <c r="H159" s="129">
        <v>325000</v>
      </c>
      <c r="I159" s="129">
        <v>148871460</v>
      </c>
      <c r="J159" s="793">
        <v>49.9</v>
      </c>
      <c r="K159" s="129">
        <v>74124684</v>
      </c>
      <c r="L159" s="129">
        <v>162175</v>
      </c>
      <c r="M159" s="129">
        <v>0</v>
      </c>
      <c r="N159" s="129">
        <v>0</v>
      </c>
      <c r="O159" s="129">
        <v>74124684</v>
      </c>
      <c r="P159" s="129">
        <v>162175</v>
      </c>
      <c r="Q159" s="129">
        <v>74286859</v>
      </c>
      <c r="R159" s="129">
        <v>-119817</v>
      </c>
      <c r="S159" s="129">
        <v>0</v>
      </c>
      <c r="T159" s="129">
        <v>-119817</v>
      </c>
      <c r="U159" s="129">
        <v>685845</v>
      </c>
      <c r="V159" s="129">
        <v>0</v>
      </c>
      <c r="W159" s="129">
        <v>685845</v>
      </c>
      <c r="X159" s="129">
        <v>566028</v>
      </c>
      <c r="Y159" s="129">
        <v>0</v>
      </c>
      <c r="Z159" s="129">
        <v>0</v>
      </c>
      <c r="AA159" s="129">
        <v>0</v>
      </c>
      <c r="AB159" s="129">
        <v>566028</v>
      </c>
      <c r="AC159" s="129">
        <v>0</v>
      </c>
      <c r="AD159" s="129">
        <v>566028</v>
      </c>
      <c r="AE159" s="129">
        <v>-566028</v>
      </c>
      <c r="AF159" s="129">
        <v>0</v>
      </c>
      <c r="AG159" s="129">
        <v>-566028</v>
      </c>
      <c r="AH159" s="129">
        <v>-5032939</v>
      </c>
      <c r="AI159" s="129">
        <v>0</v>
      </c>
      <c r="AJ159" s="129">
        <v>-5032939</v>
      </c>
      <c r="AK159" s="129">
        <v>-4591</v>
      </c>
      <c r="AL159" s="129">
        <v>0</v>
      </c>
      <c r="AM159" s="129">
        <v>-4591</v>
      </c>
      <c r="AN159" s="129">
        <v>1360417</v>
      </c>
      <c r="AO159" s="129">
        <v>0</v>
      </c>
      <c r="AP159" s="129">
        <v>1360417</v>
      </c>
      <c r="AQ159" s="129">
        <v>-3672522</v>
      </c>
      <c r="AR159" s="129">
        <v>0</v>
      </c>
      <c r="AS159" s="129">
        <v>-3672522</v>
      </c>
      <c r="AT159" s="129">
        <v>-4961042</v>
      </c>
      <c r="AU159" s="129">
        <v>0</v>
      </c>
      <c r="AV159" s="129">
        <v>-4961042</v>
      </c>
      <c r="AW159" s="129">
        <v>-125518</v>
      </c>
      <c r="AX159" s="129">
        <v>0</v>
      </c>
      <c r="AY159" s="129">
        <v>-125518</v>
      </c>
      <c r="AZ159" s="129">
        <v>-2240</v>
      </c>
      <c r="BA159" s="129">
        <v>0</v>
      </c>
      <c r="BB159" s="129">
        <v>-2240</v>
      </c>
      <c r="BC159" s="129">
        <v>0</v>
      </c>
      <c r="BD159" s="129">
        <v>0</v>
      </c>
      <c r="BE159" s="129">
        <v>0</v>
      </c>
      <c r="BF159" s="129">
        <v>-8761322</v>
      </c>
      <c r="BG159" s="129">
        <v>0</v>
      </c>
      <c r="BH159" s="129">
        <v>0</v>
      </c>
      <c r="BI159" s="129">
        <v>0</v>
      </c>
      <c r="BJ159" s="129">
        <v>-8761322</v>
      </c>
      <c r="BK159" s="129">
        <v>0</v>
      </c>
      <c r="BL159" s="129">
        <v>-8761322</v>
      </c>
      <c r="BM159" s="129">
        <v>0</v>
      </c>
      <c r="BN159" s="129">
        <v>0</v>
      </c>
      <c r="BO159" s="129">
        <v>0</v>
      </c>
      <c r="BP159" s="129">
        <v>-1809222</v>
      </c>
      <c r="BQ159" s="129">
        <v>0</v>
      </c>
      <c r="BR159" s="129">
        <v>-1809222</v>
      </c>
      <c r="BS159" s="129">
        <v>-1809222</v>
      </c>
      <c r="BT159" s="129">
        <v>0</v>
      </c>
      <c r="BU159" s="129">
        <v>0</v>
      </c>
      <c r="BV159" s="129">
        <v>0</v>
      </c>
      <c r="BW159" s="129">
        <v>-1809222</v>
      </c>
      <c r="BX159" s="129">
        <v>0</v>
      </c>
      <c r="BY159" s="129">
        <v>-1809222</v>
      </c>
      <c r="BZ159" s="129">
        <v>-146288</v>
      </c>
      <c r="CA159" s="129">
        <v>0</v>
      </c>
      <c r="CB159" s="129">
        <v>-146288</v>
      </c>
      <c r="CC159" s="129">
        <v>-9699</v>
      </c>
      <c r="CD159" s="129">
        <v>0</v>
      </c>
      <c r="CE159" s="129">
        <v>-9699</v>
      </c>
      <c r="CF159" s="129">
        <v>-8038</v>
      </c>
      <c r="CG159" s="129">
        <v>0</v>
      </c>
      <c r="CH159" s="129">
        <v>-8038</v>
      </c>
      <c r="CI159" s="129">
        <v>0</v>
      </c>
      <c r="CJ159" s="129">
        <v>0</v>
      </c>
      <c r="CK159" s="129">
        <v>0</v>
      </c>
      <c r="CL159" s="129">
        <v>0</v>
      </c>
      <c r="CM159" s="129">
        <v>0</v>
      </c>
      <c r="CN159" s="129">
        <v>0</v>
      </c>
      <c r="CO159" s="129">
        <v>0</v>
      </c>
      <c r="CP159" s="129">
        <v>-55000</v>
      </c>
      <c r="CQ159" s="129">
        <v>-55000</v>
      </c>
      <c r="CR159" s="129">
        <v>-55000</v>
      </c>
      <c r="CS159" s="129">
        <v>0</v>
      </c>
      <c r="CT159" s="129">
        <v>-164025</v>
      </c>
      <c r="CU159" s="129">
        <v>-55000</v>
      </c>
      <c r="CV159" s="129">
        <v>0</v>
      </c>
      <c r="CW159" s="129">
        <v>0</v>
      </c>
      <c r="CX159" s="129">
        <v>-164025</v>
      </c>
      <c r="CY159" s="129">
        <v>-55000</v>
      </c>
      <c r="CZ159" s="129">
        <v>-219025</v>
      </c>
      <c r="DA159" s="129">
        <v>-2240</v>
      </c>
      <c r="DB159" s="129">
        <v>0</v>
      </c>
      <c r="DC159" s="129">
        <v>-2240</v>
      </c>
      <c r="DD159" s="129">
        <v>-13451</v>
      </c>
      <c r="DE159" s="129">
        <v>0</v>
      </c>
      <c r="DF159" s="129">
        <v>-13451</v>
      </c>
      <c r="DG159" s="129">
        <v>-1500</v>
      </c>
      <c r="DH159" s="129">
        <v>0</v>
      </c>
      <c r="DI159" s="129">
        <v>-1500</v>
      </c>
      <c r="DJ159" s="129">
        <v>-17191</v>
      </c>
      <c r="DK159" s="129">
        <v>0</v>
      </c>
      <c r="DL159" s="129">
        <v>0</v>
      </c>
      <c r="DM159" s="129">
        <v>0</v>
      </c>
      <c r="DN159" s="129">
        <v>-17191</v>
      </c>
      <c r="DO159" s="129">
        <v>0</v>
      </c>
      <c r="DP159" s="129">
        <v>-17191</v>
      </c>
      <c r="DQ159" s="129">
        <v>63938952</v>
      </c>
      <c r="DR159" s="129">
        <v>107175</v>
      </c>
      <c r="DS159" s="129">
        <v>64046127</v>
      </c>
      <c r="DT159" s="662" t="s">
        <v>184</v>
      </c>
      <c r="DU159" s="324" t="s">
        <v>543</v>
      </c>
      <c r="DV159" s="663" t="s">
        <v>542</v>
      </c>
      <c r="DW159" s="529" t="s">
        <v>1366</v>
      </c>
    </row>
    <row r="160" spans="1:127" ht="12.75" x14ac:dyDescent="0.2">
      <c r="A160" s="664">
        <v>153</v>
      </c>
      <c r="B160" s="665" t="s">
        <v>187</v>
      </c>
      <c r="C160" s="666" t="s">
        <v>1201</v>
      </c>
      <c r="D160" s="667" t="s">
        <v>1211</v>
      </c>
      <c r="E160" s="668" t="s">
        <v>186</v>
      </c>
      <c r="F160" s="753" t="s">
        <v>1909</v>
      </c>
      <c r="G160" s="129">
        <v>41112777</v>
      </c>
      <c r="H160" s="129">
        <v>0</v>
      </c>
      <c r="I160" s="129">
        <v>41112777</v>
      </c>
      <c r="J160" s="793">
        <v>49.9</v>
      </c>
      <c r="K160" s="129">
        <v>20515276</v>
      </c>
      <c r="L160" s="129">
        <v>0</v>
      </c>
      <c r="M160" s="129">
        <v>0</v>
      </c>
      <c r="N160" s="129">
        <v>0</v>
      </c>
      <c r="O160" s="129">
        <v>20515276</v>
      </c>
      <c r="P160" s="129">
        <v>0</v>
      </c>
      <c r="Q160" s="129">
        <v>20515276</v>
      </c>
      <c r="R160" s="129">
        <v>-48102</v>
      </c>
      <c r="S160" s="129">
        <v>0</v>
      </c>
      <c r="T160" s="129">
        <v>-48102</v>
      </c>
      <c r="U160" s="129">
        <v>59</v>
      </c>
      <c r="V160" s="129">
        <v>0</v>
      </c>
      <c r="W160" s="129">
        <v>59</v>
      </c>
      <c r="X160" s="129">
        <v>-48043</v>
      </c>
      <c r="Y160" s="129">
        <v>0</v>
      </c>
      <c r="Z160" s="129">
        <v>917</v>
      </c>
      <c r="AA160" s="129">
        <v>0</v>
      </c>
      <c r="AB160" s="129">
        <v>-47126</v>
      </c>
      <c r="AC160" s="129">
        <v>0</v>
      </c>
      <c r="AD160" s="129">
        <v>-47126</v>
      </c>
      <c r="AE160" s="129">
        <v>47126</v>
      </c>
      <c r="AF160" s="129">
        <v>0</v>
      </c>
      <c r="AG160" s="129">
        <v>47126</v>
      </c>
      <c r="AH160" s="129">
        <v>-3337242</v>
      </c>
      <c r="AI160" s="129">
        <v>0</v>
      </c>
      <c r="AJ160" s="129">
        <v>-3337242</v>
      </c>
      <c r="AK160" s="129">
        <v>-51212</v>
      </c>
      <c r="AL160" s="129">
        <v>0</v>
      </c>
      <c r="AM160" s="129">
        <v>-51212</v>
      </c>
      <c r="AN160" s="129">
        <v>292165</v>
      </c>
      <c r="AO160" s="129">
        <v>0</v>
      </c>
      <c r="AP160" s="129">
        <v>292165</v>
      </c>
      <c r="AQ160" s="129">
        <v>-3045077</v>
      </c>
      <c r="AR160" s="129">
        <v>0</v>
      </c>
      <c r="AS160" s="129">
        <v>-3045077</v>
      </c>
      <c r="AT160" s="129">
        <v>-897981</v>
      </c>
      <c r="AU160" s="129">
        <v>0</v>
      </c>
      <c r="AV160" s="129">
        <v>-897981</v>
      </c>
      <c r="AW160" s="129">
        <v>-64061</v>
      </c>
      <c r="AX160" s="129">
        <v>0</v>
      </c>
      <c r="AY160" s="129">
        <v>-64061</v>
      </c>
      <c r="AZ160" s="129">
        <v>-8141</v>
      </c>
      <c r="BA160" s="129">
        <v>0</v>
      </c>
      <c r="BB160" s="129">
        <v>-8141</v>
      </c>
      <c r="BC160" s="129">
        <v>0</v>
      </c>
      <c r="BD160" s="129">
        <v>0</v>
      </c>
      <c r="BE160" s="129">
        <v>0</v>
      </c>
      <c r="BF160" s="129">
        <v>-4015260</v>
      </c>
      <c r="BG160" s="129">
        <v>0</v>
      </c>
      <c r="BH160" s="129">
        <v>0</v>
      </c>
      <c r="BI160" s="129">
        <v>0</v>
      </c>
      <c r="BJ160" s="129">
        <v>-4015260</v>
      </c>
      <c r="BK160" s="129">
        <v>0</v>
      </c>
      <c r="BL160" s="129">
        <v>-4015260</v>
      </c>
      <c r="BM160" s="129">
        <v>0</v>
      </c>
      <c r="BN160" s="129">
        <v>0</v>
      </c>
      <c r="BO160" s="129">
        <v>0</v>
      </c>
      <c r="BP160" s="129">
        <v>-467307</v>
      </c>
      <c r="BQ160" s="129">
        <v>0</v>
      </c>
      <c r="BR160" s="129">
        <v>-467307</v>
      </c>
      <c r="BS160" s="129">
        <v>-467307</v>
      </c>
      <c r="BT160" s="129">
        <v>0</v>
      </c>
      <c r="BU160" s="129">
        <v>0</v>
      </c>
      <c r="BV160" s="129">
        <v>0</v>
      </c>
      <c r="BW160" s="129">
        <v>-467307</v>
      </c>
      <c r="BX160" s="129">
        <v>0</v>
      </c>
      <c r="BY160" s="129">
        <v>-467307</v>
      </c>
      <c r="BZ160" s="129">
        <v>-29629</v>
      </c>
      <c r="CA160" s="129">
        <v>0</v>
      </c>
      <c r="CB160" s="129">
        <v>-29629</v>
      </c>
      <c r="CC160" s="129">
        <v>-6335</v>
      </c>
      <c r="CD160" s="129">
        <v>0</v>
      </c>
      <c r="CE160" s="129">
        <v>-6335</v>
      </c>
      <c r="CF160" s="129">
        <v>-302</v>
      </c>
      <c r="CG160" s="129">
        <v>0</v>
      </c>
      <c r="CH160" s="129">
        <v>-302</v>
      </c>
      <c r="CI160" s="129">
        <v>0</v>
      </c>
      <c r="CJ160" s="129">
        <v>0</v>
      </c>
      <c r="CK160" s="129">
        <v>0</v>
      </c>
      <c r="CL160" s="129">
        <v>0</v>
      </c>
      <c r="CM160" s="129">
        <v>0</v>
      </c>
      <c r="CN160" s="129">
        <v>0</v>
      </c>
      <c r="CO160" s="129">
        <v>0</v>
      </c>
      <c r="CP160" s="129">
        <v>0</v>
      </c>
      <c r="CQ160" s="129">
        <v>0</v>
      </c>
      <c r="CR160" s="129">
        <v>0</v>
      </c>
      <c r="CS160" s="129">
        <v>0</v>
      </c>
      <c r="CT160" s="129">
        <v>-36266</v>
      </c>
      <c r="CU160" s="129">
        <v>0</v>
      </c>
      <c r="CV160" s="129">
        <v>0</v>
      </c>
      <c r="CW160" s="129">
        <v>0</v>
      </c>
      <c r="CX160" s="129">
        <v>-36266</v>
      </c>
      <c r="CY160" s="129">
        <v>0</v>
      </c>
      <c r="CZ160" s="129">
        <v>-36266</v>
      </c>
      <c r="DA160" s="129">
        <v>-12008</v>
      </c>
      <c r="DB160" s="129">
        <v>0</v>
      </c>
      <c r="DC160" s="129">
        <v>-12008</v>
      </c>
      <c r="DD160" s="129">
        <v>-13944</v>
      </c>
      <c r="DE160" s="129">
        <v>0</v>
      </c>
      <c r="DF160" s="129">
        <v>-13944</v>
      </c>
      <c r="DG160" s="129">
        <v>0</v>
      </c>
      <c r="DH160" s="129">
        <v>0</v>
      </c>
      <c r="DI160" s="129">
        <v>0</v>
      </c>
      <c r="DJ160" s="129">
        <v>-25952</v>
      </c>
      <c r="DK160" s="129">
        <v>0</v>
      </c>
      <c r="DL160" s="129">
        <v>0</v>
      </c>
      <c r="DM160" s="129">
        <v>0</v>
      </c>
      <c r="DN160" s="129">
        <v>-25952</v>
      </c>
      <c r="DO160" s="129">
        <v>0</v>
      </c>
      <c r="DP160" s="129">
        <v>-25952</v>
      </c>
      <c r="DQ160" s="129">
        <v>15923365</v>
      </c>
      <c r="DR160" s="129">
        <v>0</v>
      </c>
      <c r="DS160" s="129">
        <v>15923365</v>
      </c>
      <c r="DT160" s="662" t="s">
        <v>186</v>
      </c>
      <c r="DU160" s="324" t="s">
        <v>528</v>
      </c>
      <c r="DV160" s="663" t="s">
        <v>1913</v>
      </c>
      <c r="DW160" s="529" t="s">
        <v>1367</v>
      </c>
    </row>
    <row r="161" spans="1:127" ht="12.75" x14ac:dyDescent="0.2">
      <c r="A161" s="664">
        <v>154</v>
      </c>
      <c r="B161" s="665" t="s">
        <v>189</v>
      </c>
      <c r="C161" s="666" t="s">
        <v>1201</v>
      </c>
      <c r="D161" s="667" t="s">
        <v>1228</v>
      </c>
      <c r="E161" s="668" t="s">
        <v>188</v>
      </c>
      <c r="F161" s="753" t="s">
        <v>1875</v>
      </c>
      <c r="G161" s="129">
        <v>47257220</v>
      </c>
      <c r="H161" s="129">
        <v>0</v>
      </c>
      <c r="I161" s="129">
        <v>47257220</v>
      </c>
      <c r="J161" s="793">
        <v>49.9</v>
      </c>
      <c r="K161" s="129">
        <v>23581353</v>
      </c>
      <c r="L161" s="129">
        <v>0</v>
      </c>
      <c r="M161" s="129">
        <v>0</v>
      </c>
      <c r="N161" s="129">
        <v>0</v>
      </c>
      <c r="O161" s="129">
        <v>23581353</v>
      </c>
      <c r="P161" s="129">
        <v>0</v>
      </c>
      <c r="Q161" s="129">
        <v>23581353</v>
      </c>
      <c r="R161" s="129">
        <v>-145181</v>
      </c>
      <c r="S161" s="129">
        <v>0</v>
      </c>
      <c r="T161" s="129">
        <v>-145181</v>
      </c>
      <c r="U161" s="129">
        <v>24638</v>
      </c>
      <c r="V161" s="129">
        <v>0</v>
      </c>
      <c r="W161" s="129">
        <v>24638</v>
      </c>
      <c r="X161" s="129">
        <v>-120543</v>
      </c>
      <c r="Y161" s="129">
        <v>0</v>
      </c>
      <c r="Z161" s="129">
        <v>0</v>
      </c>
      <c r="AA161" s="129">
        <v>0</v>
      </c>
      <c r="AB161" s="129">
        <v>-120543</v>
      </c>
      <c r="AC161" s="129">
        <v>0</v>
      </c>
      <c r="AD161" s="129">
        <v>-120543</v>
      </c>
      <c r="AE161" s="129">
        <v>120543</v>
      </c>
      <c r="AF161" s="129">
        <v>0</v>
      </c>
      <c r="AG161" s="129">
        <v>120543</v>
      </c>
      <c r="AH161" s="129">
        <v>-3964752</v>
      </c>
      <c r="AI161" s="129">
        <v>0</v>
      </c>
      <c r="AJ161" s="129">
        <v>-3964752</v>
      </c>
      <c r="AK161" s="129">
        <v>0</v>
      </c>
      <c r="AL161" s="129">
        <v>0</v>
      </c>
      <c r="AM161" s="129">
        <v>0</v>
      </c>
      <c r="AN161" s="129">
        <v>355431</v>
      </c>
      <c r="AO161" s="129">
        <v>0</v>
      </c>
      <c r="AP161" s="129">
        <v>355431</v>
      </c>
      <c r="AQ161" s="129">
        <v>-3609321</v>
      </c>
      <c r="AR161" s="129">
        <v>0</v>
      </c>
      <c r="AS161" s="129">
        <v>-3609321</v>
      </c>
      <c r="AT161" s="129">
        <v>-2184868</v>
      </c>
      <c r="AU161" s="129">
        <v>0</v>
      </c>
      <c r="AV161" s="129">
        <v>-2184868</v>
      </c>
      <c r="AW161" s="129">
        <v>-151581</v>
      </c>
      <c r="AX161" s="129">
        <v>0</v>
      </c>
      <c r="AY161" s="129">
        <v>-151581</v>
      </c>
      <c r="AZ161" s="129">
        <v>-29646</v>
      </c>
      <c r="BA161" s="129">
        <v>0</v>
      </c>
      <c r="BB161" s="129">
        <v>-29646</v>
      </c>
      <c r="BC161" s="129">
        <v>0</v>
      </c>
      <c r="BD161" s="129">
        <v>0</v>
      </c>
      <c r="BE161" s="129">
        <v>0</v>
      </c>
      <c r="BF161" s="129">
        <v>-5975416</v>
      </c>
      <c r="BG161" s="129">
        <v>0</v>
      </c>
      <c r="BH161" s="129">
        <v>0</v>
      </c>
      <c r="BI161" s="129">
        <v>0</v>
      </c>
      <c r="BJ161" s="129">
        <v>-5975416</v>
      </c>
      <c r="BK161" s="129">
        <v>0</v>
      </c>
      <c r="BL161" s="129">
        <v>-5975416</v>
      </c>
      <c r="BM161" s="129">
        <v>0</v>
      </c>
      <c r="BN161" s="129">
        <v>0</v>
      </c>
      <c r="BO161" s="129">
        <v>0</v>
      </c>
      <c r="BP161" s="129">
        <v>-279302</v>
      </c>
      <c r="BQ161" s="129">
        <v>0</v>
      </c>
      <c r="BR161" s="129">
        <v>-279302</v>
      </c>
      <c r="BS161" s="129">
        <v>-279302</v>
      </c>
      <c r="BT161" s="129">
        <v>0</v>
      </c>
      <c r="BU161" s="129">
        <v>0</v>
      </c>
      <c r="BV161" s="129">
        <v>0</v>
      </c>
      <c r="BW161" s="129">
        <v>-279302</v>
      </c>
      <c r="BX161" s="129">
        <v>0</v>
      </c>
      <c r="BY161" s="129">
        <v>-279302</v>
      </c>
      <c r="BZ161" s="129">
        <v>-84656</v>
      </c>
      <c r="CA161" s="129">
        <v>0</v>
      </c>
      <c r="CB161" s="129">
        <v>-84656</v>
      </c>
      <c r="CC161" s="129">
        <v>-20830</v>
      </c>
      <c r="CD161" s="129">
        <v>0</v>
      </c>
      <c r="CE161" s="129">
        <v>-20830</v>
      </c>
      <c r="CF161" s="129">
        <v>-37794</v>
      </c>
      <c r="CG161" s="129">
        <v>0</v>
      </c>
      <c r="CH161" s="129">
        <v>-37794</v>
      </c>
      <c r="CI161" s="129">
        <v>0</v>
      </c>
      <c r="CJ161" s="129">
        <v>0</v>
      </c>
      <c r="CK161" s="129">
        <v>0</v>
      </c>
      <c r="CL161" s="129">
        <v>-1209</v>
      </c>
      <c r="CM161" s="129">
        <v>0</v>
      </c>
      <c r="CN161" s="129">
        <v>-1209</v>
      </c>
      <c r="CO161" s="129">
        <v>0</v>
      </c>
      <c r="CP161" s="129">
        <v>0</v>
      </c>
      <c r="CQ161" s="129">
        <v>0</v>
      </c>
      <c r="CR161" s="129">
        <v>0</v>
      </c>
      <c r="CS161" s="129">
        <v>0</v>
      </c>
      <c r="CT161" s="129">
        <v>-144489</v>
      </c>
      <c r="CU161" s="129">
        <v>0</v>
      </c>
      <c r="CV161" s="129">
        <v>0</v>
      </c>
      <c r="CW161" s="129">
        <v>0</v>
      </c>
      <c r="CX161" s="129">
        <v>-144489</v>
      </c>
      <c r="CY161" s="129">
        <v>0</v>
      </c>
      <c r="CZ161" s="129">
        <v>-144489</v>
      </c>
      <c r="DA161" s="129">
        <v>-32590</v>
      </c>
      <c r="DB161" s="129">
        <v>0</v>
      </c>
      <c r="DC161" s="129">
        <v>-32590</v>
      </c>
      <c r="DD161" s="129">
        <v>-26832</v>
      </c>
      <c r="DE161" s="129">
        <v>0</v>
      </c>
      <c r="DF161" s="129">
        <v>-26832</v>
      </c>
      <c r="DG161" s="129">
        <v>0</v>
      </c>
      <c r="DH161" s="129">
        <v>0</v>
      </c>
      <c r="DI161" s="129">
        <v>0</v>
      </c>
      <c r="DJ161" s="129">
        <v>-59422</v>
      </c>
      <c r="DK161" s="129">
        <v>0</v>
      </c>
      <c r="DL161" s="129">
        <v>0</v>
      </c>
      <c r="DM161" s="129">
        <v>0</v>
      </c>
      <c r="DN161" s="129">
        <v>-59422</v>
      </c>
      <c r="DO161" s="129">
        <v>0</v>
      </c>
      <c r="DP161" s="129">
        <v>-59422</v>
      </c>
      <c r="DQ161" s="129">
        <v>17002181</v>
      </c>
      <c r="DR161" s="129">
        <v>0</v>
      </c>
      <c r="DS161" s="129">
        <v>17002181</v>
      </c>
      <c r="DT161" s="662" t="s">
        <v>188</v>
      </c>
      <c r="DU161" s="324" t="s">
        <v>535</v>
      </c>
      <c r="DV161" s="663" t="s">
        <v>534</v>
      </c>
      <c r="DW161" s="529" t="s">
        <v>1368</v>
      </c>
    </row>
    <row r="162" spans="1:127" ht="12.75" x14ac:dyDescent="0.2">
      <c r="A162" s="664">
        <v>155</v>
      </c>
      <c r="B162" s="665" t="s">
        <v>191</v>
      </c>
      <c r="C162" s="666" t="s">
        <v>1217</v>
      </c>
      <c r="D162" s="667" t="s">
        <v>1204</v>
      </c>
      <c r="E162" s="668" t="s">
        <v>190</v>
      </c>
      <c r="F162" s="753" t="s">
        <v>1875</v>
      </c>
      <c r="G162" s="129">
        <v>871307386</v>
      </c>
      <c r="H162" s="129">
        <v>29236860</v>
      </c>
      <c r="I162" s="129">
        <v>900544246</v>
      </c>
      <c r="J162" s="793">
        <v>49.9</v>
      </c>
      <c r="K162" s="129">
        <v>434782386</v>
      </c>
      <c r="L162" s="129">
        <v>14589193</v>
      </c>
      <c r="M162" s="129">
        <v>0</v>
      </c>
      <c r="N162" s="129">
        <v>0</v>
      </c>
      <c r="O162" s="129">
        <v>434782386</v>
      </c>
      <c r="P162" s="129">
        <v>14589193</v>
      </c>
      <c r="Q162" s="129">
        <v>449371579</v>
      </c>
      <c r="R162" s="129">
        <v>-565132</v>
      </c>
      <c r="S162" s="129">
        <v>-7229</v>
      </c>
      <c r="T162" s="129">
        <v>-572361</v>
      </c>
      <c r="U162" s="129">
        <v>890564</v>
      </c>
      <c r="V162" s="129">
        <v>0</v>
      </c>
      <c r="W162" s="129">
        <v>890564</v>
      </c>
      <c r="X162" s="129">
        <v>325432</v>
      </c>
      <c r="Y162" s="129">
        <v>-7229</v>
      </c>
      <c r="Z162" s="129">
        <v>0</v>
      </c>
      <c r="AA162" s="129">
        <v>0</v>
      </c>
      <c r="AB162" s="129">
        <v>325432</v>
      </c>
      <c r="AC162" s="129">
        <v>-7229</v>
      </c>
      <c r="AD162" s="129">
        <v>318203</v>
      </c>
      <c r="AE162" s="129">
        <v>-325432</v>
      </c>
      <c r="AF162" s="129">
        <v>7229</v>
      </c>
      <c r="AG162" s="129">
        <v>-318203</v>
      </c>
      <c r="AH162" s="129">
        <v>-20758495</v>
      </c>
      <c r="AI162" s="129">
        <v>-224315</v>
      </c>
      <c r="AJ162" s="129">
        <v>-20982810</v>
      </c>
      <c r="AK162" s="129">
        <v>-524</v>
      </c>
      <c r="AL162" s="129">
        <v>0</v>
      </c>
      <c r="AM162" s="129">
        <v>-524</v>
      </c>
      <c r="AN162" s="129">
        <v>8945933</v>
      </c>
      <c r="AO162" s="129">
        <v>316800</v>
      </c>
      <c r="AP162" s="129">
        <v>9262733</v>
      </c>
      <c r="AQ162" s="129">
        <v>-11812562</v>
      </c>
      <c r="AR162" s="129">
        <v>92485</v>
      </c>
      <c r="AS162" s="129">
        <v>-11720077</v>
      </c>
      <c r="AT162" s="129">
        <v>-31011749</v>
      </c>
      <c r="AU162" s="129">
        <v>-312605</v>
      </c>
      <c r="AV162" s="129">
        <v>-31324354</v>
      </c>
      <c r="AW162" s="129">
        <v>-119239</v>
      </c>
      <c r="AX162" s="129">
        <v>0</v>
      </c>
      <c r="AY162" s="129">
        <v>-119239</v>
      </c>
      <c r="AZ162" s="129">
        <v>0</v>
      </c>
      <c r="BA162" s="129">
        <v>0</v>
      </c>
      <c r="BB162" s="129">
        <v>0</v>
      </c>
      <c r="BC162" s="129">
        <v>0</v>
      </c>
      <c r="BD162" s="129">
        <v>0</v>
      </c>
      <c r="BE162" s="129">
        <v>0</v>
      </c>
      <c r="BF162" s="129">
        <v>-42943550</v>
      </c>
      <c r="BG162" s="129">
        <v>-220120</v>
      </c>
      <c r="BH162" s="129">
        <v>0</v>
      </c>
      <c r="BI162" s="129">
        <v>0</v>
      </c>
      <c r="BJ162" s="129">
        <v>-42943550</v>
      </c>
      <c r="BK162" s="129">
        <v>-220120</v>
      </c>
      <c r="BL162" s="129">
        <v>-43163670</v>
      </c>
      <c r="BM162" s="129">
        <v>0</v>
      </c>
      <c r="BN162" s="129">
        <v>0</v>
      </c>
      <c r="BO162" s="129">
        <v>0</v>
      </c>
      <c r="BP162" s="129">
        <v>-21099642</v>
      </c>
      <c r="BQ162" s="129">
        <v>-165222</v>
      </c>
      <c r="BR162" s="129">
        <v>-21264864</v>
      </c>
      <c r="BS162" s="129">
        <v>-21099642</v>
      </c>
      <c r="BT162" s="129">
        <v>-165222</v>
      </c>
      <c r="BU162" s="129">
        <v>0</v>
      </c>
      <c r="BV162" s="129">
        <v>0</v>
      </c>
      <c r="BW162" s="129">
        <v>-21099642</v>
      </c>
      <c r="BX162" s="129">
        <v>-165222</v>
      </c>
      <c r="BY162" s="129">
        <v>-21264864</v>
      </c>
      <c r="BZ162" s="129">
        <v>-1304893</v>
      </c>
      <c r="CA162" s="129">
        <v>0</v>
      </c>
      <c r="CB162" s="129">
        <v>-1304893</v>
      </c>
      <c r="CC162" s="129">
        <v>-412072</v>
      </c>
      <c r="CD162" s="129">
        <v>0</v>
      </c>
      <c r="CE162" s="129">
        <v>-412072</v>
      </c>
      <c r="CF162" s="129">
        <v>0</v>
      </c>
      <c r="CG162" s="129">
        <v>0</v>
      </c>
      <c r="CH162" s="129">
        <v>0</v>
      </c>
      <c r="CI162" s="129">
        <v>0</v>
      </c>
      <c r="CJ162" s="129">
        <v>0</v>
      </c>
      <c r="CK162" s="129">
        <v>0</v>
      </c>
      <c r="CL162" s="129">
        <v>0</v>
      </c>
      <c r="CM162" s="129">
        <v>0</v>
      </c>
      <c r="CN162" s="129">
        <v>0</v>
      </c>
      <c r="CO162" s="129">
        <v>0</v>
      </c>
      <c r="CP162" s="129">
        <v>-811063</v>
      </c>
      <c r="CQ162" s="129">
        <v>-811063</v>
      </c>
      <c r="CR162" s="129">
        <v>-811063</v>
      </c>
      <c r="CS162" s="129">
        <v>0</v>
      </c>
      <c r="CT162" s="129">
        <v>-1716965</v>
      </c>
      <c r="CU162" s="129">
        <v>-811063</v>
      </c>
      <c r="CV162" s="129">
        <v>0</v>
      </c>
      <c r="CW162" s="129">
        <v>0</v>
      </c>
      <c r="CX162" s="129">
        <v>-1716965</v>
      </c>
      <c r="CY162" s="129">
        <v>-811063</v>
      </c>
      <c r="CZ162" s="129">
        <v>-2528028</v>
      </c>
      <c r="DA162" s="129">
        <v>0</v>
      </c>
      <c r="DB162" s="129">
        <v>0</v>
      </c>
      <c r="DC162" s="129">
        <v>0</v>
      </c>
      <c r="DD162" s="129">
        <v>-50083</v>
      </c>
      <c r="DE162" s="129">
        <v>0</v>
      </c>
      <c r="DF162" s="129">
        <v>-50083</v>
      </c>
      <c r="DG162" s="129">
        <v>0</v>
      </c>
      <c r="DH162" s="129">
        <v>0</v>
      </c>
      <c r="DI162" s="129">
        <v>0</v>
      </c>
      <c r="DJ162" s="129">
        <v>-50083</v>
      </c>
      <c r="DK162" s="129">
        <v>0</v>
      </c>
      <c r="DL162" s="129">
        <v>0</v>
      </c>
      <c r="DM162" s="129">
        <v>0</v>
      </c>
      <c r="DN162" s="129">
        <v>-50083</v>
      </c>
      <c r="DO162" s="129">
        <v>0</v>
      </c>
      <c r="DP162" s="129">
        <v>-50083</v>
      </c>
      <c r="DQ162" s="129">
        <v>369297578</v>
      </c>
      <c r="DR162" s="129">
        <v>13385559</v>
      </c>
      <c r="DS162" s="129">
        <v>382683137</v>
      </c>
      <c r="DT162" s="662" t="s">
        <v>190</v>
      </c>
      <c r="DU162" s="324" t="s">
        <v>570</v>
      </c>
      <c r="DV162" s="663" t="s">
        <v>1915</v>
      </c>
      <c r="DW162" s="529" t="s">
        <v>1369</v>
      </c>
    </row>
    <row r="163" spans="1:127" ht="12.75" x14ac:dyDescent="0.2">
      <c r="A163" s="664">
        <v>156</v>
      </c>
      <c r="B163" s="665" t="s">
        <v>193</v>
      </c>
      <c r="C163" s="666" t="s">
        <v>1201</v>
      </c>
      <c r="D163" s="667" t="s">
        <v>1206</v>
      </c>
      <c r="E163" s="668" t="s">
        <v>192</v>
      </c>
      <c r="F163" s="753" t="s">
        <v>1875</v>
      </c>
      <c r="G163" s="129">
        <v>75364584</v>
      </c>
      <c r="H163" s="129">
        <v>0</v>
      </c>
      <c r="I163" s="129">
        <v>75364584</v>
      </c>
      <c r="J163" s="793">
        <v>49.9</v>
      </c>
      <c r="K163" s="129">
        <v>37606927</v>
      </c>
      <c r="L163" s="129">
        <v>0</v>
      </c>
      <c r="M163" s="129">
        <v>0</v>
      </c>
      <c r="N163" s="129">
        <v>0</v>
      </c>
      <c r="O163" s="129">
        <v>37606927</v>
      </c>
      <c r="P163" s="129">
        <v>0</v>
      </c>
      <c r="Q163" s="129">
        <v>37606927</v>
      </c>
      <c r="R163" s="129">
        <v>-97200</v>
      </c>
      <c r="S163" s="129">
        <v>0</v>
      </c>
      <c r="T163" s="129">
        <v>-97200</v>
      </c>
      <c r="U163" s="129">
        <v>34616</v>
      </c>
      <c r="V163" s="129">
        <v>0</v>
      </c>
      <c r="W163" s="129">
        <v>34616</v>
      </c>
      <c r="X163" s="129">
        <v>-62584</v>
      </c>
      <c r="Y163" s="129">
        <v>0</v>
      </c>
      <c r="Z163" s="129">
        <v>0</v>
      </c>
      <c r="AA163" s="129">
        <v>0</v>
      </c>
      <c r="AB163" s="129">
        <v>-62584</v>
      </c>
      <c r="AC163" s="129">
        <v>0</v>
      </c>
      <c r="AD163" s="129">
        <v>-62584</v>
      </c>
      <c r="AE163" s="129">
        <v>62584</v>
      </c>
      <c r="AF163" s="129">
        <v>0</v>
      </c>
      <c r="AG163" s="129">
        <v>62584</v>
      </c>
      <c r="AH163" s="129">
        <v>-3457738</v>
      </c>
      <c r="AI163" s="129">
        <v>0</v>
      </c>
      <c r="AJ163" s="129">
        <v>-3457738</v>
      </c>
      <c r="AK163" s="129">
        <v>0</v>
      </c>
      <c r="AL163" s="129">
        <v>0</v>
      </c>
      <c r="AM163" s="129">
        <v>0</v>
      </c>
      <c r="AN163" s="129">
        <v>675593</v>
      </c>
      <c r="AO163" s="129">
        <v>0</v>
      </c>
      <c r="AP163" s="129">
        <v>675593</v>
      </c>
      <c r="AQ163" s="129">
        <v>-2782145</v>
      </c>
      <c r="AR163" s="129">
        <v>0</v>
      </c>
      <c r="AS163" s="129">
        <v>-2782145</v>
      </c>
      <c r="AT163" s="129">
        <v>-2505118</v>
      </c>
      <c r="AU163" s="129">
        <v>0</v>
      </c>
      <c r="AV163" s="129">
        <v>-2505118</v>
      </c>
      <c r="AW163" s="129">
        <v>-15360</v>
      </c>
      <c r="AX163" s="129">
        <v>0</v>
      </c>
      <c r="AY163" s="129">
        <v>-15360</v>
      </c>
      <c r="AZ163" s="129">
        <v>0</v>
      </c>
      <c r="BA163" s="129">
        <v>0</v>
      </c>
      <c r="BB163" s="129">
        <v>0</v>
      </c>
      <c r="BC163" s="129">
        <v>0</v>
      </c>
      <c r="BD163" s="129">
        <v>0</v>
      </c>
      <c r="BE163" s="129">
        <v>0</v>
      </c>
      <c r="BF163" s="129">
        <v>-5302623</v>
      </c>
      <c r="BG163" s="129">
        <v>0</v>
      </c>
      <c r="BH163" s="129">
        <v>-100000</v>
      </c>
      <c r="BI163" s="129">
        <v>0</v>
      </c>
      <c r="BJ163" s="129">
        <v>-5402623</v>
      </c>
      <c r="BK163" s="129">
        <v>0</v>
      </c>
      <c r="BL163" s="129">
        <v>-5402623</v>
      </c>
      <c r="BM163" s="129">
        <v>0</v>
      </c>
      <c r="BN163" s="129">
        <v>0</v>
      </c>
      <c r="BO163" s="129">
        <v>0</v>
      </c>
      <c r="BP163" s="129">
        <v>-943648</v>
      </c>
      <c r="BQ163" s="129">
        <v>0</v>
      </c>
      <c r="BR163" s="129">
        <v>-943648</v>
      </c>
      <c r="BS163" s="129">
        <v>-943648</v>
      </c>
      <c r="BT163" s="129">
        <v>0</v>
      </c>
      <c r="BU163" s="129">
        <v>-200000</v>
      </c>
      <c r="BV163" s="129">
        <v>0</v>
      </c>
      <c r="BW163" s="129">
        <v>-1143648</v>
      </c>
      <c r="BX163" s="129">
        <v>0</v>
      </c>
      <c r="BY163" s="129">
        <v>-1143648</v>
      </c>
      <c r="BZ163" s="129">
        <v>-4915</v>
      </c>
      <c r="CA163" s="129">
        <v>0</v>
      </c>
      <c r="CB163" s="129">
        <v>-4915</v>
      </c>
      <c r="CC163" s="129">
        <v>-19534</v>
      </c>
      <c r="CD163" s="129">
        <v>0</v>
      </c>
      <c r="CE163" s="129">
        <v>-19534</v>
      </c>
      <c r="CF163" s="129">
        <v>0</v>
      </c>
      <c r="CG163" s="129">
        <v>0</v>
      </c>
      <c r="CH163" s="129">
        <v>0</v>
      </c>
      <c r="CI163" s="129">
        <v>0</v>
      </c>
      <c r="CJ163" s="129">
        <v>0</v>
      </c>
      <c r="CK163" s="129">
        <v>0</v>
      </c>
      <c r="CL163" s="129">
        <v>0</v>
      </c>
      <c r="CM163" s="129">
        <v>0</v>
      </c>
      <c r="CN163" s="129">
        <v>0</v>
      </c>
      <c r="CO163" s="129">
        <v>0</v>
      </c>
      <c r="CP163" s="129">
        <v>0</v>
      </c>
      <c r="CQ163" s="129">
        <v>0</v>
      </c>
      <c r="CR163" s="129">
        <v>0</v>
      </c>
      <c r="CS163" s="129">
        <v>0</v>
      </c>
      <c r="CT163" s="129">
        <v>-24449</v>
      </c>
      <c r="CU163" s="129">
        <v>0</v>
      </c>
      <c r="CV163" s="129">
        <v>0</v>
      </c>
      <c r="CW163" s="129">
        <v>0</v>
      </c>
      <c r="CX163" s="129">
        <v>-24449</v>
      </c>
      <c r="CY163" s="129">
        <v>0</v>
      </c>
      <c r="CZ163" s="129">
        <v>-24449</v>
      </c>
      <c r="DA163" s="129">
        <v>0</v>
      </c>
      <c r="DB163" s="129">
        <v>0</v>
      </c>
      <c r="DC163" s="129">
        <v>0</v>
      </c>
      <c r="DD163" s="129">
        <v>-3851</v>
      </c>
      <c r="DE163" s="129">
        <v>0</v>
      </c>
      <c r="DF163" s="129">
        <v>-3851</v>
      </c>
      <c r="DG163" s="129">
        <v>0</v>
      </c>
      <c r="DH163" s="129">
        <v>0</v>
      </c>
      <c r="DI163" s="129">
        <v>0</v>
      </c>
      <c r="DJ163" s="129">
        <v>-3851</v>
      </c>
      <c r="DK163" s="129">
        <v>0</v>
      </c>
      <c r="DL163" s="129">
        <v>0</v>
      </c>
      <c r="DM163" s="129">
        <v>0</v>
      </c>
      <c r="DN163" s="129">
        <v>-3851</v>
      </c>
      <c r="DO163" s="129">
        <v>0</v>
      </c>
      <c r="DP163" s="129">
        <v>-3851</v>
      </c>
      <c r="DQ163" s="129">
        <v>30969772</v>
      </c>
      <c r="DR163" s="129">
        <v>0</v>
      </c>
      <c r="DS163" s="129">
        <v>30969772</v>
      </c>
      <c r="DT163" s="662" t="s">
        <v>192</v>
      </c>
      <c r="DU163" s="324" t="s">
        <v>559</v>
      </c>
      <c r="DV163" s="663" t="s">
        <v>558</v>
      </c>
      <c r="DW163" s="529" t="s">
        <v>1370</v>
      </c>
    </row>
    <row r="164" spans="1:127" ht="14.25" x14ac:dyDescent="0.2">
      <c r="A164" s="664">
        <v>157</v>
      </c>
      <c r="B164" s="665" t="s">
        <v>195</v>
      </c>
      <c r="C164" s="666" t="s">
        <v>486</v>
      </c>
      <c r="D164" s="667" t="s">
        <v>1202</v>
      </c>
      <c r="E164" s="668" t="s">
        <v>1872</v>
      </c>
      <c r="F164" s="753" t="s">
        <v>1875</v>
      </c>
      <c r="G164" s="129">
        <v>229193113</v>
      </c>
      <c r="H164" s="129">
        <v>26250</v>
      </c>
      <c r="I164" s="129">
        <v>229219363</v>
      </c>
      <c r="J164" s="793">
        <v>49.9</v>
      </c>
      <c r="K164" s="129">
        <v>114367363</v>
      </c>
      <c r="L164" s="129">
        <v>13099</v>
      </c>
      <c r="M164" s="129">
        <v>0</v>
      </c>
      <c r="N164" s="129">
        <v>0</v>
      </c>
      <c r="O164" s="129">
        <v>114367363</v>
      </c>
      <c r="P164" s="129">
        <v>13099</v>
      </c>
      <c r="Q164" s="129">
        <v>114380462</v>
      </c>
      <c r="R164" s="129">
        <v>-344423</v>
      </c>
      <c r="S164" s="129">
        <v>0</v>
      </c>
      <c r="T164" s="129">
        <v>-344423</v>
      </c>
      <c r="U164" s="129">
        <v>2297001</v>
      </c>
      <c r="V164" s="129">
        <v>0</v>
      </c>
      <c r="W164" s="129">
        <v>2297001</v>
      </c>
      <c r="X164" s="129">
        <v>1952578</v>
      </c>
      <c r="Y164" s="129">
        <v>0</v>
      </c>
      <c r="Z164" s="129">
        <v>0</v>
      </c>
      <c r="AA164" s="129">
        <v>0</v>
      </c>
      <c r="AB164" s="129">
        <v>1952578</v>
      </c>
      <c r="AC164" s="129">
        <v>0</v>
      </c>
      <c r="AD164" s="129">
        <v>1952578</v>
      </c>
      <c r="AE164" s="129">
        <v>-1952578</v>
      </c>
      <c r="AF164" s="129">
        <v>0</v>
      </c>
      <c r="AG164" s="129">
        <v>-1952578</v>
      </c>
      <c r="AH164" s="129">
        <v>-7643948</v>
      </c>
      <c r="AI164" s="129">
        <v>-5863</v>
      </c>
      <c r="AJ164" s="129">
        <v>-7649811</v>
      </c>
      <c r="AK164" s="129">
        <v>0</v>
      </c>
      <c r="AL164" s="129">
        <v>0</v>
      </c>
      <c r="AM164" s="129">
        <v>0</v>
      </c>
      <c r="AN164" s="129">
        <v>2271274</v>
      </c>
      <c r="AO164" s="129">
        <v>0</v>
      </c>
      <c r="AP164" s="129">
        <v>2271274</v>
      </c>
      <c r="AQ164" s="129">
        <v>-5372674</v>
      </c>
      <c r="AR164" s="129">
        <v>-5863</v>
      </c>
      <c r="AS164" s="129">
        <v>-5378537</v>
      </c>
      <c r="AT164" s="129">
        <v>-9474001</v>
      </c>
      <c r="AU164" s="129">
        <v>-5939</v>
      </c>
      <c r="AV164" s="129">
        <v>-9479940</v>
      </c>
      <c r="AW164" s="129">
        <v>-112302</v>
      </c>
      <c r="AX164" s="129">
        <v>0</v>
      </c>
      <c r="AY164" s="129">
        <v>-112302</v>
      </c>
      <c r="AZ164" s="129">
        <v>-1062</v>
      </c>
      <c r="BA164" s="129">
        <v>0</v>
      </c>
      <c r="BB164" s="129">
        <v>-1062</v>
      </c>
      <c r="BC164" s="129">
        <v>0</v>
      </c>
      <c r="BD164" s="129">
        <v>0</v>
      </c>
      <c r="BE164" s="129">
        <v>0</v>
      </c>
      <c r="BF164" s="129">
        <v>-14960039</v>
      </c>
      <c r="BG164" s="129">
        <v>-11802</v>
      </c>
      <c r="BH164" s="129">
        <v>0</v>
      </c>
      <c r="BI164" s="129">
        <v>0</v>
      </c>
      <c r="BJ164" s="129">
        <v>-14960039</v>
      </c>
      <c r="BK164" s="129">
        <v>-11802</v>
      </c>
      <c r="BL164" s="129">
        <v>-14971841</v>
      </c>
      <c r="BM164" s="129">
        <v>0</v>
      </c>
      <c r="BN164" s="129">
        <v>0</v>
      </c>
      <c r="BO164" s="129">
        <v>0</v>
      </c>
      <c r="BP164" s="129">
        <v>-1704546</v>
      </c>
      <c r="BQ164" s="129">
        <v>0</v>
      </c>
      <c r="BR164" s="129">
        <v>-1704546</v>
      </c>
      <c r="BS164" s="129">
        <v>-1704546</v>
      </c>
      <c r="BT164" s="129">
        <v>0</v>
      </c>
      <c r="BU164" s="129">
        <v>0</v>
      </c>
      <c r="BV164" s="129">
        <v>0</v>
      </c>
      <c r="BW164" s="129">
        <v>-1704546</v>
      </c>
      <c r="BX164" s="129">
        <v>0</v>
      </c>
      <c r="BY164" s="129">
        <v>-1704546</v>
      </c>
      <c r="BZ164" s="129">
        <v>-89444</v>
      </c>
      <c r="CA164" s="129">
        <v>-1297</v>
      </c>
      <c r="CB164" s="129">
        <v>-90741</v>
      </c>
      <c r="CC164" s="129">
        <v>-75778</v>
      </c>
      <c r="CD164" s="129">
        <v>0</v>
      </c>
      <c r="CE164" s="129">
        <v>-75778</v>
      </c>
      <c r="CF164" s="129">
        <v>0</v>
      </c>
      <c r="CG164" s="129">
        <v>0</v>
      </c>
      <c r="CH164" s="129">
        <v>0</v>
      </c>
      <c r="CI164" s="129">
        <v>0</v>
      </c>
      <c r="CJ164" s="129">
        <v>0</v>
      </c>
      <c r="CK164" s="129">
        <v>0</v>
      </c>
      <c r="CL164" s="129">
        <v>0</v>
      </c>
      <c r="CM164" s="129">
        <v>0</v>
      </c>
      <c r="CN164" s="129">
        <v>0</v>
      </c>
      <c r="CO164" s="129">
        <v>0</v>
      </c>
      <c r="CP164" s="129">
        <v>0</v>
      </c>
      <c r="CQ164" s="129">
        <v>0</v>
      </c>
      <c r="CR164" s="129">
        <v>0</v>
      </c>
      <c r="CS164" s="129">
        <v>0</v>
      </c>
      <c r="CT164" s="129">
        <v>-165222</v>
      </c>
      <c r="CU164" s="129">
        <v>-1297</v>
      </c>
      <c r="CV164" s="129">
        <v>0</v>
      </c>
      <c r="CW164" s="129">
        <v>0</v>
      </c>
      <c r="CX164" s="129">
        <v>-165222</v>
      </c>
      <c r="CY164" s="129">
        <v>-1297</v>
      </c>
      <c r="CZ164" s="129">
        <v>-166519</v>
      </c>
      <c r="DA164" s="129">
        <v>-1062</v>
      </c>
      <c r="DB164" s="129">
        <v>0</v>
      </c>
      <c r="DC164" s="129">
        <v>-1062</v>
      </c>
      <c r="DD164" s="129">
        <v>-37558</v>
      </c>
      <c r="DE164" s="129">
        <v>0</v>
      </c>
      <c r="DF164" s="129">
        <v>-37558</v>
      </c>
      <c r="DG164" s="129">
        <v>-1500</v>
      </c>
      <c r="DH164" s="129">
        <v>0</v>
      </c>
      <c r="DI164" s="129">
        <v>-1500</v>
      </c>
      <c r="DJ164" s="129">
        <v>-40120</v>
      </c>
      <c r="DK164" s="129">
        <v>0</v>
      </c>
      <c r="DL164" s="129">
        <v>0</v>
      </c>
      <c r="DM164" s="129">
        <v>0</v>
      </c>
      <c r="DN164" s="129">
        <v>-40120</v>
      </c>
      <c r="DO164" s="129">
        <v>0</v>
      </c>
      <c r="DP164" s="129">
        <v>-40120</v>
      </c>
      <c r="DQ164" s="129">
        <v>99450014</v>
      </c>
      <c r="DR164" s="129">
        <v>0</v>
      </c>
      <c r="DS164" s="129">
        <v>99450014</v>
      </c>
      <c r="DT164" s="662" t="s">
        <v>541</v>
      </c>
      <c r="DU164" s="324" t="s">
        <v>486</v>
      </c>
      <c r="DV164" s="663" t="s">
        <v>542</v>
      </c>
      <c r="DW164" s="529" t="s">
        <v>1371</v>
      </c>
    </row>
    <row r="165" spans="1:127" ht="12.75" x14ac:dyDescent="0.2">
      <c r="A165" s="664">
        <v>158</v>
      </c>
      <c r="B165" s="665" t="s">
        <v>197</v>
      </c>
      <c r="C165" s="666" t="s">
        <v>1201</v>
      </c>
      <c r="D165" s="667" t="s">
        <v>1206</v>
      </c>
      <c r="E165" s="668" t="s">
        <v>196</v>
      </c>
      <c r="F165" s="753" t="s">
        <v>1875</v>
      </c>
      <c r="G165" s="129">
        <v>39226569</v>
      </c>
      <c r="H165" s="129">
        <v>0</v>
      </c>
      <c r="I165" s="129">
        <v>39226569</v>
      </c>
      <c r="J165" s="793">
        <v>49.9</v>
      </c>
      <c r="K165" s="129">
        <v>19574058</v>
      </c>
      <c r="L165" s="129">
        <v>0</v>
      </c>
      <c r="M165" s="129">
        <v>-150000</v>
      </c>
      <c r="N165" s="129">
        <v>0</v>
      </c>
      <c r="O165" s="129">
        <v>19424058</v>
      </c>
      <c r="P165" s="129">
        <v>0</v>
      </c>
      <c r="Q165" s="129">
        <v>19424058</v>
      </c>
      <c r="R165" s="129">
        <v>-110000</v>
      </c>
      <c r="S165" s="129">
        <v>0</v>
      </c>
      <c r="T165" s="129">
        <v>-110000</v>
      </c>
      <c r="U165" s="129">
        <v>2500</v>
      </c>
      <c r="V165" s="129">
        <v>0</v>
      </c>
      <c r="W165" s="129">
        <v>2500</v>
      </c>
      <c r="X165" s="129">
        <v>-107500</v>
      </c>
      <c r="Y165" s="129">
        <v>0</v>
      </c>
      <c r="Z165" s="129">
        <v>0</v>
      </c>
      <c r="AA165" s="129">
        <v>0</v>
      </c>
      <c r="AB165" s="129">
        <v>-107500</v>
      </c>
      <c r="AC165" s="129">
        <v>0</v>
      </c>
      <c r="AD165" s="129">
        <v>-107500</v>
      </c>
      <c r="AE165" s="129">
        <v>107500</v>
      </c>
      <c r="AF165" s="129">
        <v>0</v>
      </c>
      <c r="AG165" s="129">
        <v>107500</v>
      </c>
      <c r="AH165" s="129">
        <v>-2385135</v>
      </c>
      <c r="AI165" s="129">
        <v>0</v>
      </c>
      <c r="AJ165" s="129">
        <v>-2385135</v>
      </c>
      <c r="AK165" s="129">
        <v>0</v>
      </c>
      <c r="AL165" s="129">
        <v>0</v>
      </c>
      <c r="AM165" s="129">
        <v>0</v>
      </c>
      <c r="AN165" s="129">
        <v>330000</v>
      </c>
      <c r="AO165" s="129">
        <v>0</v>
      </c>
      <c r="AP165" s="129">
        <v>330000</v>
      </c>
      <c r="AQ165" s="129">
        <v>-2055135</v>
      </c>
      <c r="AR165" s="129">
        <v>0</v>
      </c>
      <c r="AS165" s="129">
        <v>-2055135</v>
      </c>
      <c r="AT165" s="129">
        <v>-1470000</v>
      </c>
      <c r="AU165" s="129">
        <v>0</v>
      </c>
      <c r="AV165" s="129">
        <v>-1470000</v>
      </c>
      <c r="AW165" s="129">
        <v>-43700</v>
      </c>
      <c r="AX165" s="129">
        <v>0</v>
      </c>
      <c r="AY165" s="129">
        <v>-43700</v>
      </c>
      <c r="AZ165" s="129">
        <v>-20000</v>
      </c>
      <c r="BA165" s="129">
        <v>0</v>
      </c>
      <c r="BB165" s="129">
        <v>-20000</v>
      </c>
      <c r="BC165" s="129">
        <v>0</v>
      </c>
      <c r="BD165" s="129">
        <v>0</v>
      </c>
      <c r="BE165" s="129">
        <v>0</v>
      </c>
      <c r="BF165" s="129">
        <v>-3588835</v>
      </c>
      <c r="BG165" s="129">
        <v>0</v>
      </c>
      <c r="BH165" s="129">
        <v>0</v>
      </c>
      <c r="BI165" s="129">
        <v>0</v>
      </c>
      <c r="BJ165" s="129">
        <v>-3588835</v>
      </c>
      <c r="BK165" s="129">
        <v>0</v>
      </c>
      <c r="BL165" s="129">
        <v>-3588835</v>
      </c>
      <c r="BM165" s="129">
        <v>0</v>
      </c>
      <c r="BN165" s="129">
        <v>0</v>
      </c>
      <c r="BO165" s="129">
        <v>0</v>
      </c>
      <c r="BP165" s="129">
        <v>-360000</v>
      </c>
      <c r="BQ165" s="129">
        <v>0</v>
      </c>
      <c r="BR165" s="129">
        <v>-360000</v>
      </c>
      <c r="BS165" s="129">
        <v>-360000</v>
      </c>
      <c r="BT165" s="129">
        <v>0</v>
      </c>
      <c r="BU165" s="129">
        <v>0</v>
      </c>
      <c r="BV165" s="129">
        <v>0</v>
      </c>
      <c r="BW165" s="129">
        <v>-360000</v>
      </c>
      <c r="BX165" s="129">
        <v>0</v>
      </c>
      <c r="BY165" s="129">
        <v>-360000</v>
      </c>
      <c r="BZ165" s="129">
        <v>-55000</v>
      </c>
      <c r="CA165" s="129">
        <v>0</v>
      </c>
      <c r="CB165" s="129">
        <v>-55000</v>
      </c>
      <c r="CC165" s="129">
        <v>-35000</v>
      </c>
      <c r="CD165" s="129">
        <v>0</v>
      </c>
      <c r="CE165" s="129">
        <v>-35000</v>
      </c>
      <c r="CF165" s="129">
        <v>-800</v>
      </c>
      <c r="CG165" s="129">
        <v>0</v>
      </c>
      <c r="CH165" s="129">
        <v>-800</v>
      </c>
      <c r="CI165" s="129">
        <v>0</v>
      </c>
      <c r="CJ165" s="129">
        <v>0</v>
      </c>
      <c r="CK165" s="129">
        <v>0</v>
      </c>
      <c r="CL165" s="129">
        <v>0</v>
      </c>
      <c r="CM165" s="129">
        <v>0</v>
      </c>
      <c r="CN165" s="129">
        <v>0</v>
      </c>
      <c r="CO165" s="129">
        <v>0</v>
      </c>
      <c r="CP165" s="129">
        <v>0</v>
      </c>
      <c r="CQ165" s="129">
        <v>0</v>
      </c>
      <c r="CR165" s="129">
        <v>0</v>
      </c>
      <c r="CS165" s="129">
        <v>0</v>
      </c>
      <c r="CT165" s="129">
        <v>-90800</v>
      </c>
      <c r="CU165" s="129">
        <v>0</v>
      </c>
      <c r="CV165" s="129">
        <v>0</v>
      </c>
      <c r="CW165" s="129">
        <v>0</v>
      </c>
      <c r="CX165" s="129">
        <v>-90800</v>
      </c>
      <c r="CY165" s="129">
        <v>0</v>
      </c>
      <c r="CZ165" s="129">
        <v>-90800</v>
      </c>
      <c r="DA165" s="129">
        <v>-19500</v>
      </c>
      <c r="DB165" s="129">
        <v>0</v>
      </c>
      <c r="DC165" s="129">
        <v>-19500</v>
      </c>
      <c r="DD165" s="129">
        <v>-22000</v>
      </c>
      <c r="DE165" s="129">
        <v>0</v>
      </c>
      <c r="DF165" s="129">
        <v>-22000</v>
      </c>
      <c r="DG165" s="129">
        <v>0</v>
      </c>
      <c r="DH165" s="129">
        <v>0</v>
      </c>
      <c r="DI165" s="129">
        <v>0</v>
      </c>
      <c r="DJ165" s="129">
        <v>-41500</v>
      </c>
      <c r="DK165" s="129">
        <v>0</v>
      </c>
      <c r="DL165" s="129">
        <v>0</v>
      </c>
      <c r="DM165" s="129">
        <v>0</v>
      </c>
      <c r="DN165" s="129">
        <v>-41500</v>
      </c>
      <c r="DO165" s="129">
        <v>0</v>
      </c>
      <c r="DP165" s="129">
        <v>-41500</v>
      </c>
      <c r="DQ165" s="129">
        <v>15235423</v>
      </c>
      <c r="DR165" s="129">
        <v>0</v>
      </c>
      <c r="DS165" s="129">
        <v>15235423</v>
      </c>
      <c r="DT165" s="662" t="s">
        <v>196</v>
      </c>
      <c r="DU165" s="324" t="s">
        <v>551</v>
      </c>
      <c r="DV165" s="663" t="s">
        <v>549</v>
      </c>
      <c r="DW165" s="529" t="s">
        <v>1372</v>
      </c>
    </row>
    <row r="166" spans="1:127" ht="12.75" x14ac:dyDescent="0.2">
      <c r="A166" s="664">
        <v>159</v>
      </c>
      <c r="B166" s="665" t="s">
        <v>199</v>
      </c>
      <c r="C166" s="666" t="s">
        <v>1201</v>
      </c>
      <c r="D166" s="667" t="s">
        <v>1224</v>
      </c>
      <c r="E166" s="668" t="s">
        <v>198</v>
      </c>
      <c r="F166" s="753" t="s">
        <v>1884</v>
      </c>
      <c r="G166" s="129">
        <v>95571691</v>
      </c>
      <c r="H166" s="129">
        <v>0</v>
      </c>
      <c r="I166" s="129">
        <v>95571691</v>
      </c>
      <c r="J166" s="793">
        <v>49.9</v>
      </c>
      <c r="K166" s="129">
        <v>47690274</v>
      </c>
      <c r="L166" s="129">
        <v>0</v>
      </c>
      <c r="M166" s="129">
        <v>-715354</v>
      </c>
      <c r="N166" s="129">
        <v>0</v>
      </c>
      <c r="O166" s="129">
        <v>46974920</v>
      </c>
      <c r="P166" s="129">
        <v>0</v>
      </c>
      <c r="Q166" s="129">
        <v>46974920</v>
      </c>
      <c r="R166" s="129">
        <v>-200371</v>
      </c>
      <c r="S166" s="129">
        <v>0</v>
      </c>
      <c r="T166" s="129">
        <v>-200371</v>
      </c>
      <c r="U166" s="129">
        <v>75128</v>
      </c>
      <c r="V166" s="129">
        <v>0</v>
      </c>
      <c r="W166" s="129">
        <v>75128</v>
      </c>
      <c r="X166" s="129">
        <v>-125243</v>
      </c>
      <c r="Y166" s="129">
        <v>0</v>
      </c>
      <c r="Z166" s="129">
        <v>0</v>
      </c>
      <c r="AA166" s="129">
        <v>0</v>
      </c>
      <c r="AB166" s="129">
        <v>-125243</v>
      </c>
      <c r="AC166" s="129">
        <v>0</v>
      </c>
      <c r="AD166" s="129">
        <v>-125243</v>
      </c>
      <c r="AE166" s="129">
        <v>125243</v>
      </c>
      <c r="AF166" s="129">
        <v>0</v>
      </c>
      <c r="AG166" s="129">
        <v>125243</v>
      </c>
      <c r="AH166" s="129">
        <v>-5825614</v>
      </c>
      <c r="AI166" s="129">
        <v>0</v>
      </c>
      <c r="AJ166" s="129">
        <v>-5825614</v>
      </c>
      <c r="AK166" s="129">
        <v>0</v>
      </c>
      <c r="AL166" s="129">
        <v>0</v>
      </c>
      <c r="AM166" s="129">
        <v>0</v>
      </c>
      <c r="AN166" s="129">
        <v>774671</v>
      </c>
      <c r="AO166" s="129">
        <v>0</v>
      </c>
      <c r="AP166" s="129">
        <v>774671</v>
      </c>
      <c r="AQ166" s="129">
        <v>-5050943</v>
      </c>
      <c r="AR166" s="129">
        <v>0</v>
      </c>
      <c r="AS166" s="129">
        <v>-5050943</v>
      </c>
      <c r="AT166" s="129">
        <v>-3473246</v>
      </c>
      <c r="AU166" s="129">
        <v>0</v>
      </c>
      <c r="AV166" s="129">
        <v>-3473246</v>
      </c>
      <c r="AW166" s="129">
        <v>-40955</v>
      </c>
      <c r="AX166" s="129">
        <v>0</v>
      </c>
      <c r="AY166" s="129">
        <v>-40955</v>
      </c>
      <c r="AZ166" s="129">
        <v>-14758</v>
      </c>
      <c r="BA166" s="129">
        <v>0</v>
      </c>
      <c r="BB166" s="129">
        <v>-14758</v>
      </c>
      <c r="BC166" s="129">
        <v>0</v>
      </c>
      <c r="BD166" s="129">
        <v>0</v>
      </c>
      <c r="BE166" s="129">
        <v>0</v>
      </c>
      <c r="BF166" s="129">
        <v>-8579902</v>
      </c>
      <c r="BG166" s="129">
        <v>0</v>
      </c>
      <c r="BH166" s="129">
        <v>0</v>
      </c>
      <c r="BI166" s="129">
        <v>0</v>
      </c>
      <c r="BJ166" s="129">
        <v>-8579902</v>
      </c>
      <c r="BK166" s="129">
        <v>0</v>
      </c>
      <c r="BL166" s="129">
        <v>-8579902</v>
      </c>
      <c r="BM166" s="129">
        <v>0</v>
      </c>
      <c r="BN166" s="129">
        <v>0</v>
      </c>
      <c r="BO166" s="129">
        <v>0</v>
      </c>
      <c r="BP166" s="129">
        <v>-912267</v>
      </c>
      <c r="BQ166" s="129">
        <v>0</v>
      </c>
      <c r="BR166" s="129">
        <v>-912267</v>
      </c>
      <c r="BS166" s="129">
        <v>-912267</v>
      </c>
      <c r="BT166" s="129">
        <v>0</v>
      </c>
      <c r="BU166" s="129">
        <v>0</v>
      </c>
      <c r="BV166" s="129">
        <v>0</v>
      </c>
      <c r="BW166" s="129">
        <v>-912267</v>
      </c>
      <c r="BX166" s="129">
        <v>0</v>
      </c>
      <c r="BY166" s="129">
        <v>-912267</v>
      </c>
      <c r="BZ166" s="129">
        <v>-83482</v>
      </c>
      <c r="CA166" s="129">
        <v>0</v>
      </c>
      <c r="CB166" s="129">
        <v>-83482</v>
      </c>
      <c r="CC166" s="129">
        <v>-15045</v>
      </c>
      <c r="CD166" s="129">
        <v>0</v>
      </c>
      <c r="CE166" s="129">
        <v>-15045</v>
      </c>
      <c r="CF166" s="129">
        <v>-5511</v>
      </c>
      <c r="CG166" s="129">
        <v>0</v>
      </c>
      <c r="CH166" s="129">
        <v>-5511</v>
      </c>
      <c r="CI166" s="129">
        <v>0</v>
      </c>
      <c r="CJ166" s="129">
        <v>0</v>
      </c>
      <c r="CK166" s="129">
        <v>0</v>
      </c>
      <c r="CL166" s="129">
        <v>-5376</v>
      </c>
      <c r="CM166" s="129">
        <v>0</v>
      </c>
      <c r="CN166" s="129">
        <v>-5376</v>
      </c>
      <c r="CO166" s="129">
        <v>0</v>
      </c>
      <c r="CP166" s="129">
        <v>0</v>
      </c>
      <c r="CQ166" s="129">
        <v>0</v>
      </c>
      <c r="CR166" s="129">
        <v>0</v>
      </c>
      <c r="CS166" s="129">
        <v>0</v>
      </c>
      <c r="CT166" s="129">
        <v>-109414</v>
      </c>
      <c r="CU166" s="129">
        <v>0</v>
      </c>
      <c r="CV166" s="129">
        <v>0</v>
      </c>
      <c r="CW166" s="129">
        <v>0</v>
      </c>
      <c r="CX166" s="129">
        <v>-109414</v>
      </c>
      <c r="CY166" s="129">
        <v>0</v>
      </c>
      <c r="CZ166" s="129">
        <v>-109414</v>
      </c>
      <c r="DA166" s="129">
        <v>-14758</v>
      </c>
      <c r="DB166" s="129">
        <v>0</v>
      </c>
      <c r="DC166" s="129">
        <v>-14758</v>
      </c>
      <c r="DD166" s="129">
        <v>-58546</v>
      </c>
      <c r="DE166" s="129">
        <v>0</v>
      </c>
      <c r="DF166" s="129">
        <v>-58546</v>
      </c>
      <c r="DG166" s="129">
        <v>0</v>
      </c>
      <c r="DH166" s="129">
        <v>0</v>
      </c>
      <c r="DI166" s="129">
        <v>0</v>
      </c>
      <c r="DJ166" s="129">
        <v>-73304</v>
      </c>
      <c r="DK166" s="129">
        <v>0</v>
      </c>
      <c r="DL166" s="129">
        <v>0</v>
      </c>
      <c r="DM166" s="129">
        <v>0</v>
      </c>
      <c r="DN166" s="129">
        <v>-73304</v>
      </c>
      <c r="DO166" s="129">
        <v>0</v>
      </c>
      <c r="DP166" s="129">
        <v>-73304</v>
      </c>
      <c r="DQ166" s="129">
        <v>37174790</v>
      </c>
      <c r="DR166" s="129">
        <v>0</v>
      </c>
      <c r="DS166" s="129">
        <v>37174790</v>
      </c>
      <c r="DT166" s="662" t="s">
        <v>198</v>
      </c>
      <c r="DU166" s="324" t="s">
        <v>562</v>
      </c>
      <c r="DV166" s="663" t="s">
        <v>519</v>
      </c>
      <c r="DW166" s="529" t="s">
        <v>1373</v>
      </c>
    </row>
    <row r="167" spans="1:127" ht="12.75" x14ac:dyDescent="0.2">
      <c r="A167" s="664">
        <v>160</v>
      </c>
      <c r="B167" s="665" t="s">
        <v>201</v>
      </c>
      <c r="C167" s="666" t="s">
        <v>1213</v>
      </c>
      <c r="D167" s="667" t="s">
        <v>1214</v>
      </c>
      <c r="E167" s="668" t="s">
        <v>200</v>
      </c>
      <c r="F167" s="753" t="s">
        <v>1904</v>
      </c>
      <c r="G167" s="129">
        <v>212460374</v>
      </c>
      <c r="H167" s="129">
        <v>0</v>
      </c>
      <c r="I167" s="129">
        <v>212460374</v>
      </c>
      <c r="J167" s="793">
        <v>49.9</v>
      </c>
      <c r="K167" s="129">
        <v>106017727</v>
      </c>
      <c r="L167" s="129">
        <v>0</v>
      </c>
      <c r="M167" s="129">
        <v>0</v>
      </c>
      <c r="N167" s="129">
        <v>0</v>
      </c>
      <c r="O167" s="129">
        <v>106017727</v>
      </c>
      <c r="P167" s="129">
        <v>0</v>
      </c>
      <c r="Q167" s="129">
        <v>106017727</v>
      </c>
      <c r="R167" s="129">
        <v>-84861</v>
      </c>
      <c r="S167" s="129">
        <v>0</v>
      </c>
      <c r="T167" s="129">
        <v>-84861</v>
      </c>
      <c r="U167" s="129">
        <v>328282</v>
      </c>
      <c r="V167" s="129">
        <v>0</v>
      </c>
      <c r="W167" s="129">
        <v>328282</v>
      </c>
      <c r="X167" s="129">
        <v>243421</v>
      </c>
      <c r="Y167" s="129">
        <v>0</v>
      </c>
      <c r="Z167" s="129">
        <v>0</v>
      </c>
      <c r="AA167" s="129">
        <v>0</v>
      </c>
      <c r="AB167" s="129">
        <v>243421</v>
      </c>
      <c r="AC167" s="129">
        <v>0</v>
      </c>
      <c r="AD167" s="129">
        <v>243421</v>
      </c>
      <c r="AE167" s="129">
        <v>-243421</v>
      </c>
      <c r="AF167" s="129">
        <v>0</v>
      </c>
      <c r="AG167" s="129">
        <v>-243421</v>
      </c>
      <c r="AH167" s="129">
        <v>-5330466</v>
      </c>
      <c r="AI167" s="129">
        <v>0</v>
      </c>
      <c r="AJ167" s="129">
        <v>-5330466</v>
      </c>
      <c r="AK167" s="129">
        <v>0</v>
      </c>
      <c r="AL167" s="129">
        <v>0</v>
      </c>
      <c r="AM167" s="129">
        <v>0</v>
      </c>
      <c r="AN167" s="129">
        <v>2145805</v>
      </c>
      <c r="AO167" s="129">
        <v>0</v>
      </c>
      <c r="AP167" s="129">
        <v>2145805</v>
      </c>
      <c r="AQ167" s="129">
        <v>-3184661</v>
      </c>
      <c r="AR167" s="129">
        <v>0</v>
      </c>
      <c r="AS167" s="129">
        <v>-3184661</v>
      </c>
      <c r="AT167" s="129">
        <v>-6603063</v>
      </c>
      <c r="AU167" s="129">
        <v>0</v>
      </c>
      <c r="AV167" s="129">
        <v>-6603063</v>
      </c>
      <c r="AW167" s="129">
        <v>-121037</v>
      </c>
      <c r="AX167" s="129">
        <v>0</v>
      </c>
      <c r="AY167" s="129">
        <v>-121037</v>
      </c>
      <c r="AZ167" s="129">
        <v>0</v>
      </c>
      <c r="BA167" s="129">
        <v>0</v>
      </c>
      <c r="BB167" s="129">
        <v>0</v>
      </c>
      <c r="BC167" s="129">
        <v>0</v>
      </c>
      <c r="BD167" s="129">
        <v>0</v>
      </c>
      <c r="BE167" s="129">
        <v>0</v>
      </c>
      <c r="BF167" s="129">
        <v>-9908761</v>
      </c>
      <c r="BG167" s="129">
        <v>0</v>
      </c>
      <c r="BH167" s="129">
        <v>0</v>
      </c>
      <c r="BI167" s="129">
        <v>0</v>
      </c>
      <c r="BJ167" s="129">
        <v>-9908761</v>
      </c>
      <c r="BK167" s="129">
        <v>0</v>
      </c>
      <c r="BL167" s="129">
        <v>-9908761</v>
      </c>
      <c r="BM167" s="129">
        <v>-50000</v>
      </c>
      <c r="BN167" s="129">
        <v>0</v>
      </c>
      <c r="BO167" s="129">
        <v>-50000</v>
      </c>
      <c r="BP167" s="129">
        <v>-1509471</v>
      </c>
      <c r="BQ167" s="129">
        <v>0</v>
      </c>
      <c r="BR167" s="129">
        <v>-1509471</v>
      </c>
      <c r="BS167" s="129">
        <v>-1559471</v>
      </c>
      <c r="BT167" s="129">
        <v>0</v>
      </c>
      <c r="BU167" s="129">
        <v>-300000</v>
      </c>
      <c r="BV167" s="129">
        <v>0</v>
      </c>
      <c r="BW167" s="129">
        <v>-1859471</v>
      </c>
      <c r="BX167" s="129">
        <v>0</v>
      </c>
      <c r="BY167" s="129">
        <v>-1859471</v>
      </c>
      <c r="BZ167" s="129">
        <v>-179541</v>
      </c>
      <c r="CA167" s="129">
        <v>0</v>
      </c>
      <c r="CB167" s="129">
        <v>-179541</v>
      </c>
      <c r="CC167" s="129">
        <v>-38135</v>
      </c>
      <c r="CD167" s="129">
        <v>0</v>
      </c>
      <c r="CE167" s="129">
        <v>-38135</v>
      </c>
      <c r="CF167" s="129">
        <v>-2583</v>
      </c>
      <c r="CG167" s="129">
        <v>0</v>
      </c>
      <c r="CH167" s="129">
        <v>-2583</v>
      </c>
      <c r="CI167" s="129">
        <v>0</v>
      </c>
      <c r="CJ167" s="129">
        <v>0</v>
      </c>
      <c r="CK167" s="129">
        <v>0</v>
      </c>
      <c r="CL167" s="129">
        <v>0</v>
      </c>
      <c r="CM167" s="129">
        <v>0</v>
      </c>
      <c r="CN167" s="129">
        <v>0</v>
      </c>
      <c r="CO167" s="129">
        <v>0</v>
      </c>
      <c r="CP167" s="129">
        <v>0</v>
      </c>
      <c r="CQ167" s="129">
        <v>0</v>
      </c>
      <c r="CR167" s="129">
        <v>0</v>
      </c>
      <c r="CS167" s="129">
        <v>0</v>
      </c>
      <c r="CT167" s="129">
        <v>-220259</v>
      </c>
      <c r="CU167" s="129">
        <v>0</v>
      </c>
      <c r="CV167" s="129">
        <v>0</v>
      </c>
      <c r="CW167" s="129">
        <v>0</v>
      </c>
      <c r="CX167" s="129">
        <v>-220259</v>
      </c>
      <c r="CY167" s="129">
        <v>0</v>
      </c>
      <c r="CZ167" s="129">
        <v>-220259</v>
      </c>
      <c r="DA167" s="129">
        <v>0</v>
      </c>
      <c r="DB167" s="129">
        <v>0</v>
      </c>
      <c r="DC167" s="129">
        <v>0</v>
      </c>
      <c r="DD167" s="129">
        <v>-15906</v>
      </c>
      <c r="DE167" s="129">
        <v>0</v>
      </c>
      <c r="DF167" s="129">
        <v>-15906</v>
      </c>
      <c r="DG167" s="129">
        <v>0</v>
      </c>
      <c r="DH167" s="129">
        <v>0</v>
      </c>
      <c r="DI167" s="129">
        <v>0</v>
      </c>
      <c r="DJ167" s="129">
        <v>-15906</v>
      </c>
      <c r="DK167" s="129">
        <v>0</v>
      </c>
      <c r="DL167" s="129">
        <v>0</v>
      </c>
      <c r="DM167" s="129">
        <v>0</v>
      </c>
      <c r="DN167" s="129">
        <v>-15906</v>
      </c>
      <c r="DO167" s="129">
        <v>0</v>
      </c>
      <c r="DP167" s="129">
        <v>-15906</v>
      </c>
      <c r="DQ167" s="129">
        <v>94256751</v>
      </c>
      <c r="DR167" s="129">
        <v>0</v>
      </c>
      <c r="DS167" s="129">
        <v>94256751</v>
      </c>
      <c r="DT167" s="662" t="s">
        <v>200</v>
      </c>
      <c r="DU167" s="324" t="s">
        <v>576</v>
      </c>
      <c r="DV167" s="669" t="s">
        <v>485</v>
      </c>
      <c r="DW167" s="529" t="s">
        <v>1374</v>
      </c>
    </row>
    <row r="168" spans="1:127" ht="12.75" x14ac:dyDescent="0.2">
      <c r="A168" s="664">
        <v>161</v>
      </c>
      <c r="B168" s="665" t="s">
        <v>203</v>
      </c>
      <c r="C168" s="666" t="s">
        <v>1201</v>
      </c>
      <c r="D168" s="667" t="s">
        <v>1224</v>
      </c>
      <c r="E168" s="668" t="s">
        <v>202</v>
      </c>
      <c r="F168" s="753" t="s">
        <v>1882</v>
      </c>
      <c r="G168" s="129">
        <v>45590192</v>
      </c>
      <c r="H168" s="129">
        <v>0</v>
      </c>
      <c r="I168" s="129">
        <v>45590192</v>
      </c>
      <c r="J168" s="793">
        <v>49.9</v>
      </c>
      <c r="K168" s="129">
        <v>22749506</v>
      </c>
      <c r="L168" s="129">
        <v>0</v>
      </c>
      <c r="M168" s="129">
        <v>372234</v>
      </c>
      <c r="N168" s="129">
        <v>0</v>
      </c>
      <c r="O168" s="129">
        <v>23121740</v>
      </c>
      <c r="P168" s="129">
        <v>0</v>
      </c>
      <c r="Q168" s="129">
        <v>23121740</v>
      </c>
      <c r="R168" s="129">
        <v>-108778</v>
      </c>
      <c r="S168" s="129">
        <v>0</v>
      </c>
      <c r="T168" s="129">
        <v>-108778</v>
      </c>
      <c r="U168" s="129">
        <v>72850</v>
      </c>
      <c r="V168" s="129">
        <v>0</v>
      </c>
      <c r="W168" s="129">
        <v>72850</v>
      </c>
      <c r="X168" s="129">
        <v>-35928</v>
      </c>
      <c r="Y168" s="129">
        <v>0</v>
      </c>
      <c r="Z168" s="129">
        <v>0</v>
      </c>
      <c r="AA168" s="129">
        <v>0</v>
      </c>
      <c r="AB168" s="129">
        <v>-35928</v>
      </c>
      <c r="AC168" s="129">
        <v>0</v>
      </c>
      <c r="AD168" s="129">
        <v>-35928</v>
      </c>
      <c r="AE168" s="129">
        <v>35928</v>
      </c>
      <c r="AF168" s="129">
        <v>0</v>
      </c>
      <c r="AG168" s="129">
        <v>35928</v>
      </c>
      <c r="AH168" s="129">
        <v>-4483868</v>
      </c>
      <c r="AI168" s="129">
        <v>0</v>
      </c>
      <c r="AJ168" s="129">
        <v>-4483868</v>
      </c>
      <c r="AK168" s="129">
        <v>0</v>
      </c>
      <c r="AL168" s="129">
        <v>0</v>
      </c>
      <c r="AM168" s="129">
        <v>0</v>
      </c>
      <c r="AN168" s="129">
        <v>304287</v>
      </c>
      <c r="AO168" s="129">
        <v>0</v>
      </c>
      <c r="AP168" s="129">
        <v>304287</v>
      </c>
      <c r="AQ168" s="129">
        <v>-4179581</v>
      </c>
      <c r="AR168" s="129">
        <v>0</v>
      </c>
      <c r="AS168" s="129">
        <v>-4179581</v>
      </c>
      <c r="AT168" s="129">
        <v>-1653746</v>
      </c>
      <c r="AU168" s="129">
        <v>0</v>
      </c>
      <c r="AV168" s="129">
        <v>-1653746</v>
      </c>
      <c r="AW168" s="129">
        <v>-36594</v>
      </c>
      <c r="AX168" s="129">
        <v>0</v>
      </c>
      <c r="AY168" s="129">
        <v>-36594</v>
      </c>
      <c r="AZ168" s="129">
        <v>-30385</v>
      </c>
      <c r="BA168" s="129">
        <v>0</v>
      </c>
      <c r="BB168" s="129">
        <v>-30385</v>
      </c>
      <c r="BC168" s="129">
        <v>0</v>
      </c>
      <c r="BD168" s="129">
        <v>0</v>
      </c>
      <c r="BE168" s="129">
        <v>0</v>
      </c>
      <c r="BF168" s="129">
        <v>-5900306</v>
      </c>
      <c r="BG168" s="129">
        <v>0</v>
      </c>
      <c r="BH168" s="129">
        <v>-25000</v>
      </c>
      <c r="BI168" s="129">
        <v>0</v>
      </c>
      <c r="BJ168" s="129">
        <v>-5925306</v>
      </c>
      <c r="BK168" s="129">
        <v>0</v>
      </c>
      <c r="BL168" s="129">
        <v>-5925306</v>
      </c>
      <c r="BM168" s="129">
        <v>0</v>
      </c>
      <c r="BN168" s="129">
        <v>0</v>
      </c>
      <c r="BO168" s="129">
        <v>0</v>
      </c>
      <c r="BP168" s="129">
        <v>-383873</v>
      </c>
      <c r="BQ168" s="129">
        <v>0</v>
      </c>
      <c r="BR168" s="129">
        <v>-383873</v>
      </c>
      <c r="BS168" s="129">
        <v>-383873</v>
      </c>
      <c r="BT168" s="129">
        <v>0</v>
      </c>
      <c r="BU168" s="129">
        <v>-200000</v>
      </c>
      <c r="BV168" s="129">
        <v>0</v>
      </c>
      <c r="BW168" s="129">
        <v>-583873</v>
      </c>
      <c r="BX168" s="129">
        <v>0</v>
      </c>
      <c r="BY168" s="129">
        <v>-583873</v>
      </c>
      <c r="BZ168" s="129">
        <v>-80472</v>
      </c>
      <c r="CA168" s="129">
        <v>0</v>
      </c>
      <c r="CB168" s="129">
        <v>-80472</v>
      </c>
      <c r="CC168" s="129">
        <v>-11043</v>
      </c>
      <c r="CD168" s="129">
        <v>0</v>
      </c>
      <c r="CE168" s="129">
        <v>-11043</v>
      </c>
      <c r="CF168" s="129">
        <v>0</v>
      </c>
      <c r="CG168" s="129">
        <v>0</v>
      </c>
      <c r="CH168" s="129">
        <v>0</v>
      </c>
      <c r="CI168" s="129">
        <v>0</v>
      </c>
      <c r="CJ168" s="129">
        <v>0</v>
      </c>
      <c r="CK168" s="129">
        <v>0</v>
      </c>
      <c r="CL168" s="129">
        <v>-4260</v>
      </c>
      <c r="CM168" s="129">
        <v>0</v>
      </c>
      <c r="CN168" s="129">
        <v>-4260</v>
      </c>
      <c r="CO168" s="129">
        <v>0</v>
      </c>
      <c r="CP168" s="129">
        <v>0</v>
      </c>
      <c r="CQ168" s="129">
        <v>0</v>
      </c>
      <c r="CR168" s="129">
        <v>0</v>
      </c>
      <c r="CS168" s="129">
        <v>0</v>
      </c>
      <c r="CT168" s="129">
        <v>-95775</v>
      </c>
      <c r="CU168" s="129">
        <v>0</v>
      </c>
      <c r="CV168" s="129">
        <v>-10000</v>
      </c>
      <c r="CW168" s="129">
        <v>0</v>
      </c>
      <c r="CX168" s="129">
        <v>-105775</v>
      </c>
      <c r="CY168" s="129">
        <v>0</v>
      </c>
      <c r="CZ168" s="129">
        <v>-105775</v>
      </c>
      <c r="DA168" s="129">
        <v>-30385</v>
      </c>
      <c r="DB168" s="129">
        <v>0</v>
      </c>
      <c r="DC168" s="129">
        <v>-30385</v>
      </c>
      <c r="DD168" s="129">
        <v>-10000</v>
      </c>
      <c r="DE168" s="129">
        <v>0</v>
      </c>
      <c r="DF168" s="129">
        <v>-10000</v>
      </c>
      <c r="DG168" s="129">
        <v>0</v>
      </c>
      <c r="DH168" s="129">
        <v>0</v>
      </c>
      <c r="DI168" s="129">
        <v>0</v>
      </c>
      <c r="DJ168" s="129">
        <v>-40385</v>
      </c>
      <c r="DK168" s="129">
        <v>0</v>
      </c>
      <c r="DL168" s="129">
        <v>0</v>
      </c>
      <c r="DM168" s="129">
        <v>0</v>
      </c>
      <c r="DN168" s="129">
        <v>-40385</v>
      </c>
      <c r="DO168" s="129">
        <v>0</v>
      </c>
      <c r="DP168" s="129">
        <v>-40385</v>
      </c>
      <c r="DQ168" s="129">
        <v>16430473</v>
      </c>
      <c r="DR168" s="129">
        <v>0</v>
      </c>
      <c r="DS168" s="129">
        <v>16430473</v>
      </c>
      <c r="DT168" s="662" t="s">
        <v>202</v>
      </c>
      <c r="DU168" s="324" t="s">
        <v>521</v>
      </c>
      <c r="DV168" s="663" t="s">
        <v>519</v>
      </c>
      <c r="DW168" s="529" t="s">
        <v>1375</v>
      </c>
    </row>
    <row r="169" spans="1:127" ht="12.75" x14ac:dyDescent="0.2">
      <c r="A169" s="664">
        <v>162</v>
      </c>
      <c r="B169" s="665" t="s">
        <v>205</v>
      </c>
      <c r="C169" s="666" t="s">
        <v>1201</v>
      </c>
      <c r="D169" s="667" t="s">
        <v>1211</v>
      </c>
      <c r="E169" s="668" t="s">
        <v>204</v>
      </c>
      <c r="F169" s="753" t="s">
        <v>1879</v>
      </c>
      <c r="G169" s="129">
        <v>68439377</v>
      </c>
      <c r="H169" s="129">
        <v>0</v>
      </c>
      <c r="I169" s="129">
        <v>68439377</v>
      </c>
      <c r="J169" s="793">
        <v>49.9</v>
      </c>
      <c r="K169" s="129">
        <v>34151249</v>
      </c>
      <c r="L169" s="129">
        <v>0</v>
      </c>
      <c r="M169" s="129">
        <v>239573</v>
      </c>
      <c r="N169" s="129">
        <v>0</v>
      </c>
      <c r="O169" s="129">
        <v>34390822</v>
      </c>
      <c r="P169" s="129">
        <v>0</v>
      </c>
      <c r="Q169" s="129">
        <v>34390822</v>
      </c>
      <c r="R169" s="129">
        <v>-111266</v>
      </c>
      <c r="S169" s="129">
        <v>0</v>
      </c>
      <c r="T169" s="129">
        <v>-111266</v>
      </c>
      <c r="U169" s="129">
        <v>7077</v>
      </c>
      <c r="V169" s="129">
        <v>0</v>
      </c>
      <c r="W169" s="129">
        <v>7077</v>
      </c>
      <c r="X169" s="129">
        <v>-104189</v>
      </c>
      <c r="Y169" s="129">
        <v>0</v>
      </c>
      <c r="Z169" s="129">
        <v>0</v>
      </c>
      <c r="AA169" s="129">
        <v>0</v>
      </c>
      <c r="AB169" s="129">
        <v>-104189</v>
      </c>
      <c r="AC169" s="129">
        <v>0</v>
      </c>
      <c r="AD169" s="129">
        <v>-104189</v>
      </c>
      <c r="AE169" s="129">
        <v>104189</v>
      </c>
      <c r="AF169" s="129">
        <v>0</v>
      </c>
      <c r="AG169" s="129">
        <v>104189</v>
      </c>
      <c r="AH169" s="129">
        <v>-3959631</v>
      </c>
      <c r="AI169" s="129">
        <v>0</v>
      </c>
      <c r="AJ169" s="129">
        <v>-3959631</v>
      </c>
      <c r="AK169" s="129">
        <v>-22147</v>
      </c>
      <c r="AL169" s="129">
        <v>0</v>
      </c>
      <c r="AM169" s="129">
        <v>-22147</v>
      </c>
      <c r="AN169" s="129">
        <v>572325</v>
      </c>
      <c r="AO169" s="129">
        <v>0</v>
      </c>
      <c r="AP169" s="129">
        <v>572325</v>
      </c>
      <c r="AQ169" s="129">
        <v>-3387306</v>
      </c>
      <c r="AR169" s="129">
        <v>0</v>
      </c>
      <c r="AS169" s="129">
        <v>-3387306</v>
      </c>
      <c r="AT169" s="129">
        <v>-1915074</v>
      </c>
      <c r="AU169" s="129">
        <v>0</v>
      </c>
      <c r="AV169" s="129">
        <v>-1915074</v>
      </c>
      <c r="AW169" s="129">
        <v>-79458</v>
      </c>
      <c r="AX169" s="129">
        <v>0</v>
      </c>
      <c r="AY169" s="129">
        <v>-79458</v>
      </c>
      <c r="AZ169" s="129">
        <v>-51035</v>
      </c>
      <c r="BA169" s="129">
        <v>0</v>
      </c>
      <c r="BB169" s="129">
        <v>-51035</v>
      </c>
      <c r="BC169" s="129">
        <v>0</v>
      </c>
      <c r="BD169" s="129">
        <v>0</v>
      </c>
      <c r="BE169" s="129">
        <v>0</v>
      </c>
      <c r="BF169" s="129">
        <v>-5432873</v>
      </c>
      <c r="BG169" s="129">
        <v>0</v>
      </c>
      <c r="BH169" s="129">
        <v>-33792</v>
      </c>
      <c r="BI169" s="129">
        <v>0</v>
      </c>
      <c r="BJ169" s="129">
        <v>-5466665</v>
      </c>
      <c r="BK169" s="129">
        <v>0</v>
      </c>
      <c r="BL169" s="129">
        <v>-5466665</v>
      </c>
      <c r="BM169" s="129">
        <v>0</v>
      </c>
      <c r="BN169" s="129">
        <v>0</v>
      </c>
      <c r="BO169" s="129">
        <v>0</v>
      </c>
      <c r="BP169" s="129">
        <v>-497010</v>
      </c>
      <c r="BQ169" s="129">
        <v>0</v>
      </c>
      <c r="BR169" s="129">
        <v>-497010</v>
      </c>
      <c r="BS169" s="129">
        <v>-497010</v>
      </c>
      <c r="BT169" s="129">
        <v>0</v>
      </c>
      <c r="BU169" s="129">
        <v>-200000</v>
      </c>
      <c r="BV169" s="129">
        <v>0</v>
      </c>
      <c r="BW169" s="129">
        <v>-697010</v>
      </c>
      <c r="BX169" s="129">
        <v>0</v>
      </c>
      <c r="BY169" s="129">
        <v>-697010</v>
      </c>
      <c r="BZ169" s="129">
        <v>-172638</v>
      </c>
      <c r="CA169" s="129">
        <v>0</v>
      </c>
      <c r="CB169" s="129">
        <v>-172638</v>
      </c>
      <c r="CC169" s="129">
        <v>-31909</v>
      </c>
      <c r="CD169" s="129">
        <v>0</v>
      </c>
      <c r="CE169" s="129">
        <v>-31909</v>
      </c>
      <c r="CF169" s="129">
        <v>-17008</v>
      </c>
      <c r="CG169" s="129">
        <v>0</v>
      </c>
      <c r="CH169" s="129">
        <v>-17008</v>
      </c>
      <c r="CI169" s="129">
        <v>0</v>
      </c>
      <c r="CJ169" s="129">
        <v>0</v>
      </c>
      <c r="CK169" s="129">
        <v>0</v>
      </c>
      <c r="CL169" s="129">
        <v>-21881</v>
      </c>
      <c r="CM169" s="129">
        <v>0</v>
      </c>
      <c r="CN169" s="129">
        <v>-21881</v>
      </c>
      <c r="CO169" s="129">
        <v>0</v>
      </c>
      <c r="CP169" s="129">
        <v>0</v>
      </c>
      <c r="CQ169" s="129">
        <v>0</v>
      </c>
      <c r="CR169" s="129">
        <v>0</v>
      </c>
      <c r="CS169" s="129">
        <v>0</v>
      </c>
      <c r="CT169" s="129">
        <v>-243436</v>
      </c>
      <c r="CU169" s="129">
        <v>0</v>
      </c>
      <c r="CV169" s="129">
        <v>0</v>
      </c>
      <c r="CW169" s="129">
        <v>0</v>
      </c>
      <c r="CX169" s="129">
        <v>-243436</v>
      </c>
      <c r="CY169" s="129">
        <v>0</v>
      </c>
      <c r="CZ169" s="129">
        <v>-243436</v>
      </c>
      <c r="DA169" s="129">
        <v>-51035</v>
      </c>
      <c r="DB169" s="129">
        <v>0</v>
      </c>
      <c r="DC169" s="129">
        <v>-51035</v>
      </c>
      <c r="DD169" s="129">
        <v>-52310</v>
      </c>
      <c r="DE169" s="129">
        <v>0</v>
      </c>
      <c r="DF169" s="129">
        <v>-52310</v>
      </c>
      <c r="DG169" s="129">
        <v>0</v>
      </c>
      <c r="DH169" s="129">
        <v>0</v>
      </c>
      <c r="DI169" s="129">
        <v>0</v>
      </c>
      <c r="DJ169" s="129">
        <v>-103345</v>
      </c>
      <c r="DK169" s="129">
        <v>0</v>
      </c>
      <c r="DL169" s="129">
        <v>0</v>
      </c>
      <c r="DM169" s="129">
        <v>0</v>
      </c>
      <c r="DN169" s="129">
        <v>-103345</v>
      </c>
      <c r="DO169" s="129">
        <v>0</v>
      </c>
      <c r="DP169" s="129">
        <v>-103345</v>
      </c>
      <c r="DQ169" s="129">
        <v>27776177</v>
      </c>
      <c r="DR169" s="129">
        <v>0</v>
      </c>
      <c r="DS169" s="129">
        <v>27776177</v>
      </c>
      <c r="DT169" s="662" t="s">
        <v>204</v>
      </c>
      <c r="DU169" s="324" t="s">
        <v>565</v>
      </c>
      <c r="DV169" s="663" t="s">
        <v>512</v>
      </c>
      <c r="DW169" s="529" t="s">
        <v>1376</v>
      </c>
    </row>
    <row r="170" spans="1:127" ht="12.75" x14ac:dyDescent="0.2">
      <c r="A170" s="664">
        <v>163</v>
      </c>
      <c r="B170" s="665" t="s">
        <v>207</v>
      </c>
      <c r="C170" s="666" t="s">
        <v>1201</v>
      </c>
      <c r="D170" s="667" t="s">
        <v>1202</v>
      </c>
      <c r="E170" s="668" t="s">
        <v>206</v>
      </c>
      <c r="F170" s="753" t="s">
        <v>1889</v>
      </c>
      <c r="G170" s="129">
        <v>124425170</v>
      </c>
      <c r="H170" s="129">
        <v>0</v>
      </c>
      <c r="I170" s="129">
        <v>124425170</v>
      </c>
      <c r="J170" s="793">
        <v>49.9</v>
      </c>
      <c r="K170" s="129">
        <v>62088160</v>
      </c>
      <c r="L170" s="129">
        <v>0</v>
      </c>
      <c r="M170" s="129">
        <v>620881</v>
      </c>
      <c r="N170" s="129">
        <v>0</v>
      </c>
      <c r="O170" s="129">
        <v>62709041</v>
      </c>
      <c r="P170" s="129">
        <v>0</v>
      </c>
      <c r="Q170" s="129">
        <v>62709041</v>
      </c>
      <c r="R170" s="129">
        <v>-159854</v>
      </c>
      <c r="S170" s="129">
        <v>0</v>
      </c>
      <c r="T170" s="129">
        <v>-159854</v>
      </c>
      <c r="U170" s="129">
        <v>48656</v>
      </c>
      <c r="V170" s="129">
        <v>0</v>
      </c>
      <c r="W170" s="129">
        <v>48656</v>
      </c>
      <c r="X170" s="129">
        <v>-111198</v>
      </c>
      <c r="Y170" s="129">
        <v>0</v>
      </c>
      <c r="Z170" s="129">
        <v>0</v>
      </c>
      <c r="AA170" s="129">
        <v>0</v>
      </c>
      <c r="AB170" s="129">
        <v>-111198</v>
      </c>
      <c r="AC170" s="129">
        <v>0</v>
      </c>
      <c r="AD170" s="129">
        <v>-111198</v>
      </c>
      <c r="AE170" s="129">
        <v>111198</v>
      </c>
      <c r="AF170" s="129">
        <v>0</v>
      </c>
      <c r="AG170" s="129">
        <v>111198</v>
      </c>
      <c r="AH170" s="129">
        <v>-5028063</v>
      </c>
      <c r="AI170" s="129">
        <v>0</v>
      </c>
      <c r="AJ170" s="129">
        <v>-5028063</v>
      </c>
      <c r="AK170" s="129">
        <v>0</v>
      </c>
      <c r="AL170" s="129">
        <v>0</v>
      </c>
      <c r="AM170" s="129">
        <v>0</v>
      </c>
      <c r="AN170" s="129">
        <v>1064015</v>
      </c>
      <c r="AO170" s="129">
        <v>0</v>
      </c>
      <c r="AP170" s="129">
        <v>1064015</v>
      </c>
      <c r="AQ170" s="129">
        <v>-3964048</v>
      </c>
      <c r="AR170" s="129">
        <v>0</v>
      </c>
      <c r="AS170" s="129">
        <v>-3964048</v>
      </c>
      <c r="AT170" s="129">
        <v>-4568827</v>
      </c>
      <c r="AU170" s="129">
        <v>0</v>
      </c>
      <c r="AV170" s="129">
        <v>-4568827</v>
      </c>
      <c r="AW170" s="129">
        <v>-60099</v>
      </c>
      <c r="AX170" s="129">
        <v>0</v>
      </c>
      <c r="AY170" s="129">
        <v>-60099</v>
      </c>
      <c r="AZ170" s="129">
        <v>-5950</v>
      </c>
      <c r="BA170" s="129">
        <v>0</v>
      </c>
      <c r="BB170" s="129">
        <v>-5950</v>
      </c>
      <c r="BC170" s="129">
        <v>0</v>
      </c>
      <c r="BD170" s="129">
        <v>0</v>
      </c>
      <c r="BE170" s="129">
        <v>0</v>
      </c>
      <c r="BF170" s="129">
        <v>-8598924</v>
      </c>
      <c r="BG170" s="129">
        <v>0</v>
      </c>
      <c r="BH170" s="129">
        <v>0</v>
      </c>
      <c r="BI170" s="129">
        <v>0</v>
      </c>
      <c r="BJ170" s="129">
        <v>-8598924</v>
      </c>
      <c r="BK170" s="129">
        <v>0</v>
      </c>
      <c r="BL170" s="129">
        <v>-8598924</v>
      </c>
      <c r="BM170" s="129">
        <v>0</v>
      </c>
      <c r="BN170" s="129">
        <v>0</v>
      </c>
      <c r="BO170" s="129">
        <v>0</v>
      </c>
      <c r="BP170" s="129">
        <v>-628149</v>
      </c>
      <c r="BQ170" s="129">
        <v>0</v>
      </c>
      <c r="BR170" s="129">
        <v>-628149</v>
      </c>
      <c r="BS170" s="129">
        <v>-628149</v>
      </c>
      <c r="BT170" s="129">
        <v>0</v>
      </c>
      <c r="BU170" s="129">
        <v>0</v>
      </c>
      <c r="BV170" s="129">
        <v>0</v>
      </c>
      <c r="BW170" s="129">
        <v>-628149</v>
      </c>
      <c r="BX170" s="129">
        <v>0</v>
      </c>
      <c r="BY170" s="129">
        <v>-628149</v>
      </c>
      <c r="BZ170" s="129">
        <v>0</v>
      </c>
      <c r="CA170" s="129">
        <v>0</v>
      </c>
      <c r="CB170" s="129">
        <v>0</v>
      </c>
      <c r="CC170" s="129">
        <v>0</v>
      </c>
      <c r="CD170" s="129">
        <v>0</v>
      </c>
      <c r="CE170" s="129">
        <v>0</v>
      </c>
      <c r="CF170" s="129">
        <v>0</v>
      </c>
      <c r="CG170" s="129">
        <v>0</v>
      </c>
      <c r="CH170" s="129">
        <v>0</v>
      </c>
      <c r="CI170" s="129">
        <v>0</v>
      </c>
      <c r="CJ170" s="129">
        <v>0</v>
      </c>
      <c r="CK170" s="129">
        <v>0</v>
      </c>
      <c r="CL170" s="129">
        <v>0</v>
      </c>
      <c r="CM170" s="129">
        <v>0</v>
      </c>
      <c r="CN170" s="129">
        <v>0</v>
      </c>
      <c r="CO170" s="129">
        <v>0</v>
      </c>
      <c r="CP170" s="129">
        <v>0</v>
      </c>
      <c r="CQ170" s="129">
        <v>0</v>
      </c>
      <c r="CR170" s="129">
        <v>0</v>
      </c>
      <c r="CS170" s="129">
        <v>0</v>
      </c>
      <c r="CT170" s="129">
        <v>0</v>
      </c>
      <c r="CU170" s="129">
        <v>0</v>
      </c>
      <c r="CV170" s="129">
        <v>0</v>
      </c>
      <c r="CW170" s="129">
        <v>0</v>
      </c>
      <c r="CX170" s="129">
        <v>0</v>
      </c>
      <c r="CY170" s="129">
        <v>0</v>
      </c>
      <c r="CZ170" s="129">
        <v>0</v>
      </c>
      <c r="DA170" s="129">
        <v>-5831</v>
      </c>
      <c r="DB170" s="129">
        <v>0</v>
      </c>
      <c r="DC170" s="129">
        <v>-5831</v>
      </c>
      <c r="DD170" s="129">
        <v>-44300</v>
      </c>
      <c r="DE170" s="129">
        <v>0</v>
      </c>
      <c r="DF170" s="129">
        <v>-44300</v>
      </c>
      <c r="DG170" s="129">
        <v>0</v>
      </c>
      <c r="DH170" s="129">
        <v>0</v>
      </c>
      <c r="DI170" s="129">
        <v>0</v>
      </c>
      <c r="DJ170" s="129">
        <v>-50131</v>
      </c>
      <c r="DK170" s="129">
        <v>0</v>
      </c>
      <c r="DL170" s="129">
        <v>0</v>
      </c>
      <c r="DM170" s="129">
        <v>0</v>
      </c>
      <c r="DN170" s="129">
        <v>-50131</v>
      </c>
      <c r="DO170" s="129">
        <v>0</v>
      </c>
      <c r="DP170" s="129">
        <v>-50131</v>
      </c>
      <c r="DQ170" s="129">
        <v>53320639</v>
      </c>
      <c r="DR170" s="129">
        <v>0</v>
      </c>
      <c r="DS170" s="129">
        <v>53320639</v>
      </c>
      <c r="DT170" s="662" t="s">
        <v>206</v>
      </c>
      <c r="DU170" s="324" t="s">
        <v>568</v>
      </c>
      <c r="DV170" s="663" t="s">
        <v>512</v>
      </c>
      <c r="DW170" s="529" t="s">
        <v>1377</v>
      </c>
    </row>
    <row r="171" spans="1:127" ht="12.75" x14ac:dyDescent="0.2">
      <c r="A171" s="664">
        <v>164</v>
      </c>
      <c r="B171" s="665" t="s">
        <v>209</v>
      </c>
      <c r="C171" s="666" t="s">
        <v>486</v>
      </c>
      <c r="D171" s="667" t="s">
        <v>1283</v>
      </c>
      <c r="E171" s="668" t="s">
        <v>510</v>
      </c>
      <c r="F171" s="753" t="s">
        <v>1879</v>
      </c>
      <c r="G171" s="129">
        <v>95112324</v>
      </c>
      <c r="H171" s="129">
        <v>7593185</v>
      </c>
      <c r="I171" s="129">
        <v>102705509</v>
      </c>
      <c r="J171" s="793">
        <v>49.9</v>
      </c>
      <c r="K171" s="129">
        <v>47461050</v>
      </c>
      <c r="L171" s="129">
        <v>3788999</v>
      </c>
      <c r="M171" s="129">
        <v>0</v>
      </c>
      <c r="N171" s="129">
        <v>0</v>
      </c>
      <c r="O171" s="129">
        <v>47461050</v>
      </c>
      <c r="P171" s="129">
        <v>3788999</v>
      </c>
      <c r="Q171" s="129">
        <v>51250049</v>
      </c>
      <c r="R171" s="129">
        <v>-78966</v>
      </c>
      <c r="S171" s="129">
        <v>-524</v>
      </c>
      <c r="T171" s="129">
        <v>-79490</v>
      </c>
      <c r="U171" s="129">
        <v>1229471</v>
      </c>
      <c r="V171" s="129">
        <v>29561</v>
      </c>
      <c r="W171" s="129">
        <v>1259032</v>
      </c>
      <c r="X171" s="129">
        <v>1150505</v>
      </c>
      <c r="Y171" s="129">
        <v>29037</v>
      </c>
      <c r="Z171" s="129">
        <v>0</v>
      </c>
      <c r="AA171" s="129">
        <v>0</v>
      </c>
      <c r="AB171" s="129">
        <v>1150505</v>
      </c>
      <c r="AC171" s="129">
        <v>29037</v>
      </c>
      <c r="AD171" s="129">
        <v>1179542</v>
      </c>
      <c r="AE171" s="129">
        <v>-1150505</v>
      </c>
      <c r="AF171" s="129">
        <v>-29037</v>
      </c>
      <c r="AG171" s="129">
        <v>-1179542</v>
      </c>
      <c r="AH171" s="129">
        <v>-4069875</v>
      </c>
      <c r="AI171" s="129">
        <v>-361091</v>
      </c>
      <c r="AJ171" s="129">
        <v>-4430966</v>
      </c>
      <c r="AK171" s="129">
        <v>-1170</v>
      </c>
      <c r="AL171" s="129">
        <v>0</v>
      </c>
      <c r="AM171" s="129">
        <v>-1170</v>
      </c>
      <c r="AN171" s="129">
        <v>858843</v>
      </c>
      <c r="AO171" s="129">
        <v>56595</v>
      </c>
      <c r="AP171" s="129">
        <v>915438</v>
      </c>
      <c r="AQ171" s="129">
        <v>-3211032</v>
      </c>
      <c r="AR171" s="129">
        <v>-304496</v>
      </c>
      <c r="AS171" s="129">
        <v>-3515528</v>
      </c>
      <c r="AT171" s="129">
        <v>-6439611</v>
      </c>
      <c r="AU171" s="129">
        <v>-85668</v>
      </c>
      <c r="AV171" s="129">
        <v>-6525279</v>
      </c>
      <c r="AW171" s="129">
        <v>-56300</v>
      </c>
      <c r="AX171" s="129">
        <v>0</v>
      </c>
      <c r="AY171" s="129">
        <v>-56300</v>
      </c>
      <c r="AZ171" s="129">
        <v>0</v>
      </c>
      <c r="BA171" s="129">
        <v>0</v>
      </c>
      <c r="BB171" s="129">
        <v>0</v>
      </c>
      <c r="BC171" s="129">
        <v>0</v>
      </c>
      <c r="BD171" s="129">
        <v>0</v>
      </c>
      <c r="BE171" s="129">
        <v>0</v>
      </c>
      <c r="BF171" s="129">
        <v>-9706943</v>
      </c>
      <c r="BG171" s="129">
        <v>-390164</v>
      </c>
      <c r="BH171" s="129">
        <v>0</v>
      </c>
      <c r="BI171" s="129">
        <v>0</v>
      </c>
      <c r="BJ171" s="129">
        <v>-9706943</v>
      </c>
      <c r="BK171" s="129">
        <v>-390164</v>
      </c>
      <c r="BL171" s="129">
        <v>-10097107</v>
      </c>
      <c r="BM171" s="129">
        <v>-10000</v>
      </c>
      <c r="BN171" s="129">
        <v>0</v>
      </c>
      <c r="BO171" s="129">
        <v>-10000</v>
      </c>
      <c r="BP171" s="129">
        <v>-1197230</v>
      </c>
      <c r="BQ171" s="129">
        <v>-598768</v>
      </c>
      <c r="BR171" s="129">
        <v>-1795998</v>
      </c>
      <c r="BS171" s="129">
        <v>-1207230</v>
      </c>
      <c r="BT171" s="129">
        <v>-598768</v>
      </c>
      <c r="BU171" s="129">
        <v>0</v>
      </c>
      <c r="BV171" s="129">
        <v>0</v>
      </c>
      <c r="BW171" s="129">
        <v>-1207230</v>
      </c>
      <c r="BX171" s="129">
        <v>-598768</v>
      </c>
      <c r="BY171" s="129">
        <v>-1805998</v>
      </c>
      <c r="BZ171" s="129">
        <v>0</v>
      </c>
      <c r="CA171" s="129">
        <v>0</v>
      </c>
      <c r="CB171" s="129">
        <v>0</v>
      </c>
      <c r="CC171" s="129">
        <v>0</v>
      </c>
      <c r="CD171" s="129">
        <v>0</v>
      </c>
      <c r="CE171" s="129">
        <v>0</v>
      </c>
      <c r="CF171" s="129">
        <v>-10000</v>
      </c>
      <c r="CG171" s="129">
        <v>0</v>
      </c>
      <c r="CH171" s="129">
        <v>-10000</v>
      </c>
      <c r="CI171" s="129">
        <v>0</v>
      </c>
      <c r="CJ171" s="129">
        <v>0</v>
      </c>
      <c r="CK171" s="129">
        <v>0</v>
      </c>
      <c r="CL171" s="129">
        <v>0</v>
      </c>
      <c r="CM171" s="129">
        <v>0</v>
      </c>
      <c r="CN171" s="129">
        <v>0</v>
      </c>
      <c r="CO171" s="129">
        <v>0</v>
      </c>
      <c r="CP171" s="129">
        <v>-162609</v>
      </c>
      <c r="CQ171" s="129">
        <v>-162609</v>
      </c>
      <c r="CR171" s="129">
        <v>-162609</v>
      </c>
      <c r="CS171" s="129">
        <v>0</v>
      </c>
      <c r="CT171" s="129">
        <v>-10000</v>
      </c>
      <c r="CU171" s="129">
        <v>-162609</v>
      </c>
      <c r="CV171" s="129">
        <v>0</v>
      </c>
      <c r="CW171" s="129">
        <v>0</v>
      </c>
      <c r="CX171" s="129">
        <v>-10000</v>
      </c>
      <c r="CY171" s="129">
        <v>-162609</v>
      </c>
      <c r="CZ171" s="129">
        <v>-172609</v>
      </c>
      <c r="DA171" s="129">
        <v>0</v>
      </c>
      <c r="DB171" s="129">
        <v>0</v>
      </c>
      <c r="DC171" s="129">
        <v>0</v>
      </c>
      <c r="DD171" s="129">
        <v>-11808</v>
      </c>
      <c r="DE171" s="129">
        <v>0</v>
      </c>
      <c r="DF171" s="129">
        <v>-11808</v>
      </c>
      <c r="DG171" s="129">
        <v>0</v>
      </c>
      <c r="DH171" s="129">
        <v>0</v>
      </c>
      <c r="DI171" s="129">
        <v>0</v>
      </c>
      <c r="DJ171" s="129">
        <v>-11808</v>
      </c>
      <c r="DK171" s="129">
        <v>0</v>
      </c>
      <c r="DL171" s="129">
        <v>0</v>
      </c>
      <c r="DM171" s="129">
        <v>0</v>
      </c>
      <c r="DN171" s="129">
        <v>-11808</v>
      </c>
      <c r="DO171" s="129">
        <v>0</v>
      </c>
      <c r="DP171" s="129">
        <v>-11808</v>
      </c>
      <c r="DQ171" s="129">
        <v>37675574</v>
      </c>
      <c r="DR171" s="129">
        <v>2666495</v>
      </c>
      <c r="DS171" s="129">
        <v>40342069</v>
      </c>
      <c r="DT171" s="662" t="s">
        <v>510</v>
      </c>
      <c r="DU171" s="324" t="s">
        <v>486</v>
      </c>
      <c r="DV171" s="663" t="s">
        <v>509</v>
      </c>
      <c r="DW171" s="529" t="s">
        <v>1378</v>
      </c>
    </row>
    <row r="172" spans="1:127" ht="12.75" x14ac:dyDescent="0.2">
      <c r="A172" s="664">
        <v>165</v>
      </c>
      <c r="B172" s="665" t="s">
        <v>210</v>
      </c>
      <c r="C172" s="666" t="s">
        <v>486</v>
      </c>
      <c r="D172" s="667" t="s">
        <v>1202</v>
      </c>
      <c r="E172" s="668" t="s">
        <v>499</v>
      </c>
      <c r="F172" s="753" t="s">
        <v>1879</v>
      </c>
      <c r="G172" s="129">
        <v>422437774</v>
      </c>
      <c r="H172" s="129">
        <v>0</v>
      </c>
      <c r="I172" s="129">
        <v>422437774</v>
      </c>
      <c r="J172" s="793">
        <v>49.9</v>
      </c>
      <c r="K172" s="129">
        <v>210796449</v>
      </c>
      <c r="L172" s="129">
        <v>0</v>
      </c>
      <c r="M172" s="129">
        <v>7069144</v>
      </c>
      <c r="N172" s="129">
        <v>0</v>
      </c>
      <c r="O172" s="129">
        <v>217865593</v>
      </c>
      <c r="P172" s="129">
        <v>0</v>
      </c>
      <c r="Q172" s="129">
        <v>217865593</v>
      </c>
      <c r="R172" s="129">
        <v>-372000</v>
      </c>
      <c r="S172" s="129">
        <v>0</v>
      </c>
      <c r="T172" s="129">
        <v>-372000</v>
      </c>
      <c r="U172" s="129">
        <v>0</v>
      </c>
      <c r="V172" s="129">
        <v>0</v>
      </c>
      <c r="W172" s="129">
        <v>0</v>
      </c>
      <c r="X172" s="129">
        <v>-372000</v>
      </c>
      <c r="Y172" s="129">
        <v>0</v>
      </c>
      <c r="Z172" s="129">
        <v>0</v>
      </c>
      <c r="AA172" s="129">
        <v>0</v>
      </c>
      <c r="AB172" s="129">
        <v>-372000</v>
      </c>
      <c r="AC172" s="129">
        <v>0</v>
      </c>
      <c r="AD172" s="129">
        <v>-372000</v>
      </c>
      <c r="AE172" s="129">
        <v>372000</v>
      </c>
      <c r="AF172" s="129">
        <v>0</v>
      </c>
      <c r="AG172" s="129">
        <v>372000</v>
      </c>
      <c r="AH172" s="129">
        <v>-7930000</v>
      </c>
      <c r="AI172" s="129">
        <v>0</v>
      </c>
      <c r="AJ172" s="129">
        <v>-7930000</v>
      </c>
      <c r="AK172" s="129">
        <v>-83000</v>
      </c>
      <c r="AL172" s="129">
        <v>0</v>
      </c>
      <c r="AM172" s="129">
        <v>-83000</v>
      </c>
      <c r="AN172" s="129">
        <v>4605665</v>
      </c>
      <c r="AO172" s="129">
        <v>0</v>
      </c>
      <c r="AP172" s="129">
        <v>4605665</v>
      </c>
      <c r="AQ172" s="129">
        <v>-3324335</v>
      </c>
      <c r="AR172" s="129">
        <v>0</v>
      </c>
      <c r="AS172" s="129">
        <v>-3324335</v>
      </c>
      <c r="AT172" s="129">
        <v>-11885000</v>
      </c>
      <c r="AU172" s="129">
        <v>0</v>
      </c>
      <c r="AV172" s="129">
        <v>-11885000</v>
      </c>
      <c r="AW172" s="129">
        <v>-54000</v>
      </c>
      <c r="AX172" s="129">
        <v>0</v>
      </c>
      <c r="AY172" s="129">
        <v>-54000</v>
      </c>
      <c r="AZ172" s="129">
        <v>-15000</v>
      </c>
      <c r="BA172" s="129">
        <v>0</v>
      </c>
      <c r="BB172" s="129">
        <v>-15000</v>
      </c>
      <c r="BC172" s="129">
        <v>0</v>
      </c>
      <c r="BD172" s="129">
        <v>0</v>
      </c>
      <c r="BE172" s="129">
        <v>0</v>
      </c>
      <c r="BF172" s="129">
        <v>-15278335</v>
      </c>
      <c r="BG172" s="129">
        <v>0</v>
      </c>
      <c r="BH172" s="129">
        <v>0</v>
      </c>
      <c r="BI172" s="129">
        <v>0</v>
      </c>
      <c r="BJ172" s="129">
        <v>-15278335</v>
      </c>
      <c r="BK172" s="129">
        <v>0</v>
      </c>
      <c r="BL172" s="129">
        <v>-15278335</v>
      </c>
      <c r="BM172" s="129">
        <v>-259000</v>
      </c>
      <c r="BN172" s="129">
        <v>0</v>
      </c>
      <c r="BO172" s="129">
        <v>-259000</v>
      </c>
      <c r="BP172" s="129">
        <v>-9175000</v>
      </c>
      <c r="BQ172" s="129">
        <v>0</v>
      </c>
      <c r="BR172" s="129">
        <v>-9175000</v>
      </c>
      <c r="BS172" s="129">
        <v>-9434000</v>
      </c>
      <c r="BT172" s="129">
        <v>0</v>
      </c>
      <c r="BU172" s="129">
        <v>0</v>
      </c>
      <c r="BV172" s="129">
        <v>0</v>
      </c>
      <c r="BW172" s="129">
        <v>-9434000</v>
      </c>
      <c r="BX172" s="129">
        <v>0</v>
      </c>
      <c r="BY172" s="129">
        <v>-9434000</v>
      </c>
      <c r="BZ172" s="129">
        <v>-605000</v>
      </c>
      <c r="CA172" s="129">
        <v>0</v>
      </c>
      <c r="CB172" s="129">
        <v>-605000</v>
      </c>
      <c r="CC172" s="129">
        <v>0</v>
      </c>
      <c r="CD172" s="129">
        <v>0</v>
      </c>
      <c r="CE172" s="129">
        <v>0</v>
      </c>
      <c r="CF172" s="129">
        <v>-19000</v>
      </c>
      <c r="CG172" s="129">
        <v>0</v>
      </c>
      <c r="CH172" s="129">
        <v>-19000</v>
      </c>
      <c r="CI172" s="129">
        <v>0</v>
      </c>
      <c r="CJ172" s="129">
        <v>0</v>
      </c>
      <c r="CK172" s="129">
        <v>0</v>
      </c>
      <c r="CL172" s="129">
        <v>0</v>
      </c>
      <c r="CM172" s="129">
        <v>0</v>
      </c>
      <c r="CN172" s="129">
        <v>0</v>
      </c>
      <c r="CO172" s="129">
        <v>0</v>
      </c>
      <c r="CP172" s="129">
        <v>0</v>
      </c>
      <c r="CQ172" s="129">
        <v>0</v>
      </c>
      <c r="CR172" s="129">
        <v>0</v>
      </c>
      <c r="CS172" s="129">
        <v>0</v>
      </c>
      <c r="CT172" s="129">
        <v>-624000</v>
      </c>
      <c r="CU172" s="129">
        <v>0</v>
      </c>
      <c r="CV172" s="129">
        <v>0</v>
      </c>
      <c r="CW172" s="129">
        <v>0</v>
      </c>
      <c r="CX172" s="129">
        <v>-624000</v>
      </c>
      <c r="CY172" s="129">
        <v>0</v>
      </c>
      <c r="CZ172" s="129">
        <v>-624000</v>
      </c>
      <c r="DA172" s="129">
        <v>-15000</v>
      </c>
      <c r="DB172" s="129">
        <v>0</v>
      </c>
      <c r="DC172" s="129">
        <v>-15000</v>
      </c>
      <c r="DD172" s="129">
        <v>0</v>
      </c>
      <c r="DE172" s="129">
        <v>0</v>
      </c>
      <c r="DF172" s="129">
        <v>0</v>
      </c>
      <c r="DG172" s="129">
        <v>0</v>
      </c>
      <c r="DH172" s="129">
        <v>0</v>
      </c>
      <c r="DI172" s="129">
        <v>0</v>
      </c>
      <c r="DJ172" s="129">
        <v>-15000</v>
      </c>
      <c r="DK172" s="129">
        <v>0</v>
      </c>
      <c r="DL172" s="129">
        <v>0</v>
      </c>
      <c r="DM172" s="129">
        <v>0</v>
      </c>
      <c r="DN172" s="129">
        <v>-15000</v>
      </c>
      <c r="DO172" s="129">
        <v>0</v>
      </c>
      <c r="DP172" s="129">
        <v>-15000</v>
      </c>
      <c r="DQ172" s="129">
        <v>192142258</v>
      </c>
      <c r="DR172" s="129">
        <v>0</v>
      </c>
      <c r="DS172" s="129">
        <v>192142258</v>
      </c>
      <c r="DT172" s="662" t="s">
        <v>499</v>
      </c>
      <c r="DU172" s="324" t="s">
        <v>486</v>
      </c>
      <c r="DV172" s="663" t="s">
        <v>500</v>
      </c>
      <c r="DW172" s="529" t="s">
        <v>1379</v>
      </c>
    </row>
    <row r="173" spans="1:127" ht="14.25" x14ac:dyDescent="0.2">
      <c r="A173" s="664">
        <v>166</v>
      </c>
      <c r="B173" s="665" t="s">
        <v>212</v>
      </c>
      <c r="C173" s="666" t="s">
        <v>1201</v>
      </c>
      <c r="D173" s="667" t="s">
        <v>1202</v>
      </c>
      <c r="E173" s="668" t="s">
        <v>1865</v>
      </c>
      <c r="F173" s="753" t="s">
        <v>1886</v>
      </c>
      <c r="G173" s="129">
        <v>103445370</v>
      </c>
      <c r="H173" s="129">
        <v>0</v>
      </c>
      <c r="I173" s="129">
        <v>103445370</v>
      </c>
      <c r="J173" s="793">
        <v>49.9</v>
      </c>
      <c r="K173" s="129">
        <v>51619240</v>
      </c>
      <c r="L173" s="129">
        <v>0</v>
      </c>
      <c r="M173" s="129">
        <v>0</v>
      </c>
      <c r="N173" s="129">
        <v>0</v>
      </c>
      <c r="O173" s="129">
        <v>51619240</v>
      </c>
      <c r="P173" s="129">
        <v>0</v>
      </c>
      <c r="Q173" s="129">
        <v>51619240</v>
      </c>
      <c r="R173" s="129">
        <v>-241167</v>
      </c>
      <c r="S173" s="129">
        <v>0</v>
      </c>
      <c r="T173" s="129">
        <v>-241167</v>
      </c>
      <c r="U173" s="129">
        <v>30593</v>
      </c>
      <c r="V173" s="129">
        <v>0</v>
      </c>
      <c r="W173" s="129">
        <v>30593</v>
      </c>
      <c r="X173" s="129">
        <v>-210574</v>
      </c>
      <c r="Y173" s="129">
        <v>0</v>
      </c>
      <c r="Z173" s="129">
        <v>0</v>
      </c>
      <c r="AA173" s="129">
        <v>0</v>
      </c>
      <c r="AB173" s="129">
        <v>-210574</v>
      </c>
      <c r="AC173" s="129">
        <v>0</v>
      </c>
      <c r="AD173" s="129">
        <v>-210574</v>
      </c>
      <c r="AE173" s="129">
        <v>210574</v>
      </c>
      <c r="AF173" s="129">
        <v>0</v>
      </c>
      <c r="AG173" s="129">
        <v>210574</v>
      </c>
      <c r="AH173" s="129">
        <v>-3384455</v>
      </c>
      <c r="AI173" s="129">
        <v>0</v>
      </c>
      <c r="AJ173" s="129">
        <v>-3384455</v>
      </c>
      <c r="AK173" s="129">
        <v>-18138</v>
      </c>
      <c r="AL173" s="129">
        <v>0</v>
      </c>
      <c r="AM173" s="129">
        <v>-18138</v>
      </c>
      <c r="AN173" s="129">
        <v>982102</v>
      </c>
      <c r="AO173" s="129">
        <v>0</v>
      </c>
      <c r="AP173" s="129">
        <v>982102</v>
      </c>
      <c r="AQ173" s="129">
        <v>-2402353</v>
      </c>
      <c r="AR173" s="129">
        <v>0</v>
      </c>
      <c r="AS173" s="129">
        <v>-2402353</v>
      </c>
      <c r="AT173" s="129">
        <v>-2819000</v>
      </c>
      <c r="AU173" s="129">
        <v>0</v>
      </c>
      <c r="AV173" s="129">
        <v>-2819000</v>
      </c>
      <c r="AW173" s="129">
        <v>-36790</v>
      </c>
      <c r="AX173" s="129">
        <v>0</v>
      </c>
      <c r="AY173" s="129">
        <v>-36790</v>
      </c>
      <c r="AZ173" s="129">
        <v>-4787</v>
      </c>
      <c r="BA173" s="129">
        <v>0</v>
      </c>
      <c r="BB173" s="129">
        <v>-4787</v>
      </c>
      <c r="BC173" s="129">
        <v>0</v>
      </c>
      <c r="BD173" s="129">
        <v>0</v>
      </c>
      <c r="BE173" s="129">
        <v>0</v>
      </c>
      <c r="BF173" s="129">
        <v>-5262930</v>
      </c>
      <c r="BG173" s="129">
        <v>0</v>
      </c>
      <c r="BH173" s="129">
        <v>0</v>
      </c>
      <c r="BI173" s="129">
        <v>0</v>
      </c>
      <c r="BJ173" s="129">
        <v>-5262930</v>
      </c>
      <c r="BK173" s="129">
        <v>0</v>
      </c>
      <c r="BL173" s="129">
        <v>-5262930</v>
      </c>
      <c r="BM173" s="129">
        <v>0</v>
      </c>
      <c r="BN173" s="129">
        <v>0</v>
      </c>
      <c r="BO173" s="129">
        <v>0</v>
      </c>
      <c r="BP173" s="129">
        <v>-753997</v>
      </c>
      <c r="BQ173" s="129">
        <v>0</v>
      </c>
      <c r="BR173" s="129">
        <v>-753997</v>
      </c>
      <c r="BS173" s="129">
        <v>-753997</v>
      </c>
      <c r="BT173" s="129">
        <v>0</v>
      </c>
      <c r="BU173" s="129">
        <v>0</v>
      </c>
      <c r="BV173" s="129">
        <v>0</v>
      </c>
      <c r="BW173" s="129">
        <v>-753997</v>
      </c>
      <c r="BX173" s="129">
        <v>0</v>
      </c>
      <c r="BY173" s="129">
        <v>-753997</v>
      </c>
      <c r="BZ173" s="129">
        <v>-27053</v>
      </c>
      <c r="CA173" s="129">
        <v>0</v>
      </c>
      <c r="CB173" s="129">
        <v>-27053</v>
      </c>
      <c r="CC173" s="129">
        <v>-10803</v>
      </c>
      <c r="CD173" s="129">
        <v>0</v>
      </c>
      <c r="CE173" s="129">
        <v>-10803</v>
      </c>
      <c r="CF173" s="129">
        <v>-2477</v>
      </c>
      <c r="CG173" s="129">
        <v>0</v>
      </c>
      <c r="CH173" s="129">
        <v>-2477</v>
      </c>
      <c r="CI173" s="129">
        <v>0</v>
      </c>
      <c r="CJ173" s="129">
        <v>0</v>
      </c>
      <c r="CK173" s="129">
        <v>0</v>
      </c>
      <c r="CL173" s="129">
        <v>-13591</v>
      </c>
      <c r="CM173" s="129">
        <v>0</v>
      </c>
      <c r="CN173" s="129">
        <v>-13591</v>
      </c>
      <c r="CO173" s="129">
        <v>0</v>
      </c>
      <c r="CP173" s="129">
        <v>0</v>
      </c>
      <c r="CQ173" s="129">
        <v>0</v>
      </c>
      <c r="CR173" s="129">
        <v>0</v>
      </c>
      <c r="CS173" s="129">
        <v>0</v>
      </c>
      <c r="CT173" s="129">
        <v>-53924</v>
      </c>
      <c r="CU173" s="129">
        <v>0</v>
      </c>
      <c r="CV173" s="129">
        <v>0</v>
      </c>
      <c r="CW173" s="129">
        <v>0</v>
      </c>
      <c r="CX173" s="129">
        <v>-53924</v>
      </c>
      <c r="CY173" s="129">
        <v>0</v>
      </c>
      <c r="CZ173" s="129">
        <v>-53924</v>
      </c>
      <c r="DA173" s="129">
        <v>-4787</v>
      </c>
      <c r="DB173" s="129">
        <v>0</v>
      </c>
      <c r="DC173" s="129">
        <v>-4787</v>
      </c>
      <c r="DD173" s="129">
        <v>-48514</v>
      </c>
      <c r="DE173" s="129">
        <v>0</v>
      </c>
      <c r="DF173" s="129">
        <v>-48514</v>
      </c>
      <c r="DG173" s="129">
        <v>0</v>
      </c>
      <c r="DH173" s="129">
        <v>0</v>
      </c>
      <c r="DI173" s="129">
        <v>0</v>
      </c>
      <c r="DJ173" s="129">
        <v>-53301</v>
      </c>
      <c r="DK173" s="129">
        <v>0</v>
      </c>
      <c r="DL173" s="129">
        <v>0</v>
      </c>
      <c r="DM173" s="129">
        <v>0</v>
      </c>
      <c r="DN173" s="129">
        <v>-53301</v>
      </c>
      <c r="DO173" s="129">
        <v>0</v>
      </c>
      <c r="DP173" s="129">
        <v>-53301</v>
      </c>
      <c r="DQ173" s="129">
        <v>45284514</v>
      </c>
      <c r="DR173" s="129">
        <v>0</v>
      </c>
      <c r="DS173" s="129">
        <v>45284514</v>
      </c>
      <c r="DT173" s="662" t="s">
        <v>211</v>
      </c>
      <c r="DU173" s="324" t="s">
        <v>566</v>
      </c>
      <c r="DV173" s="663" t="s">
        <v>512</v>
      </c>
      <c r="DW173" s="529" t="s">
        <v>1380</v>
      </c>
    </row>
    <row r="174" spans="1:127" ht="12.75" x14ac:dyDescent="0.2">
      <c r="A174" s="664">
        <v>167</v>
      </c>
      <c r="B174" s="665" t="s">
        <v>214</v>
      </c>
      <c r="C174" s="666" t="s">
        <v>1201</v>
      </c>
      <c r="D174" s="667" t="s">
        <v>1202</v>
      </c>
      <c r="E174" s="668" t="s">
        <v>213</v>
      </c>
      <c r="F174" s="753" t="s">
        <v>1886</v>
      </c>
      <c r="G174" s="129">
        <v>170460029</v>
      </c>
      <c r="H174" s="129">
        <v>0</v>
      </c>
      <c r="I174" s="129">
        <v>170460029</v>
      </c>
      <c r="J174" s="793">
        <v>49.9</v>
      </c>
      <c r="K174" s="129">
        <v>85059554</v>
      </c>
      <c r="L174" s="129">
        <v>0</v>
      </c>
      <c r="M174" s="129">
        <v>0</v>
      </c>
      <c r="N174" s="129">
        <v>0</v>
      </c>
      <c r="O174" s="129">
        <v>85059554</v>
      </c>
      <c r="P174" s="129">
        <v>0</v>
      </c>
      <c r="Q174" s="129">
        <v>85059554</v>
      </c>
      <c r="R174" s="129">
        <v>-128653</v>
      </c>
      <c r="S174" s="129">
        <v>0</v>
      </c>
      <c r="T174" s="129">
        <v>-128653</v>
      </c>
      <c r="U174" s="129">
        <v>157469</v>
      </c>
      <c r="V174" s="129">
        <v>0</v>
      </c>
      <c r="W174" s="129">
        <v>157469</v>
      </c>
      <c r="X174" s="129">
        <v>28816</v>
      </c>
      <c r="Y174" s="129">
        <v>0</v>
      </c>
      <c r="Z174" s="129">
        <v>0</v>
      </c>
      <c r="AA174" s="129">
        <v>0</v>
      </c>
      <c r="AB174" s="129">
        <v>28816</v>
      </c>
      <c r="AC174" s="129">
        <v>0</v>
      </c>
      <c r="AD174" s="129">
        <v>28816</v>
      </c>
      <c r="AE174" s="129">
        <v>-28816</v>
      </c>
      <c r="AF174" s="129">
        <v>0</v>
      </c>
      <c r="AG174" s="129">
        <v>-28816</v>
      </c>
      <c r="AH174" s="129">
        <v>-8565192</v>
      </c>
      <c r="AI174" s="129">
        <v>0</v>
      </c>
      <c r="AJ174" s="129">
        <v>-8565192</v>
      </c>
      <c r="AK174" s="129">
        <v>-15000</v>
      </c>
      <c r="AL174" s="129">
        <v>0</v>
      </c>
      <c r="AM174" s="129">
        <v>-15000</v>
      </c>
      <c r="AN174" s="129">
        <v>1476282</v>
      </c>
      <c r="AO174" s="129">
        <v>0</v>
      </c>
      <c r="AP174" s="129">
        <v>1476282</v>
      </c>
      <c r="AQ174" s="129">
        <v>-7088910</v>
      </c>
      <c r="AR174" s="129">
        <v>0</v>
      </c>
      <c r="AS174" s="129">
        <v>-7088910</v>
      </c>
      <c r="AT174" s="129">
        <v>-4063251</v>
      </c>
      <c r="AU174" s="129">
        <v>0</v>
      </c>
      <c r="AV174" s="129">
        <v>-4063251</v>
      </c>
      <c r="AW174" s="129">
        <v>-55945</v>
      </c>
      <c r="AX174" s="129">
        <v>0</v>
      </c>
      <c r="AY174" s="129">
        <v>-55945</v>
      </c>
      <c r="AZ174" s="129">
        <v>-11981</v>
      </c>
      <c r="BA174" s="129">
        <v>0</v>
      </c>
      <c r="BB174" s="129">
        <v>-11981</v>
      </c>
      <c r="BC174" s="129">
        <v>0</v>
      </c>
      <c r="BD174" s="129">
        <v>0</v>
      </c>
      <c r="BE174" s="129">
        <v>0</v>
      </c>
      <c r="BF174" s="129">
        <v>-11220087</v>
      </c>
      <c r="BG174" s="129">
        <v>0</v>
      </c>
      <c r="BH174" s="129">
        <v>0</v>
      </c>
      <c r="BI174" s="129">
        <v>0</v>
      </c>
      <c r="BJ174" s="129">
        <v>-11220087</v>
      </c>
      <c r="BK174" s="129">
        <v>0</v>
      </c>
      <c r="BL174" s="129">
        <v>-11220087</v>
      </c>
      <c r="BM174" s="129">
        <v>-124935</v>
      </c>
      <c r="BN174" s="129">
        <v>0</v>
      </c>
      <c r="BO174" s="129">
        <v>-124935</v>
      </c>
      <c r="BP174" s="129">
        <v>-1056915</v>
      </c>
      <c r="BQ174" s="129">
        <v>0</v>
      </c>
      <c r="BR174" s="129">
        <v>-1056915</v>
      </c>
      <c r="BS174" s="129">
        <v>-1181850</v>
      </c>
      <c r="BT174" s="129">
        <v>0</v>
      </c>
      <c r="BU174" s="129">
        <v>0</v>
      </c>
      <c r="BV174" s="129">
        <v>0</v>
      </c>
      <c r="BW174" s="129">
        <v>-1181850</v>
      </c>
      <c r="BX174" s="129">
        <v>0</v>
      </c>
      <c r="BY174" s="129">
        <v>-1181850</v>
      </c>
      <c r="BZ174" s="129">
        <v>-108147</v>
      </c>
      <c r="CA174" s="129">
        <v>0</v>
      </c>
      <c r="CB174" s="129">
        <v>-108147</v>
      </c>
      <c r="CC174" s="129">
        <v>-16900</v>
      </c>
      <c r="CD174" s="129">
        <v>0</v>
      </c>
      <c r="CE174" s="129">
        <v>-16900</v>
      </c>
      <c r="CF174" s="129">
        <v>0</v>
      </c>
      <c r="CG174" s="129">
        <v>0</v>
      </c>
      <c r="CH174" s="129">
        <v>0</v>
      </c>
      <c r="CI174" s="129">
        <v>0</v>
      </c>
      <c r="CJ174" s="129">
        <v>0</v>
      </c>
      <c r="CK174" s="129">
        <v>0</v>
      </c>
      <c r="CL174" s="129">
        <v>0</v>
      </c>
      <c r="CM174" s="129">
        <v>0</v>
      </c>
      <c r="CN174" s="129">
        <v>0</v>
      </c>
      <c r="CO174" s="129">
        <v>-2874</v>
      </c>
      <c r="CP174" s="129">
        <v>0</v>
      </c>
      <c r="CQ174" s="129">
        <v>-2874</v>
      </c>
      <c r="CR174" s="129">
        <v>0</v>
      </c>
      <c r="CS174" s="129">
        <v>0</v>
      </c>
      <c r="CT174" s="129">
        <v>-127921</v>
      </c>
      <c r="CU174" s="129">
        <v>0</v>
      </c>
      <c r="CV174" s="129">
        <v>0</v>
      </c>
      <c r="CW174" s="129">
        <v>0</v>
      </c>
      <c r="CX174" s="129">
        <v>-127921</v>
      </c>
      <c r="CY174" s="129">
        <v>0</v>
      </c>
      <c r="CZ174" s="129">
        <v>-127921</v>
      </c>
      <c r="DA174" s="129">
        <v>-11981</v>
      </c>
      <c r="DB174" s="129">
        <v>0</v>
      </c>
      <c r="DC174" s="129">
        <v>-11981</v>
      </c>
      <c r="DD174" s="129">
        <v>-14529</v>
      </c>
      <c r="DE174" s="129">
        <v>0</v>
      </c>
      <c r="DF174" s="129">
        <v>-14529</v>
      </c>
      <c r="DG174" s="129">
        <v>0</v>
      </c>
      <c r="DH174" s="129">
        <v>0</v>
      </c>
      <c r="DI174" s="129">
        <v>0</v>
      </c>
      <c r="DJ174" s="129">
        <v>-26510</v>
      </c>
      <c r="DK174" s="129">
        <v>0</v>
      </c>
      <c r="DL174" s="129">
        <v>0</v>
      </c>
      <c r="DM174" s="129">
        <v>0</v>
      </c>
      <c r="DN174" s="129">
        <v>-26510</v>
      </c>
      <c r="DO174" s="129">
        <v>0</v>
      </c>
      <c r="DP174" s="129">
        <v>-26510</v>
      </c>
      <c r="DQ174" s="129">
        <v>72532002</v>
      </c>
      <c r="DR174" s="129">
        <v>0</v>
      </c>
      <c r="DS174" s="129">
        <v>72532002</v>
      </c>
      <c r="DT174" s="662" t="s">
        <v>213</v>
      </c>
      <c r="DU174" s="324" t="s">
        <v>532</v>
      </c>
      <c r="DV174" s="663" t="s">
        <v>1914</v>
      </c>
      <c r="DW174" s="529" t="s">
        <v>1381</v>
      </c>
    </row>
    <row r="175" spans="1:127" ht="12.75" x14ac:dyDescent="0.2">
      <c r="A175" s="664">
        <v>168</v>
      </c>
      <c r="B175" s="665" t="s">
        <v>216</v>
      </c>
      <c r="C175" s="666" t="s">
        <v>1201</v>
      </c>
      <c r="D175" s="667" t="s">
        <v>1206</v>
      </c>
      <c r="E175" s="668" t="s">
        <v>215</v>
      </c>
      <c r="F175" s="753" t="s">
        <v>1875</v>
      </c>
      <c r="G175" s="129">
        <v>107999711</v>
      </c>
      <c r="H175" s="129">
        <v>0</v>
      </c>
      <c r="I175" s="129">
        <v>107999711</v>
      </c>
      <c r="J175" s="793">
        <v>49.9</v>
      </c>
      <c r="K175" s="129">
        <v>53891856</v>
      </c>
      <c r="L175" s="129">
        <v>0</v>
      </c>
      <c r="M175" s="129">
        <v>0</v>
      </c>
      <c r="N175" s="129">
        <v>0</v>
      </c>
      <c r="O175" s="129">
        <v>53891856</v>
      </c>
      <c r="P175" s="129">
        <v>0</v>
      </c>
      <c r="Q175" s="129">
        <v>53891856</v>
      </c>
      <c r="R175" s="129">
        <v>-315274</v>
      </c>
      <c r="S175" s="129">
        <v>0</v>
      </c>
      <c r="T175" s="129">
        <v>-315274</v>
      </c>
      <c r="U175" s="129">
        <v>0</v>
      </c>
      <c r="V175" s="129">
        <v>0</v>
      </c>
      <c r="W175" s="129">
        <v>0</v>
      </c>
      <c r="X175" s="129">
        <v>-315274</v>
      </c>
      <c r="Y175" s="129">
        <v>0</v>
      </c>
      <c r="Z175" s="129">
        <v>17022</v>
      </c>
      <c r="AA175" s="129">
        <v>0</v>
      </c>
      <c r="AB175" s="129">
        <v>-298252</v>
      </c>
      <c r="AC175" s="129">
        <v>0</v>
      </c>
      <c r="AD175" s="129">
        <v>-298252</v>
      </c>
      <c r="AE175" s="129">
        <v>298252</v>
      </c>
      <c r="AF175" s="129">
        <v>0</v>
      </c>
      <c r="AG175" s="129">
        <v>298252</v>
      </c>
      <c r="AH175" s="129">
        <v>-5081569</v>
      </c>
      <c r="AI175" s="129">
        <v>0</v>
      </c>
      <c r="AJ175" s="129">
        <v>-5081569</v>
      </c>
      <c r="AK175" s="129">
        <v>0</v>
      </c>
      <c r="AL175" s="129">
        <v>0</v>
      </c>
      <c r="AM175" s="129">
        <v>0</v>
      </c>
      <c r="AN175" s="129">
        <v>1000094</v>
      </c>
      <c r="AO175" s="129">
        <v>0</v>
      </c>
      <c r="AP175" s="129">
        <v>1000094</v>
      </c>
      <c r="AQ175" s="129">
        <v>-4081475</v>
      </c>
      <c r="AR175" s="129">
        <v>0</v>
      </c>
      <c r="AS175" s="129">
        <v>-4081475</v>
      </c>
      <c r="AT175" s="129">
        <v>-2230241</v>
      </c>
      <c r="AU175" s="129">
        <v>0</v>
      </c>
      <c r="AV175" s="129">
        <v>-2230241</v>
      </c>
      <c r="AW175" s="129">
        <v>-77332</v>
      </c>
      <c r="AX175" s="129">
        <v>0</v>
      </c>
      <c r="AY175" s="129">
        <v>-77332</v>
      </c>
      <c r="AZ175" s="129">
        <v>-19131</v>
      </c>
      <c r="BA175" s="129">
        <v>0</v>
      </c>
      <c r="BB175" s="129">
        <v>-19131</v>
      </c>
      <c r="BC175" s="129">
        <v>0</v>
      </c>
      <c r="BD175" s="129">
        <v>0</v>
      </c>
      <c r="BE175" s="129">
        <v>0</v>
      </c>
      <c r="BF175" s="129">
        <v>-6408179</v>
      </c>
      <c r="BG175" s="129">
        <v>0</v>
      </c>
      <c r="BH175" s="129">
        <v>0</v>
      </c>
      <c r="BI175" s="129">
        <v>0</v>
      </c>
      <c r="BJ175" s="129">
        <v>-6408179</v>
      </c>
      <c r="BK175" s="129">
        <v>0</v>
      </c>
      <c r="BL175" s="129">
        <v>-6408179</v>
      </c>
      <c r="BM175" s="129">
        <v>0</v>
      </c>
      <c r="BN175" s="129">
        <v>0</v>
      </c>
      <c r="BO175" s="129">
        <v>0</v>
      </c>
      <c r="BP175" s="129">
        <v>-985214</v>
      </c>
      <c r="BQ175" s="129">
        <v>0</v>
      </c>
      <c r="BR175" s="129">
        <v>-985214</v>
      </c>
      <c r="BS175" s="129">
        <v>-985214</v>
      </c>
      <c r="BT175" s="129">
        <v>0</v>
      </c>
      <c r="BU175" s="129">
        <v>0</v>
      </c>
      <c r="BV175" s="129">
        <v>0</v>
      </c>
      <c r="BW175" s="129">
        <v>-985214</v>
      </c>
      <c r="BX175" s="129">
        <v>0</v>
      </c>
      <c r="BY175" s="129">
        <v>-985214</v>
      </c>
      <c r="BZ175" s="129">
        <v>-66288</v>
      </c>
      <c r="CA175" s="129">
        <v>0</v>
      </c>
      <c r="CB175" s="129">
        <v>-66288</v>
      </c>
      <c r="CC175" s="129">
        <v>-295496</v>
      </c>
      <c r="CD175" s="129">
        <v>0</v>
      </c>
      <c r="CE175" s="129">
        <v>-295496</v>
      </c>
      <c r="CF175" s="129">
        <v>0</v>
      </c>
      <c r="CG175" s="129">
        <v>0</v>
      </c>
      <c r="CH175" s="129">
        <v>0</v>
      </c>
      <c r="CI175" s="129">
        <v>0</v>
      </c>
      <c r="CJ175" s="129">
        <v>0</v>
      </c>
      <c r="CK175" s="129">
        <v>0</v>
      </c>
      <c r="CL175" s="129">
        <v>0</v>
      </c>
      <c r="CM175" s="129">
        <v>0</v>
      </c>
      <c r="CN175" s="129">
        <v>0</v>
      </c>
      <c r="CO175" s="129">
        <v>0</v>
      </c>
      <c r="CP175" s="129">
        <v>0</v>
      </c>
      <c r="CQ175" s="129">
        <v>0</v>
      </c>
      <c r="CR175" s="129">
        <v>0</v>
      </c>
      <c r="CS175" s="129">
        <v>0</v>
      </c>
      <c r="CT175" s="129">
        <v>-361784</v>
      </c>
      <c r="CU175" s="129">
        <v>0</v>
      </c>
      <c r="CV175" s="129">
        <v>0</v>
      </c>
      <c r="CW175" s="129">
        <v>0</v>
      </c>
      <c r="CX175" s="129">
        <v>-361784</v>
      </c>
      <c r="CY175" s="129">
        <v>0</v>
      </c>
      <c r="CZ175" s="129">
        <v>-361784</v>
      </c>
      <c r="DA175" s="129">
        <v>-17288</v>
      </c>
      <c r="DB175" s="129">
        <v>0</v>
      </c>
      <c r="DC175" s="129">
        <v>-17288</v>
      </c>
      <c r="DD175" s="129">
        <v>-14269</v>
      </c>
      <c r="DE175" s="129">
        <v>0</v>
      </c>
      <c r="DF175" s="129">
        <v>-14269</v>
      </c>
      <c r="DG175" s="129">
        <v>-1500</v>
      </c>
      <c r="DH175" s="129">
        <v>0</v>
      </c>
      <c r="DI175" s="129">
        <v>-1500</v>
      </c>
      <c r="DJ175" s="129">
        <v>-33057</v>
      </c>
      <c r="DK175" s="129">
        <v>0</v>
      </c>
      <c r="DL175" s="129">
        <v>0</v>
      </c>
      <c r="DM175" s="129">
        <v>0</v>
      </c>
      <c r="DN175" s="129">
        <v>-33057</v>
      </c>
      <c r="DO175" s="129">
        <v>0</v>
      </c>
      <c r="DP175" s="129">
        <v>-33057</v>
      </c>
      <c r="DQ175" s="129">
        <v>45805370</v>
      </c>
      <c r="DR175" s="129">
        <v>0</v>
      </c>
      <c r="DS175" s="129">
        <v>45805370</v>
      </c>
      <c r="DT175" s="662" t="s">
        <v>215</v>
      </c>
      <c r="DU175" s="324" t="s">
        <v>559</v>
      </c>
      <c r="DV175" s="663" t="s">
        <v>558</v>
      </c>
      <c r="DW175" s="529" t="s">
        <v>1382</v>
      </c>
    </row>
    <row r="176" spans="1:127" ht="12.75" x14ac:dyDescent="0.2">
      <c r="A176" s="664">
        <v>169</v>
      </c>
      <c r="B176" s="665" t="s">
        <v>217</v>
      </c>
      <c r="C176" s="666" t="s">
        <v>1217</v>
      </c>
      <c r="D176" s="667" t="s">
        <v>1283</v>
      </c>
      <c r="E176" s="668" t="s">
        <v>795</v>
      </c>
      <c r="F176" s="753" t="s">
        <v>1875</v>
      </c>
      <c r="G176" s="129">
        <v>349383678</v>
      </c>
      <c r="H176" s="129">
        <v>19560255</v>
      </c>
      <c r="I176" s="129">
        <v>368943933</v>
      </c>
      <c r="J176" s="793">
        <v>49.9</v>
      </c>
      <c r="K176" s="129">
        <v>174342455</v>
      </c>
      <c r="L176" s="129">
        <v>9760567</v>
      </c>
      <c r="M176" s="129">
        <v>-12190000</v>
      </c>
      <c r="N176" s="129">
        <v>0</v>
      </c>
      <c r="O176" s="129">
        <v>162152455</v>
      </c>
      <c r="P176" s="129">
        <v>9760567</v>
      </c>
      <c r="Q176" s="129">
        <v>171913022</v>
      </c>
      <c r="R176" s="129">
        <v>-564326</v>
      </c>
      <c r="S176" s="129">
        <v>-136359</v>
      </c>
      <c r="T176" s="129">
        <v>-700685</v>
      </c>
      <c r="U176" s="129">
        <v>1882549</v>
      </c>
      <c r="V176" s="129">
        <v>141811</v>
      </c>
      <c r="W176" s="129">
        <v>2024360</v>
      </c>
      <c r="X176" s="129">
        <v>1318223</v>
      </c>
      <c r="Y176" s="129">
        <v>5452</v>
      </c>
      <c r="Z176" s="129">
        <v>0</v>
      </c>
      <c r="AA176" s="129">
        <v>0</v>
      </c>
      <c r="AB176" s="129">
        <v>1318223</v>
      </c>
      <c r="AC176" s="129">
        <v>5452</v>
      </c>
      <c r="AD176" s="129">
        <v>1323675</v>
      </c>
      <c r="AE176" s="129">
        <v>-1318223</v>
      </c>
      <c r="AF176" s="129">
        <v>-5452</v>
      </c>
      <c r="AG176" s="129">
        <v>-1323675</v>
      </c>
      <c r="AH176" s="129">
        <v>-10458247</v>
      </c>
      <c r="AI176" s="129">
        <v>-75072</v>
      </c>
      <c r="AJ176" s="129">
        <v>-10533319</v>
      </c>
      <c r="AK176" s="129">
        <v>-17504</v>
      </c>
      <c r="AL176" s="129">
        <v>0</v>
      </c>
      <c r="AM176" s="129">
        <v>-17504</v>
      </c>
      <c r="AN176" s="129">
        <v>3586715</v>
      </c>
      <c r="AO176" s="129">
        <v>215638</v>
      </c>
      <c r="AP176" s="129">
        <v>3802353</v>
      </c>
      <c r="AQ176" s="129">
        <v>-6871532</v>
      </c>
      <c r="AR176" s="129">
        <v>140566</v>
      </c>
      <c r="AS176" s="129">
        <v>-6730966</v>
      </c>
      <c r="AT176" s="129">
        <v>-14683038</v>
      </c>
      <c r="AU176" s="129">
        <v>-780514</v>
      </c>
      <c r="AV176" s="129">
        <v>-15463552</v>
      </c>
      <c r="AW176" s="129">
        <v>-144646</v>
      </c>
      <c r="AX176" s="129">
        <v>0</v>
      </c>
      <c r="AY176" s="129">
        <v>-144646</v>
      </c>
      <c r="AZ176" s="129">
        <v>-1572</v>
      </c>
      <c r="BA176" s="129">
        <v>0</v>
      </c>
      <c r="BB176" s="129">
        <v>-1572</v>
      </c>
      <c r="BC176" s="129">
        <v>0</v>
      </c>
      <c r="BD176" s="129">
        <v>0</v>
      </c>
      <c r="BE176" s="129">
        <v>0</v>
      </c>
      <c r="BF176" s="129">
        <v>-21700788</v>
      </c>
      <c r="BG176" s="129">
        <v>-639948</v>
      </c>
      <c r="BH176" s="129">
        <v>0</v>
      </c>
      <c r="BI176" s="129">
        <v>0</v>
      </c>
      <c r="BJ176" s="129">
        <v>-21700788</v>
      </c>
      <c r="BK176" s="129">
        <v>-639948</v>
      </c>
      <c r="BL176" s="129">
        <v>-22340736</v>
      </c>
      <c r="BM176" s="129">
        <v>-450000</v>
      </c>
      <c r="BN176" s="129">
        <v>0</v>
      </c>
      <c r="BO176" s="129">
        <v>-450000</v>
      </c>
      <c r="BP176" s="129">
        <v>-5720516</v>
      </c>
      <c r="BQ176" s="129">
        <v>-498294</v>
      </c>
      <c r="BR176" s="129">
        <v>-6218810</v>
      </c>
      <c r="BS176" s="129">
        <v>-6170516</v>
      </c>
      <c r="BT176" s="129">
        <v>-498294</v>
      </c>
      <c r="BU176" s="129">
        <v>0</v>
      </c>
      <c r="BV176" s="129">
        <v>0</v>
      </c>
      <c r="BW176" s="129">
        <v>-6170516</v>
      </c>
      <c r="BX176" s="129">
        <v>-498294</v>
      </c>
      <c r="BY176" s="129">
        <v>-6668810</v>
      </c>
      <c r="BZ176" s="129">
        <v>-515974</v>
      </c>
      <c r="CA176" s="129">
        <v>0</v>
      </c>
      <c r="CB176" s="129">
        <v>-515974</v>
      </c>
      <c r="CC176" s="129">
        <v>-76006</v>
      </c>
      <c r="CD176" s="129">
        <v>0</v>
      </c>
      <c r="CE176" s="129">
        <v>-76006</v>
      </c>
      <c r="CF176" s="129">
        <v>0</v>
      </c>
      <c r="CG176" s="129">
        <v>0</v>
      </c>
      <c r="CH176" s="129">
        <v>0</v>
      </c>
      <c r="CI176" s="129">
        <v>0</v>
      </c>
      <c r="CJ176" s="129">
        <v>0</v>
      </c>
      <c r="CK176" s="129">
        <v>0</v>
      </c>
      <c r="CL176" s="129">
        <v>0</v>
      </c>
      <c r="CM176" s="129">
        <v>0</v>
      </c>
      <c r="CN176" s="129">
        <v>0</v>
      </c>
      <c r="CO176" s="129">
        <v>0</v>
      </c>
      <c r="CP176" s="129">
        <v>0</v>
      </c>
      <c r="CQ176" s="129">
        <v>0</v>
      </c>
      <c r="CR176" s="129">
        <v>0</v>
      </c>
      <c r="CS176" s="129">
        <v>0</v>
      </c>
      <c r="CT176" s="129">
        <v>-591980</v>
      </c>
      <c r="CU176" s="129">
        <v>0</v>
      </c>
      <c r="CV176" s="129">
        <v>0</v>
      </c>
      <c r="CW176" s="129">
        <v>0</v>
      </c>
      <c r="CX176" s="129">
        <v>-591980</v>
      </c>
      <c r="CY176" s="129">
        <v>0</v>
      </c>
      <c r="CZ176" s="129">
        <v>-591980</v>
      </c>
      <c r="DA176" s="129">
        <v>0</v>
      </c>
      <c r="DB176" s="129">
        <v>0</v>
      </c>
      <c r="DC176" s="129">
        <v>0</v>
      </c>
      <c r="DD176" s="129">
        <v>-26465</v>
      </c>
      <c r="DE176" s="129">
        <v>0</v>
      </c>
      <c r="DF176" s="129">
        <v>-26465</v>
      </c>
      <c r="DG176" s="129">
        <v>0</v>
      </c>
      <c r="DH176" s="129">
        <v>0</v>
      </c>
      <c r="DI176" s="129">
        <v>0</v>
      </c>
      <c r="DJ176" s="129">
        <v>-26465</v>
      </c>
      <c r="DK176" s="129">
        <v>0</v>
      </c>
      <c r="DL176" s="129">
        <v>0</v>
      </c>
      <c r="DM176" s="129">
        <v>0</v>
      </c>
      <c r="DN176" s="129">
        <v>-26465</v>
      </c>
      <c r="DO176" s="129">
        <v>0</v>
      </c>
      <c r="DP176" s="129">
        <v>-26465</v>
      </c>
      <c r="DQ176" s="129">
        <v>134980929</v>
      </c>
      <c r="DR176" s="129">
        <v>8627777</v>
      </c>
      <c r="DS176" s="129">
        <v>143608706</v>
      </c>
      <c r="DT176" s="662" t="s">
        <v>795</v>
      </c>
      <c r="DU176" s="324" t="s">
        <v>570</v>
      </c>
      <c r="DV176" s="663" t="s">
        <v>573</v>
      </c>
      <c r="DW176" s="529" t="s">
        <v>1383</v>
      </c>
    </row>
    <row r="177" spans="1:127" ht="12.75" x14ac:dyDescent="0.2">
      <c r="A177" s="664">
        <v>170</v>
      </c>
      <c r="B177" s="665" t="s">
        <v>219</v>
      </c>
      <c r="C177" s="666" t="s">
        <v>1201</v>
      </c>
      <c r="D177" s="667" t="s">
        <v>1228</v>
      </c>
      <c r="E177" s="668" t="s">
        <v>218</v>
      </c>
      <c r="F177" s="753" t="s">
        <v>1895</v>
      </c>
      <c r="G177" s="129">
        <v>90499092</v>
      </c>
      <c r="H177" s="129">
        <v>0</v>
      </c>
      <c r="I177" s="129">
        <v>90499092</v>
      </c>
      <c r="J177" s="793">
        <v>49.9</v>
      </c>
      <c r="K177" s="129">
        <v>45159047</v>
      </c>
      <c r="L177" s="129">
        <v>0</v>
      </c>
      <c r="M177" s="129">
        <v>0</v>
      </c>
      <c r="N177" s="129">
        <v>0</v>
      </c>
      <c r="O177" s="129">
        <v>45159047</v>
      </c>
      <c r="P177" s="129">
        <v>0</v>
      </c>
      <c r="Q177" s="129">
        <v>45159047</v>
      </c>
      <c r="R177" s="129">
        <v>-96365</v>
      </c>
      <c r="S177" s="129">
        <v>0</v>
      </c>
      <c r="T177" s="129">
        <v>-96365</v>
      </c>
      <c r="U177" s="129">
        <v>131786</v>
      </c>
      <c r="V177" s="129">
        <v>0</v>
      </c>
      <c r="W177" s="129">
        <v>131786</v>
      </c>
      <c r="X177" s="129">
        <v>35421</v>
      </c>
      <c r="Y177" s="129">
        <v>0</v>
      </c>
      <c r="Z177" s="129">
        <v>0</v>
      </c>
      <c r="AA177" s="129">
        <v>0</v>
      </c>
      <c r="AB177" s="129">
        <v>35421</v>
      </c>
      <c r="AC177" s="129">
        <v>0</v>
      </c>
      <c r="AD177" s="129">
        <v>35421</v>
      </c>
      <c r="AE177" s="129">
        <v>-35421</v>
      </c>
      <c r="AF177" s="129">
        <v>0</v>
      </c>
      <c r="AG177" s="129">
        <v>-35421</v>
      </c>
      <c r="AH177" s="129">
        <v>-3780440</v>
      </c>
      <c r="AI177" s="129">
        <v>0</v>
      </c>
      <c r="AJ177" s="129">
        <v>-3780440</v>
      </c>
      <c r="AK177" s="129">
        <v>0</v>
      </c>
      <c r="AL177" s="129">
        <v>0</v>
      </c>
      <c r="AM177" s="129">
        <v>0</v>
      </c>
      <c r="AN177" s="129">
        <v>820896</v>
      </c>
      <c r="AO177" s="129">
        <v>0</v>
      </c>
      <c r="AP177" s="129">
        <v>820896</v>
      </c>
      <c r="AQ177" s="129">
        <v>-2959544</v>
      </c>
      <c r="AR177" s="129">
        <v>0</v>
      </c>
      <c r="AS177" s="129">
        <v>-2959544</v>
      </c>
      <c r="AT177" s="129">
        <v>-3890292</v>
      </c>
      <c r="AU177" s="129">
        <v>0</v>
      </c>
      <c r="AV177" s="129">
        <v>-3890292</v>
      </c>
      <c r="AW177" s="129">
        <v>-31651</v>
      </c>
      <c r="AX177" s="129">
        <v>0</v>
      </c>
      <c r="AY177" s="129">
        <v>-31651</v>
      </c>
      <c r="AZ177" s="129">
        <v>-24377</v>
      </c>
      <c r="BA177" s="129">
        <v>0</v>
      </c>
      <c r="BB177" s="129">
        <v>-24377</v>
      </c>
      <c r="BC177" s="129">
        <v>0</v>
      </c>
      <c r="BD177" s="129">
        <v>0</v>
      </c>
      <c r="BE177" s="129">
        <v>0</v>
      </c>
      <c r="BF177" s="129">
        <v>-6905864</v>
      </c>
      <c r="BG177" s="129">
        <v>0</v>
      </c>
      <c r="BH177" s="129">
        <v>0</v>
      </c>
      <c r="BI177" s="129">
        <v>0</v>
      </c>
      <c r="BJ177" s="129">
        <v>-6905864</v>
      </c>
      <c r="BK177" s="129">
        <v>0</v>
      </c>
      <c r="BL177" s="129">
        <v>-6905864</v>
      </c>
      <c r="BM177" s="129">
        <v>0</v>
      </c>
      <c r="BN177" s="129">
        <v>0</v>
      </c>
      <c r="BO177" s="129">
        <v>0</v>
      </c>
      <c r="BP177" s="129">
        <v>-410736</v>
      </c>
      <c r="BQ177" s="129">
        <v>0</v>
      </c>
      <c r="BR177" s="129">
        <v>-410736</v>
      </c>
      <c r="BS177" s="129">
        <v>-410736</v>
      </c>
      <c r="BT177" s="129">
        <v>0</v>
      </c>
      <c r="BU177" s="129">
        <v>0</v>
      </c>
      <c r="BV177" s="129">
        <v>0</v>
      </c>
      <c r="BW177" s="129">
        <v>-410736</v>
      </c>
      <c r="BX177" s="129">
        <v>0</v>
      </c>
      <c r="BY177" s="129">
        <v>-410736</v>
      </c>
      <c r="BZ177" s="129">
        <v>-21515</v>
      </c>
      <c r="CA177" s="129">
        <v>0</v>
      </c>
      <c r="CB177" s="129">
        <v>-21515</v>
      </c>
      <c r="CC177" s="129">
        <v>-11023</v>
      </c>
      <c r="CD177" s="129">
        <v>0</v>
      </c>
      <c r="CE177" s="129">
        <v>-11023</v>
      </c>
      <c r="CF177" s="129">
        <v>-226</v>
      </c>
      <c r="CG177" s="129">
        <v>0</v>
      </c>
      <c r="CH177" s="129">
        <v>-226</v>
      </c>
      <c r="CI177" s="129">
        <v>-24377</v>
      </c>
      <c r="CJ177" s="129">
        <v>0</v>
      </c>
      <c r="CK177" s="129">
        <v>-24377</v>
      </c>
      <c r="CL177" s="129">
        <v>0</v>
      </c>
      <c r="CM177" s="129">
        <v>0</v>
      </c>
      <c r="CN177" s="129">
        <v>0</v>
      </c>
      <c r="CO177" s="129">
        <v>0</v>
      </c>
      <c r="CP177" s="129">
        <v>0</v>
      </c>
      <c r="CQ177" s="129">
        <v>0</v>
      </c>
      <c r="CR177" s="129">
        <v>0</v>
      </c>
      <c r="CS177" s="129">
        <v>0</v>
      </c>
      <c r="CT177" s="129">
        <v>-57141</v>
      </c>
      <c r="CU177" s="129">
        <v>0</v>
      </c>
      <c r="CV177" s="129">
        <v>0</v>
      </c>
      <c r="CW177" s="129">
        <v>0</v>
      </c>
      <c r="CX177" s="129">
        <v>-57141</v>
      </c>
      <c r="CY177" s="129">
        <v>0</v>
      </c>
      <c r="CZ177" s="129">
        <v>-57141</v>
      </c>
      <c r="DA177" s="129">
        <v>-24377</v>
      </c>
      <c r="DB177" s="129">
        <v>0</v>
      </c>
      <c r="DC177" s="129">
        <v>-24377</v>
      </c>
      <c r="DD177" s="129">
        <v>-18122</v>
      </c>
      <c r="DE177" s="129">
        <v>0</v>
      </c>
      <c r="DF177" s="129">
        <v>-18122</v>
      </c>
      <c r="DG177" s="129">
        <v>0</v>
      </c>
      <c r="DH177" s="129">
        <v>0</v>
      </c>
      <c r="DI177" s="129">
        <v>0</v>
      </c>
      <c r="DJ177" s="129">
        <v>-42499</v>
      </c>
      <c r="DK177" s="129">
        <v>0</v>
      </c>
      <c r="DL177" s="129">
        <v>0</v>
      </c>
      <c r="DM177" s="129">
        <v>0</v>
      </c>
      <c r="DN177" s="129">
        <v>-42499</v>
      </c>
      <c r="DO177" s="129">
        <v>0</v>
      </c>
      <c r="DP177" s="129">
        <v>-42499</v>
      </c>
      <c r="DQ177" s="129">
        <v>37778228</v>
      </c>
      <c r="DR177" s="129">
        <v>0</v>
      </c>
      <c r="DS177" s="129">
        <v>37778228</v>
      </c>
      <c r="DT177" s="662" t="s">
        <v>218</v>
      </c>
      <c r="DU177" s="324" t="s">
        <v>564</v>
      </c>
      <c r="DV177" s="663" t="s">
        <v>1917</v>
      </c>
      <c r="DW177" s="529" t="s">
        <v>1384</v>
      </c>
    </row>
    <row r="178" spans="1:127" ht="12.75" x14ac:dyDescent="0.2">
      <c r="A178" s="664">
        <v>171</v>
      </c>
      <c r="B178" s="665" t="s">
        <v>221</v>
      </c>
      <c r="C178" s="666" t="s">
        <v>1213</v>
      </c>
      <c r="D178" s="667" t="s">
        <v>1214</v>
      </c>
      <c r="E178" s="668" t="s">
        <v>220</v>
      </c>
      <c r="F178" s="753" t="s">
        <v>1875</v>
      </c>
      <c r="G178" s="129">
        <v>398928331</v>
      </c>
      <c r="H178" s="129">
        <v>9378450</v>
      </c>
      <c r="I178" s="129">
        <v>408306781</v>
      </c>
      <c r="J178" s="793">
        <v>49.9</v>
      </c>
      <c r="K178" s="129">
        <v>199065237</v>
      </c>
      <c r="L178" s="129">
        <v>4679847</v>
      </c>
      <c r="M178" s="129">
        <v>0</v>
      </c>
      <c r="N178" s="129">
        <v>0</v>
      </c>
      <c r="O178" s="129">
        <v>199065237</v>
      </c>
      <c r="P178" s="129">
        <v>4679847</v>
      </c>
      <c r="Q178" s="129">
        <v>203745084</v>
      </c>
      <c r="R178" s="129">
        <v>-286251</v>
      </c>
      <c r="S178" s="129">
        <v>-2110</v>
      </c>
      <c r="T178" s="129">
        <v>-288361</v>
      </c>
      <c r="U178" s="129">
        <v>369890</v>
      </c>
      <c r="V178" s="129">
        <v>0</v>
      </c>
      <c r="W178" s="129">
        <v>369890</v>
      </c>
      <c r="X178" s="129">
        <v>83639</v>
      </c>
      <c r="Y178" s="129">
        <v>-2110</v>
      </c>
      <c r="Z178" s="129">
        <v>0</v>
      </c>
      <c r="AA178" s="129">
        <v>0</v>
      </c>
      <c r="AB178" s="129">
        <v>83639</v>
      </c>
      <c r="AC178" s="129">
        <v>-2110</v>
      </c>
      <c r="AD178" s="129">
        <v>81529</v>
      </c>
      <c r="AE178" s="129">
        <v>-83639</v>
      </c>
      <c r="AF178" s="129">
        <v>2110</v>
      </c>
      <c r="AG178" s="129">
        <v>-81529</v>
      </c>
      <c r="AH178" s="129">
        <v>-9931128</v>
      </c>
      <c r="AI178" s="129">
        <v>-21047</v>
      </c>
      <c r="AJ178" s="129">
        <v>-9952175</v>
      </c>
      <c r="AK178" s="129">
        <v>0</v>
      </c>
      <c r="AL178" s="129">
        <v>0</v>
      </c>
      <c r="AM178" s="129">
        <v>0</v>
      </c>
      <c r="AN178" s="129">
        <v>4283899</v>
      </c>
      <c r="AO178" s="129">
        <v>118597</v>
      </c>
      <c r="AP178" s="129">
        <v>4402496</v>
      </c>
      <c r="AQ178" s="129">
        <v>-5647229</v>
      </c>
      <c r="AR178" s="129">
        <v>97550</v>
      </c>
      <c r="AS178" s="129">
        <v>-5549679</v>
      </c>
      <c r="AT178" s="129">
        <v>-14984081</v>
      </c>
      <c r="AU178" s="129">
        <v>-114074</v>
      </c>
      <c r="AV178" s="129">
        <v>-15098155</v>
      </c>
      <c r="AW178" s="129">
        <v>-62669</v>
      </c>
      <c r="AX178" s="129">
        <v>0</v>
      </c>
      <c r="AY178" s="129">
        <v>-62669</v>
      </c>
      <c r="AZ178" s="129">
        <v>0</v>
      </c>
      <c r="BA178" s="129">
        <v>0</v>
      </c>
      <c r="BB178" s="129">
        <v>0</v>
      </c>
      <c r="BC178" s="129">
        <v>0</v>
      </c>
      <c r="BD178" s="129">
        <v>0</v>
      </c>
      <c r="BE178" s="129">
        <v>0</v>
      </c>
      <c r="BF178" s="129">
        <v>-20693979</v>
      </c>
      <c r="BG178" s="129">
        <v>-16524</v>
      </c>
      <c r="BH178" s="129">
        <v>0</v>
      </c>
      <c r="BI178" s="129">
        <v>0</v>
      </c>
      <c r="BJ178" s="129">
        <v>-20693979</v>
      </c>
      <c r="BK178" s="129">
        <v>-16524</v>
      </c>
      <c r="BL178" s="129">
        <v>-20710503</v>
      </c>
      <c r="BM178" s="129">
        <v>0</v>
      </c>
      <c r="BN178" s="129">
        <v>0</v>
      </c>
      <c r="BO178" s="129">
        <v>0</v>
      </c>
      <c r="BP178" s="129">
        <v>-3683095</v>
      </c>
      <c r="BQ178" s="129">
        <v>-93913</v>
      </c>
      <c r="BR178" s="129">
        <v>-3777008</v>
      </c>
      <c r="BS178" s="129">
        <v>-3683095</v>
      </c>
      <c r="BT178" s="129">
        <v>-93913</v>
      </c>
      <c r="BU178" s="129">
        <v>0</v>
      </c>
      <c r="BV178" s="129">
        <v>0</v>
      </c>
      <c r="BW178" s="129">
        <v>-3683095</v>
      </c>
      <c r="BX178" s="129">
        <v>-93913</v>
      </c>
      <c r="BY178" s="129">
        <v>-3777008</v>
      </c>
      <c r="BZ178" s="129">
        <v>0</v>
      </c>
      <c r="CA178" s="129">
        <v>0</v>
      </c>
      <c r="CB178" s="129">
        <v>0</v>
      </c>
      <c r="CC178" s="129">
        <v>0</v>
      </c>
      <c r="CD178" s="129">
        <v>0</v>
      </c>
      <c r="CE178" s="129">
        <v>0</v>
      </c>
      <c r="CF178" s="129">
        <v>0</v>
      </c>
      <c r="CG178" s="129">
        <v>0</v>
      </c>
      <c r="CH178" s="129">
        <v>0</v>
      </c>
      <c r="CI178" s="129">
        <v>0</v>
      </c>
      <c r="CJ178" s="129">
        <v>0</v>
      </c>
      <c r="CK178" s="129">
        <v>0</v>
      </c>
      <c r="CL178" s="129">
        <v>0</v>
      </c>
      <c r="CM178" s="129">
        <v>0</v>
      </c>
      <c r="CN178" s="129">
        <v>0</v>
      </c>
      <c r="CO178" s="129">
        <v>0</v>
      </c>
      <c r="CP178" s="129">
        <v>-166422</v>
      </c>
      <c r="CQ178" s="129">
        <v>-166422</v>
      </c>
      <c r="CR178" s="129">
        <v>-166422</v>
      </c>
      <c r="CS178" s="129">
        <v>0</v>
      </c>
      <c r="CT178" s="129">
        <v>0</v>
      </c>
      <c r="CU178" s="129">
        <v>-166422</v>
      </c>
      <c r="CV178" s="129">
        <v>0</v>
      </c>
      <c r="CW178" s="129">
        <v>0</v>
      </c>
      <c r="CX178" s="129">
        <v>0</v>
      </c>
      <c r="CY178" s="129">
        <v>-166422</v>
      </c>
      <c r="CZ178" s="129">
        <v>-166422</v>
      </c>
      <c r="DA178" s="129">
        <v>0</v>
      </c>
      <c r="DB178" s="129">
        <v>0</v>
      </c>
      <c r="DC178" s="129">
        <v>0</v>
      </c>
      <c r="DD178" s="129">
        <v>-36111</v>
      </c>
      <c r="DE178" s="129">
        <v>0</v>
      </c>
      <c r="DF178" s="129">
        <v>-36111</v>
      </c>
      <c r="DG178" s="129">
        <v>0</v>
      </c>
      <c r="DH178" s="129">
        <v>0</v>
      </c>
      <c r="DI178" s="129">
        <v>0</v>
      </c>
      <c r="DJ178" s="129">
        <v>-36111</v>
      </c>
      <c r="DK178" s="129">
        <v>0</v>
      </c>
      <c r="DL178" s="129">
        <v>0</v>
      </c>
      <c r="DM178" s="129">
        <v>0</v>
      </c>
      <c r="DN178" s="129">
        <v>-36111</v>
      </c>
      <c r="DO178" s="129">
        <v>0</v>
      </c>
      <c r="DP178" s="129">
        <v>-36111</v>
      </c>
      <c r="DQ178" s="129">
        <v>174735691</v>
      </c>
      <c r="DR178" s="129">
        <v>4400878</v>
      </c>
      <c r="DS178" s="129">
        <v>179136569</v>
      </c>
      <c r="DT178" s="662" t="s">
        <v>220</v>
      </c>
      <c r="DU178" s="324" t="s">
        <v>576</v>
      </c>
      <c r="DV178" s="669" t="s">
        <v>485</v>
      </c>
      <c r="DW178" s="529" t="s">
        <v>1385</v>
      </c>
    </row>
    <row r="179" spans="1:127" ht="12.75" x14ac:dyDescent="0.2">
      <c r="A179" s="664">
        <v>172</v>
      </c>
      <c r="B179" s="665" t="s">
        <v>223</v>
      </c>
      <c r="C179" s="666" t="s">
        <v>1201</v>
      </c>
      <c r="D179" s="667" t="s">
        <v>1224</v>
      </c>
      <c r="E179" s="668" t="s">
        <v>222</v>
      </c>
      <c r="F179" s="753" t="s">
        <v>1882</v>
      </c>
      <c r="G179" s="129">
        <v>92410620</v>
      </c>
      <c r="H179" s="129">
        <v>0</v>
      </c>
      <c r="I179" s="129">
        <v>92410620</v>
      </c>
      <c r="J179" s="793">
        <v>49.9</v>
      </c>
      <c r="K179" s="129">
        <v>46112899</v>
      </c>
      <c r="L179" s="129">
        <v>0</v>
      </c>
      <c r="M179" s="129">
        <v>368903</v>
      </c>
      <c r="N179" s="129">
        <v>0</v>
      </c>
      <c r="O179" s="129">
        <v>46481802</v>
      </c>
      <c r="P179" s="129">
        <v>0</v>
      </c>
      <c r="Q179" s="129">
        <v>46481802</v>
      </c>
      <c r="R179" s="129">
        <v>-177161</v>
      </c>
      <c r="S179" s="129">
        <v>0</v>
      </c>
      <c r="T179" s="129">
        <v>-177161</v>
      </c>
      <c r="U179" s="129">
        <v>494827</v>
      </c>
      <c r="V179" s="129">
        <v>0</v>
      </c>
      <c r="W179" s="129">
        <v>494827</v>
      </c>
      <c r="X179" s="129">
        <v>317666</v>
      </c>
      <c r="Y179" s="129">
        <v>0</v>
      </c>
      <c r="Z179" s="129">
        <v>0</v>
      </c>
      <c r="AA179" s="129">
        <v>0</v>
      </c>
      <c r="AB179" s="129">
        <v>317666</v>
      </c>
      <c r="AC179" s="129">
        <v>0</v>
      </c>
      <c r="AD179" s="129">
        <v>317666</v>
      </c>
      <c r="AE179" s="129">
        <v>-317666</v>
      </c>
      <c r="AF179" s="129">
        <v>0</v>
      </c>
      <c r="AG179" s="129">
        <v>-317666</v>
      </c>
      <c r="AH179" s="129">
        <v>-8628238</v>
      </c>
      <c r="AI179" s="129">
        <v>0</v>
      </c>
      <c r="AJ179" s="129">
        <v>-8628238</v>
      </c>
      <c r="AK179" s="129">
        <v>-20611</v>
      </c>
      <c r="AL179" s="129">
        <v>0</v>
      </c>
      <c r="AM179" s="129">
        <v>-20611</v>
      </c>
      <c r="AN179" s="129">
        <v>659868</v>
      </c>
      <c r="AO179" s="129">
        <v>0</v>
      </c>
      <c r="AP179" s="129">
        <v>659868</v>
      </c>
      <c r="AQ179" s="129">
        <v>-7968370</v>
      </c>
      <c r="AR179" s="129">
        <v>0</v>
      </c>
      <c r="AS179" s="129">
        <v>-7968370</v>
      </c>
      <c r="AT179" s="129">
        <v>-3262997</v>
      </c>
      <c r="AU179" s="129">
        <v>0</v>
      </c>
      <c r="AV179" s="129">
        <v>-3262997</v>
      </c>
      <c r="AW179" s="129">
        <v>-133915</v>
      </c>
      <c r="AX179" s="129">
        <v>0</v>
      </c>
      <c r="AY179" s="129">
        <v>-133915</v>
      </c>
      <c r="AZ179" s="129">
        <v>-28284</v>
      </c>
      <c r="BA179" s="129">
        <v>0</v>
      </c>
      <c r="BB179" s="129">
        <v>-28284</v>
      </c>
      <c r="BC179" s="129">
        <v>0</v>
      </c>
      <c r="BD179" s="129">
        <v>0</v>
      </c>
      <c r="BE179" s="129">
        <v>0</v>
      </c>
      <c r="BF179" s="129">
        <v>-11393566</v>
      </c>
      <c r="BG179" s="129">
        <v>0</v>
      </c>
      <c r="BH179" s="129">
        <v>-829861</v>
      </c>
      <c r="BI179" s="129">
        <v>0</v>
      </c>
      <c r="BJ179" s="129">
        <v>-12223427</v>
      </c>
      <c r="BK179" s="129">
        <v>0</v>
      </c>
      <c r="BL179" s="129">
        <v>-12223427</v>
      </c>
      <c r="BM179" s="129">
        <v>-9500</v>
      </c>
      <c r="BN179" s="129">
        <v>0</v>
      </c>
      <c r="BO179" s="129">
        <v>-9500</v>
      </c>
      <c r="BP179" s="129">
        <v>-613826</v>
      </c>
      <c r="BQ179" s="129">
        <v>0</v>
      </c>
      <c r="BR179" s="129">
        <v>-613826</v>
      </c>
      <c r="BS179" s="129">
        <v>-623326</v>
      </c>
      <c r="BT179" s="129">
        <v>0</v>
      </c>
      <c r="BU179" s="129">
        <v>-137132</v>
      </c>
      <c r="BV179" s="129">
        <v>0</v>
      </c>
      <c r="BW179" s="129">
        <v>-760458</v>
      </c>
      <c r="BX179" s="129">
        <v>0</v>
      </c>
      <c r="BY179" s="129">
        <v>-760458</v>
      </c>
      <c r="BZ179" s="129">
        <v>-126550</v>
      </c>
      <c r="CA179" s="129">
        <v>0</v>
      </c>
      <c r="CB179" s="129">
        <v>-126550</v>
      </c>
      <c r="CC179" s="129">
        <v>-47061</v>
      </c>
      <c r="CD179" s="129">
        <v>0</v>
      </c>
      <c r="CE179" s="129">
        <v>-47061</v>
      </c>
      <c r="CF179" s="129">
        <v>-9600</v>
      </c>
      <c r="CG179" s="129">
        <v>0</v>
      </c>
      <c r="CH179" s="129">
        <v>-9600</v>
      </c>
      <c r="CI179" s="129">
        <v>0</v>
      </c>
      <c r="CJ179" s="129">
        <v>0</v>
      </c>
      <c r="CK179" s="129">
        <v>0</v>
      </c>
      <c r="CL179" s="129">
        <v>-8932</v>
      </c>
      <c r="CM179" s="129">
        <v>0</v>
      </c>
      <c r="CN179" s="129">
        <v>-8932</v>
      </c>
      <c r="CO179" s="129">
        <v>0</v>
      </c>
      <c r="CP179" s="129">
        <v>0</v>
      </c>
      <c r="CQ179" s="129">
        <v>0</v>
      </c>
      <c r="CR179" s="129">
        <v>0</v>
      </c>
      <c r="CS179" s="129">
        <v>0</v>
      </c>
      <c r="CT179" s="129">
        <v>-192143</v>
      </c>
      <c r="CU179" s="129">
        <v>0</v>
      </c>
      <c r="CV179" s="129">
        <v>0</v>
      </c>
      <c r="CW179" s="129">
        <v>0</v>
      </c>
      <c r="CX179" s="129">
        <v>-192143</v>
      </c>
      <c r="CY179" s="129">
        <v>0</v>
      </c>
      <c r="CZ179" s="129">
        <v>-192143</v>
      </c>
      <c r="DA179" s="129">
        <v>-28284</v>
      </c>
      <c r="DB179" s="129">
        <v>0</v>
      </c>
      <c r="DC179" s="129">
        <v>-28284</v>
      </c>
      <c r="DD179" s="129">
        <v>-35698</v>
      </c>
      <c r="DE179" s="129">
        <v>0</v>
      </c>
      <c r="DF179" s="129">
        <v>-35698</v>
      </c>
      <c r="DG179" s="129">
        <v>-1500</v>
      </c>
      <c r="DH179" s="129">
        <v>0</v>
      </c>
      <c r="DI179" s="129">
        <v>-1500</v>
      </c>
      <c r="DJ179" s="129">
        <v>-65482</v>
      </c>
      <c r="DK179" s="129">
        <v>0</v>
      </c>
      <c r="DL179" s="129">
        <v>0</v>
      </c>
      <c r="DM179" s="129">
        <v>0</v>
      </c>
      <c r="DN179" s="129">
        <v>-65482</v>
      </c>
      <c r="DO179" s="129">
        <v>0</v>
      </c>
      <c r="DP179" s="129">
        <v>-65482</v>
      </c>
      <c r="DQ179" s="129">
        <v>33557958</v>
      </c>
      <c r="DR179" s="129">
        <v>0</v>
      </c>
      <c r="DS179" s="129">
        <v>33557958</v>
      </c>
      <c r="DT179" s="662" t="s">
        <v>222</v>
      </c>
      <c r="DU179" s="324" t="s">
        <v>521</v>
      </c>
      <c r="DV179" s="663" t="s">
        <v>519</v>
      </c>
      <c r="DW179" s="529" t="s">
        <v>1386</v>
      </c>
    </row>
    <row r="180" spans="1:127" ht="12.75" x14ac:dyDescent="0.2">
      <c r="A180" s="664">
        <v>173</v>
      </c>
      <c r="B180" s="665" t="s">
        <v>225</v>
      </c>
      <c r="C180" s="666" t="s">
        <v>1201</v>
      </c>
      <c r="D180" s="667" t="s">
        <v>1206</v>
      </c>
      <c r="E180" s="668" t="s">
        <v>224</v>
      </c>
      <c r="F180" s="753" t="s">
        <v>1875</v>
      </c>
      <c r="G180" s="129">
        <v>46950184</v>
      </c>
      <c r="H180" s="129">
        <v>0</v>
      </c>
      <c r="I180" s="129">
        <v>46950184</v>
      </c>
      <c r="J180" s="793">
        <v>49.9</v>
      </c>
      <c r="K180" s="129">
        <v>23428142</v>
      </c>
      <c r="L180" s="129">
        <v>0</v>
      </c>
      <c r="M180" s="129">
        <v>0</v>
      </c>
      <c r="N180" s="129">
        <v>0</v>
      </c>
      <c r="O180" s="129">
        <v>23428142</v>
      </c>
      <c r="P180" s="129">
        <v>0</v>
      </c>
      <c r="Q180" s="129">
        <v>23428142</v>
      </c>
      <c r="R180" s="129">
        <v>-116294</v>
      </c>
      <c r="S180" s="129">
        <v>0</v>
      </c>
      <c r="T180" s="129">
        <v>-116294</v>
      </c>
      <c r="U180" s="129">
        <v>2645</v>
      </c>
      <c r="V180" s="129">
        <v>0</v>
      </c>
      <c r="W180" s="129">
        <v>2645</v>
      </c>
      <c r="X180" s="129">
        <v>-113649</v>
      </c>
      <c r="Y180" s="129">
        <v>0</v>
      </c>
      <c r="Z180" s="129">
        <v>0</v>
      </c>
      <c r="AA180" s="129">
        <v>0</v>
      </c>
      <c r="AB180" s="129">
        <v>-113649</v>
      </c>
      <c r="AC180" s="129">
        <v>0</v>
      </c>
      <c r="AD180" s="129">
        <v>-113649</v>
      </c>
      <c r="AE180" s="129">
        <v>113649</v>
      </c>
      <c r="AF180" s="129">
        <v>0</v>
      </c>
      <c r="AG180" s="129">
        <v>113649</v>
      </c>
      <c r="AH180" s="129">
        <v>-3483160</v>
      </c>
      <c r="AI180" s="129">
        <v>0</v>
      </c>
      <c r="AJ180" s="129">
        <v>-3483160</v>
      </c>
      <c r="AK180" s="129">
        <v>0</v>
      </c>
      <c r="AL180" s="129">
        <v>0</v>
      </c>
      <c r="AM180" s="129">
        <v>0</v>
      </c>
      <c r="AN180" s="129">
        <v>339424</v>
      </c>
      <c r="AO180" s="129">
        <v>0</v>
      </c>
      <c r="AP180" s="129">
        <v>339424</v>
      </c>
      <c r="AQ180" s="129">
        <v>-3143736</v>
      </c>
      <c r="AR180" s="129">
        <v>0</v>
      </c>
      <c r="AS180" s="129">
        <v>-3143736</v>
      </c>
      <c r="AT180" s="129">
        <v>-1205111</v>
      </c>
      <c r="AU180" s="129">
        <v>0</v>
      </c>
      <c r="AV180" s="129">
        <v>-1205111</v>
      </c>
      <c r="AW180" s="129">
        <v>-19272</v>
      </c>
      <c r="AX180" s="129">
        <v>0</v>
      </c>
      <c r="AY180" s="129">
        <v>-19272</v>
      </c>
      <c r="AZ180" s="129">
        <v>-1210</v>
      </c>
      <c r="BA180" s="129">
        <v>0</v>
      </c>
      <c r="BB180" s="129">
        <v>-1210</v>
      </c>
      <c r="BC180" s="129">
        <v>0</v>
      </c>
      <c r="BD180" s="129">
        <v>0</v>
      </c>
      <c r="BE180" s="129">
        <v>0</v>
      </c>
      <c r="BF180" s="129">
        <v>-4369329</v>
      </c>
      <c r="BG180" s="129">
        <v>0</v>
      </c>
      <c r="BH180" s="129">
        <v>0</v>
      </c>
      <c r="BI180" s="129">
        <v>0</v>
      </c>
      <c r="BJ180" s="129">
        <v>-4369329</v>
      </c>
      <c r="BK180" s="129">
        <v>0</v>
      </c>
      <c r="BL180" s="129">
        <v>-4369329</v>
      </c>
      <c r="BM180" s="129">
        <v>0</v>
      </c>
      <c r="BN180" s="129">
        <v>0</v>
      </c>
      <c r="BO180" s="129">
        <v>0</v>
      </c>
      <c r="BP180" s="129">
        <v>-464284</v>
      </c>
      <c r="BQ180" s="129">
        <v>0</v>
      </c>
      <c r="BR180" s="129">
        <v>-464284</v>
      </c>
      <c r="BS180" s="129">
        <v>-464284</v>
      </c>
      <c r="BT180" s="129">
        <v>0</v>
      </c>
      <c r="BU180" s="129">
        <v>0</v>
      </c>
      <c r="BV180" s="129">
        <v>0</v>
      </c>
      <c r="BW180" s="129">
        <v>-464284</v>
      </c>
      <c r="BX180" s="129">
        <v>0</v>
      </c>
      <c r="BY180" s="129">
        <v>-464284</v>
      </c>
      <c r="BZ180" s="129">
        <v>-37128</v>
      </c>
      <c r="CA180" s="129">
        <v>0</v>
      </c>
      <c r="CB180" s="129">
        <v>-37128</v>
      </c>
      <c r="CC180" s="129">
        <v>-7212</v>
      </c>
      <c r="CD180" s="129">
        <v>0</v>
      </c>
      <c r="CE180" s="129">
        <v>-7212</v>
      </c>
      <c r="CF180" s="129">
        <v>-236</v>
      </c>
      <c r="CG180" s="129">
        <v>0</v>
      </c>
      <c r="CH180" s="129">
        <v>-236</v>
      </c>
      <c r="CI180" s="129">
        <v>0</v>
      </c>
      <c r="CJ180" s="129">
        <v>0</v>
      </c>
      <c r="CK180" s="129">
        <v>0</v>
      </c>
      <c r="CL180" s="129">
        <v>0</v>
      </c>
      <c r="CM180" s="129">
        <v>0</v>
      </c>
      <c r="CN180" s="129">
        <v>0</v>
      </c>
      <c r="CO180" s="129">
        <v>0</v>
      </c>
      <c r="CP180" s="129">
        <v>0</v>
      </c>
      <c r="CQ180" s="129">
        <v>0</v>
      </c>
      <c r="CR180" s="129">
        <v>0</v>
      </c>
      <c r="CS180" s="129">
        <v>0</v>
      </c>
      <c r="CT180" s="129">
        <v>-44576</v>
      </c>
      <c r="CU180" s="129">
        <v>0</v>
      </c>
      <c r="CV180" s="129">
        <v>0</v>
      </c>
      <c r="CW180" s="129">
        <v>0</v>
      </c>
      <c r="CX180" s="129">
        <v>-44576</v>
      </c>
      <c r="CY180" s="129">
        <v>0</v>
      </c>
      <c r="CZ180" s="129">
        <v>-44576</v>
      </c>
      <c r="DA180" s="129">
        <v>-1210</v>
      </c>
      <c r="DB180" s="129">
        <v>0</v>
      </c>
      <c r="DC180" s="129">
        <v>-1210</v>
      </c>
      <c r="DD180" s="129">
        <v>-18920</v>
      </c>
      <c r="DE180" s="129">
        <v>0</v>
      </c>
      <c r="DF180" s="129">
        <v>-18920</v>
      </c>
      <c r="DG180" s="129">
        <v>0</v>
      </c>
      <c r="DH180" s="129">
        <v>0</v>
      </c>
      <c r="DI180" s="129">
        <v>0</v>
      </c>
      <c r="DJ180" s="129">
        <v>-20130</v>
      </c>
      <c r="DK180" s="129">
        <v>0</v>
      </c>
      <c r="DL180" s="129">
        <v>0</v>
      </c>
      <c r="DM180" s="129">
        <v>0</v>
      </c>
      <c r="DN180" s="129">
        <v>-20130</v>
      </c>
      <c r="DO180" s="129">
        <v>0</v>
      </c>
      <c r="DP180" s="129">
        <v>-20130</v>
      </c>
      <c r="DQ180" s="129">
        <v>18416174</v>
      </c>
      <c r="DR180" s="129">
        <v>0</v>
      </c>
      <c r="DS180" s="129">
        <v>18416174</v>
      </c>
      <c r="DT180" s="662" t="s">
        <v>224</v>
      </c>
      <c r="DU180" s="324" t="s">
        <v>516</v>
      </c>
      <c r="DV180" s="663" t="s">
        <v>515</v>
      </c>
      <c r="DW180" s="529" t="s">
        <v>1387</v>
      </c>
    </row>
    <row r="181" spans="1:127" ht="12.75" x14ac:dyDescent="0.2">
      <c r="A181" s="664">
        <v>174</v>
      </c>
      <c r="B181" s="665" t="s">
        <v>227</v>
      </c>
      <c r="C181" s="666" t="s">
        <v>486</v>
      </c>
      <c r="D181" s="667" t="s">
        <v>1218</v>
      </c>
      <c r="E181" s="668" t="s">
        <v>539</v>
      </c>
      <c r="F181" s="753" t="s">
        <v>1879</v>
      </c>
      <c r="G181" s="129">
        <v>152365303</v>
      </c>
      <c r="H181" s="129">
        <v>425250</v>
      </c>
      <c r="I181" s="129">
        <v>152790553</v>
      </c>
      <c r="J181" s="793">
        <v>49.9</v>
      </c>
      <c r="K181" s="129">
        <v>76030286</v>
      </c>
      <c r="L181" s="129">
        <v>212200</v>
      </c>
      <c r="M181" s="129">
        <v>1214286</v>
      </c>
      <c r="N181" s="129">
        <v>0</v>
      </c>
      <c r="O181" s="129">
        <v>77244572</v>
      </c>
      <c r="P181" s="129">
        <v>212200</v>
      </c>
      <c r="Q181" s="129">
        <v>77456772</v>
      </c>
      <c r="R181" s="129">
        <v>-290487</v>
      </c>
      <c r="S181" s="129">
        <v>0</v>
      </c>
      <c r="T181" s="129">
        <v>-290487</v>
      </c>
      <c r="U181" s="129">
        <v>2352521</v>
      </c>
      <c r="V181" s="129">
        <v>0</v>
      </c>
      <c r="W181" s="129">
        <v>2352521</v>
      </c>
      <c r="X181" s="129">
        <v>2062034</v>
      </c>
      <c r="Y181" s="129">
        <v>0</v>
      </c>
      <c r="Z181" s="129">
        <v>0</v>
      </c>
      <c r="AA181" s="129">
        <v>0</v>
      </c>
      <c r="AB181" s="129">
        <v>2062034</v>
      </c>
      <c r="AC181" s="129">
        <v>0</v>
      </c>
      <c r="AD181" s="129">
        <v>2062034</v>
      </c>
      <c r="AE181" s="129">
        <v>-2062034</v>
      </c>
      <c r="AF181" s="129">
        <v>0</v>
      </c>
      <c r="AG181" s="129">
        <v>-2062034</v>
      </c>
      <c r="AH181" s="129">
        <v>-5807324</v>
      </c>
      <c r="AI181" s="129">
        <v>0</v>
      </c>
      <c r="AJ181" s="129">
        <v>-5807324</v>
      </c>
      <c r="AK181" s="129">
        <v>-19636</v>
      </c>
      <c r="AL181" s="129">
        <v>0</v>
      </c>
      <c r="AM181" s="129">
        <v>-19636</v>
      </c>
      <c r="AN181" s="129">
        <v>1488044</v>
      </c>
      <c r="AO181" s="129">
        <v>2203</v>
      </c>
      <c r="AP181" s="129">
        <v>1490247</v>
      </c>
      <c r="AQ181" s="129">
        <v>-4319280</v>
      </c>
      <c r="AR181" s="129">
        <v>2203</v>
      </c>
      <c r="AS181" s="129">
        <v>-4317077</v>
      </c>
      <c r="AT181" s="129">
        <v>-4540935</v>
      </c>
      <c r="AU181" s="129">
        <v>0</v>
      </c>
      <c r="AV181" s="129">
        <v>-4540935</v>
      </c>
      <c r="AW181" s="129">
        <v>-83845</v>
      </c>
      <c r="AX181" s="129">
        <v>0</v>
      </c>
      <c r="AY181" s="129">
        <v>-83845</v>
      </c>
      <c r="AZ181" s="129">
        <v>0</v>
      </c>
      <c r="BA181" s="129">
        <v>0</v>
      </c>
      <c r="BB181" s="129">
        <v>0</v>
      </c>
      <c r="BC181" s="129">
        <v>0</v>
      </c>
      <c r="BD181" s="129">
        <v>0</v>
      </c>
      <c r="BE181" s="129">
        <v>0</v>
      </c>
      <c r="BF181" s="129">
        <v>-8944060</v>
      </c>
      <c r="BG181" s="129">
        <v>2203</v>
      </c>
      <c r="BH181" s="129">
        <v>0</v>
      </c>
      <c r="BI181" s="129">
        <v>0</v>
      </c>
      <c r="BJ181" s="129">
        <v>-8944060</v>
      </c>
      <c r="BK181" s="129">
        <v>2203</v>
      </c>
      <c r="BL181" s="129">
        <v>-8941857</v>
      </c>
      <c r="BM181" s="129">
        <v>0</v>
      </c>
      <c r="BN181" s="129">
        <v>0</v>
      </c>
      <c r="BO181" s="129">
        <v>0</v>
      </c>
      <c r="BP181" s="129">
        <v>-1875983</v>
      </c>
      <c r="BQ181" s="129">
        <v>-16384</v>
      </c>
      <c r="BR181" s="129">
        <v>-1892367</v>
      </c>
      <c r="BS181" s="129">
        <v>-1875983</v>
      </c>
      <c r="BT181" s="129">
        <v>-16384</v>
      </c>
      <c r="BU181" s="129">
        <v>0</v>
      </c>
      <c r="BV181" s="129">
        <v>0</v>
      </c>
      <c r="BW181" s="129">
        <v>-1875983</v>
      </c>
      <c r="BX181" s="129">
        <v>-16384</v>
      </c>
      <c r="BY181" s="129">
        <v>-1892367</v>
      </c>
      <c r="BZ181" s="129">
        <v>-157030</v>
      </c>
      <c r="CA181" s="129">
        <v>0</v>
      </c>
      <c r="CB181" s="129">
        <v>-157030</v>
      </c>
      <c r="CC181" s="129">
        <v>-179363</v>
      </c>
      <c r="CD181" s="129">
        <v>0</v>
      </c>
      <c r="CE181" s="129">
        <v>-179363</v>
      </c>
      <c r="CF181" s="129">
        <v>-11340</v>
      </c>
      <c r="CG181" s="129">
        <v>0</v>
      </c>
      <c r="CH181" s="129">
        <v>-11340</v>
      </c>
      <c r="CI181" s="129">
        <v>0</v>
      </c>
      <c r="CJ181" s="129">
        <v>0</v>
      </c>
      <c r="CK181" s="129">
        <v>0</v>
      </c>
      <c r="CL181" s="129">
        <v>0</v>
      </c>
      <c r="CM181" s="129">
        <v>0</v>
      </c>
      <c r="CN181" s="129">
        <v>0</v>
      </c>
      <c r="CO181" s="129">
        <v>-55821</v>
      </c>
      <c r="CP181" s="129">
        <v>-147854</v>
      </c>
      <c r="CQ181" s="129">
        <v>-203675</v>
      </c>
      <c r="CR181" s="129">
        <v>-147854</v>
      </c>
      <c r="CS181" s="129">
        <v>0</v>
      </c>
      <c r="CT181" s="129">
        <v>-403554</v>
      </c>
      <c r="CU181" s="129">
        <v>-147854</v>
      </c>
      <c r="CV181" s="129">
        <v>0</v>
      </c>
      <c r="CW181" s="129">
        <v>0</v>
      </c>
      <c r="CX181" s="129">
        <v>-403554</v>
      </c>
      <c r="CY181" s="129">
        <v>-147854</v>
      </c>
      <c r="CZ181" s="129">
        <v>-551408</v>
      </c>
      <c r="DA181" s="129">
        <v>0</v>
      </c>
      <c r="DB181" s="129">
        <v>0</v>
      </c>
      <c r="DC181" s="129">
        <v>0</v>
      </c>
      <c r="DD181" s="129">
        <v>-13241</v>
      </c>
      <c r="DE181" s="129">
        <v>0</v>
      </c>
      <c r="DF181" s="129">
        <v>-13241</v>
      </c>
      <c r="DG181" s="129">
        <v>0</v>
      </c>
      <c r="DH181" s="129">
        <v>0</v>
      </c>
      <c r="DI181" s="129">
        <v>0</v>
      </c>
      <c r="DJ181" s="129">
        <v>-13241</v>
      </c>
      <c r="DK181" s="129">
        <v>0</v>
      </c>
      <c r="DL181" s="129">
        <v>0</v>
      </c>
      <c r="DM181" s="129">
        <v>0</v>
      </c>
      <c r="DN181" s="129">
        <v>-13241</v>
      </c>
      <c r="DO181" s="129">
        <v>0</v>
      </c>
      <c r="DP181" s="129">
        <v>-13241</v>
      </c>
      <c r="DQ181" s="129">
        <v>68069768</v>
      </c>
      <c r="DR181" s="129">
        <v>50165</v>
      </c>
      <c r="DS181" s="129">
        <v>68119933</v>
      </c>
      <c r="DT181" s="662" t="s">
        <v>539</v>
      </c>
      <c r="DU181" s="324" t="s">
        <v>486</v>
      </c>
      <c r="DV181" s="663" t="s">
        <v>538</v>
      </c>
      <c r="DW181" s="529" t="s">
        <v>1388</v>
      </c>
    </row>
    <row r="182" spans="1:127" ht="12.75" x14ac:dyDescent="0.2">
      <c r="A182" s="664">
        <v>175</v>
      </c>
      <c r="B182" s="665" t="s">
        <v>229</v>
      </c>
      <c r="C182" s="666" t="s">
        <v>1201</v>
      </c>
      <c r="D182" s="667" t="s">
        <v>1211</v>
      </c>
      <c r="E182" s="668" t="s">
        <v>228</v>
      </c>
      <c r="F182" s="753" t="s">
        <v>1875</v>
      </c>
      <c r="G182" s="129">
        <v>102801768</v>
      </c>
      <c r="H182" s="129">
        <v>0</v>
      </c>
      <c r="I182" s="129">
        <v>102801768</v>
      </c>
      <c r="J182" s="793">
        <v>49.9</v>
      </c>
      <c r="K182" s="129">
        <v>51298082</v>
      </c>
      <c r="L182" s="129">
        <v>0</v>
      </c>
      <c r="M182" s="129">
        <v>-1000000</v>
      </c>
      <c r="N182" s="129">
        <v>0</v>
      </c>
      <c r="O182" s="129">
        <v>50298082</v>
      </c>
      <c r="P182" s="129">
        <v>0</v>
      </c>
      <c r="Q182" s="129">
        <v>50298082</v>
      </c>
      <c r="R182" s="129">
        <v>-116014</v>
      </c>
      <c r="S182" s="129">
        <v>0</v>
      </c>
      <c r="T182" s="129">
        <v>-116014</v>
      </c>
      <c r="U182" s="129">
        <v>215509</v>
      </c>
      <c r="V182" s="129">
        <v>0</v>
      </c>
      <c r="W182" s="129">
        <v>215509</v>
      </c>
      <c r="X182" s="129">
        <v>99495</v>
      </c>
      <c r="Y182" s="129">
        <v>0</v>
      </c>
      <c r="Z182" s="129">
        <v>0</v>
      </c>
      <c r="AA182" s="129">
        <v>0</v>
      </c>
      <c r="AB182" s="129">
        <v>99495</v>
      </c>
      <c r="AC182" s="129">
        <v>0</v>
      </c>
      <c r="AD182" s="129">
        <v>99495</v>
      </c>
      <c r="AE182" s="129">
        <v>-99495</v>
      </c>
      <c r="AF182" s="129">
        <v>0</v>
      </c>
      <c r="AG182" s="129">
        <v>-99495</v>
      </c>
      <c r="AH182" s="129">
        <v>-5156303</v>
      </c>
      <c r="AI182" s="129">
        <v>0</v>
      </c>
      <c r="AJ182" s="129">
        <v>-5156303</v>
      </c>
      <c r="AK182" s="129">
        <v>0</v>
      </c>
      <c r="AL182" s="129">
        <v>0</v>
      </c>
      <c r="AM182" s="129">
        <v>0</v>
      </c>
      <c r="AN182" s="129">
        <v>764546</v>
      </c>
      <c r="AO182" s="129">
        <v>0</v>
      </c>
      <c r="AP182" s="129">
        <v>764546</v>
      </c>
      <c r="AQ182" s="129">
        <v>-4391757</v>
      </c>
      <c r="AR182" s="129">
        <v>0</v>
      </c>
      <c r="AS182" s="129">
        <v>-4391757</v>
      </c>
      <c r="AT182" s="129">
        <v>-3458592</v>
      </c>
      <c r="AU182" s="129">
        <v>0</v>
      </c>
      <c r="AV182" s="129">
        <v>-3458592</v>
      </c>
      <c r="AW182" s="129">
        <v>-50351</v>
      </c>
      <c r="AX182" s="129">
        <v>0</v>
      </c>
      <c r="AY182" s="129">
        <v>-50351</v>
      </c>
      <c r="AZ182" s="129">
        <v>-15147</v>
      </c>
      <c r="BA182" s="129">
        <v>0</v>
      </c>
      <c r="BB182" s="129">
        <v>-15147</v>
      </c>
      <c r="BC182" s="129">
        <v>0</v>
      </c>
      <c r="BD182" s="129">
        <v>0</v>
      </c>
      <c r="BE182" s="129">
        <v>0</v>
      </c>
      <c r="BF182" s="129">
        <v>-7915847</v>
      </c>
      <c r="BG182" s="129">
        <v>0</v>
      </c>
      <c r="BH182" s="129">
        <v>-50000</v>
      </c>
      <c r="BI182" s="129">
        <v>0</v>
      </c>
      <c r="BJ182" s="129">
        <v>-7965847</v>
      </c>
      <c r="BK182" s="129">
        <v>0</v>
      </c>
      <c r="BL182" s="129">
        <v>-7965847</v>
      </c>
      <c r="BM182" s="129">
        <v>-5000</v>
      </c>
      <c r="BN182" s="129">
        <v>0</v>
      </c>
      <c r="BO182" s="129">
        <v>-5000</v>
      </c>
      <c r="BP182" s="129">
        <v>-971025</v>
      </c>
      <c r="BQ182" s="129">
        <v>0</v>
      </c>
      <c r="BR182" s="129">
        <v>-971025</v>
      </c>
      <c r="BS182" s="129">
        <v>-976025</v>
      </c>
      <c r="BT182" s="129">
        <v>0</v>
      </c>
      <c r="BU182" s="129">
        <v>-300000</v>
      </c>
      <c r="BV182" s="129">
        <v>0</v>
      </c>
      <c r="BW182" s="129">
        <v>-1276025</v>
      </c>
      <c r="BX182" s="129">
        <v>0</v>
      </c>
      <c r="BY182" s="129">
        <v>-1276025</v>
      </c>
      <c r="BZ182" s="129">
        <v>-198939</v>
      </c>
      <c r="CA182" s="129">
        <v>0</v>
      </c>
      <c r="CB182" s="129">
        <v>-198939</v>
      </c>
      <c r="CC182" s="129">
        <v>-107867</v>
      </c>
      <c r="CD182" s="129">
        <v>0</v>
      </c>
      <c r="CE182" s="129">
        <v>-107867</v>
      </c>
      <c r="CF182" s="129">
        <v>-11008</v>
      </c>
      <c r="CG182" s="129">
        <v>0</v>
      </c>
      <c r="CH182" s="129">
        <v>-11008</v>
      </c>
      <c r="CI182" s="129">
        <v>-1207</v>
      </c>
      <c r="CJ182" s="129">
        <v>0</v>
      </c>
      <c r="CK182" s="129">
        <v>-1207</v>
      </c>
      <c r="CL182" s="129">
        <v>0</v>
      </c>
      <c r="CM182" s="129">
        <v>0</v>
      </c>
      <c r="CN182" s="129">
        <v>0</v>
      </c>
      <c r="CO182" s="129">
        <v>0</v>
      </c>
      <c r="CP182" s="129">
        <v>0</v>
      </c>
      <c r="CQ182" s="129">
        <v>0</v>
      </c>
      <c r="CR182" s="129">
        <v>0</v>
      </c>
      <c r="CS182" s="129">
        <v>0</v>
      </c>
      <c r="CT182" s="129">
        <v>-319021</v>
      </c>
      <c r="CU182" s="129">
        <v>0</v>
      </c>
      <c r="CV182" s="129">
        <v>-20000</v>
      </c>
      <c r="CW182" s="129">
        <v>0</v>
      </c>
      <c r="CX182" s="129">
        <v>-339021</v>
      </c>
      <c r="CY182" s="129">
        <v>0</v>
      </c>
      <c r="CZ182" s="129">
        <v>-339021</v>
      </c>
      <c r="DA182" s="129">
        <v>-8177</v>
      </c>
      <c r="DB182" s="129">
        <v>0</v>
      </c>
      <c r="DC182" s="129">
        <v>-8177</v>
      </c>
      <c r="DD182" s="129">
        <v>-10271</v>
      </c>
      <c r="DE182" s="129">
        <v>0</v>
      </c>
      <c r="DF182" s="129">
        <v>-10271</v>
      </c>
      <c r="DG182" s="129">
        <v>0</v>
      </c>
      <c r="DH182" s="129">
        <v>0</v>
      </c>
      <c r="DI182" s="129">
        <v>0</v>
      </c>
      <c r="DJ182" s="129">
        <v>-18448</v>
      </c>
      <c r="DK182" s="129">
        <v>0</v>
      </c>
      <c r="DL182" s="129">
        <v>0</v>
      </c>
      <c r="DM182" s="129">
        <v>0</v>
      </c>
      <c r="DN182" s="129">
        <v>-18448</v>
      </c>
      <c r="DO182" s="129">
        <v>0</v>
      </c>
      <c r="DP182" s="129">
        <v>-18448</v>
      </c>
      <c r="DQ182" s="129">
        <v>40798236</v>
      </c>
      <c r="DR182" s="129">
        <v>0</v>
      </c>
      <c r="DS182" s="129">
        <v>40798236</v>
      </c>
      <c r="DT182" s="662" t="s">
        <v>228</v>
      </c>
      <c r="DU182" s="324" t="s">
        <v>536</v>
      </c>
      <c r="DV182" s="663" t="s">
        <v>512</v>
      </c>
      <c r="DW182" s="529" t="s">
        <v>1389</v>
      </c>
    </row>
    <row r="183" spans="1:127" ht="12.75" x14ac:dyDescent="0.2">
      <c r="A183" s="664">
        <v>176</v>
      </c>
      <c r="B183" s="665" t="s">
        <v>231</v>
      </c>
      <c r="C183" s="666" t="s">
        <v>1201</v>
      </c>
      <c r="D183" s="667" t="s">
        <v>1206</v>
      </c>
      <c r="E183" s="668" t="s">
        <v>230</v>
      </c>
      <c r="F183" s="753" t="s">
        <v>1879</v>
      </c>
      <c r="G183" s="129">
        <v>74262432</v>
      </c>
      <c r="H183" s="129">
        <v>0</v>
      </c>
      <c r="I183" s="129">
        <v>74262432</v>
      </c>
      <c r="J183" s="793">
        <v>49.9</v>
      </c>
      <c r="K183" s="129">
        <v>37056954</v>
      </c>
      <c r="L183" s="129">
        <v>0</v>
      </c>
      <c r="M183" s="129">
        <v>370570</v>
      </c>
      <c r="N183" s="129">
        <v>0</v>
      </c>
      <c r="O183" s="129">
        <v>37427524</v>
      </c>
      <c r="P183" s="129">
        <v>0</v>
      </c>
      <c r="Q183" s="129">
        <v>37427524</v>
      </c>
      <c r="R183" s="129">
        <v>-219307</v>
      </c>
      <c r="S183" s="129">
        <v>0</v>
      </c>
      <c r="T183" s="129">
        <v>-219307</v>
      </c>
      <c r="U183" s="129">
        <v>17371</v>
      </c>
      <c r="V183" s="129">
        <v>0</v>
      </c>
      <c r="W183" s="129">
        <v>17371</v>
      </c>
      <c r="X183" s="129">
        <v>-201936</v>
      </c>
      <c r="Y183" s="129">
        <v>0</v>
      </c>
      <c r="Z183" s="129">
        <v>0</v>
      </c>
      <c r="AA183" s="129">
        <v>0</v>
      </c>
      <c r="AB183" s="129">
        <v>-201936</v>
      </c>
      <c r="AC183" s="129">
        <v>0</v>
      </c>
      <c r="AD183" s="129">
        <v>-201936</v>
      </c>
      <c r="AE183" s="129">
        <v>201936</v>
      </c>
      <c r="AF183" s="129">
        <v>0</v>
      </c>
      <c r="AG183" s="129">
        <v>201936</v>
      </c>
      <c r="AH183" s="129">
        <v>-4091096</v>
      </c>
      <c r="AI183" s="129">
        <v>0</v>
      </c>
      <c r="AJ183" s="129">
        <v>-4091096</v>
      </c>
      <c r="AK183" s="129">
        <v>-6487</v>
      </c>
      <c r="AL183" s="129">
        <v>0</v>
      </c>
      <c r="AM183" s="129">
        <v>-6487</v>
      </c>
      <c r="AN183" s="129">
        <v>653170</v>
      </c>
      <c r="AO183" s="129">
        <v>0</v>
      </c>
      <c r="AP183" s="129">
        <v>653170</v>
      </c>
      <c r="AQ183" s="129">
        <v>-3437926</v>
      </c>
      <c r="AR183" s="129">
        <v>0</v>
      </c>
      <c r="AS183" s="129">
        <v>-3437926</v>
      </c>
      <c r="AT183" s="129">
        <v>-2207757</v>
      </c>
      <c r="AU183" s="129">
        <v>0</v>
      </c>
      <c r="AV183" s="129">
        <v>-2207757</v>
      </c>
      <c r="AW183" s="129">
        <v>-34767</v>
      </c>
      <c r="AX183" s="129">
        <v>0</v>
      </c>
      <c r="AY183" s="129">
        <v>-34767</v>
      </c>
      <c r="AZ183" s="129">
        <v>-22046</v>
      </c>
      <c r="BA183" s="129">
        <v>0</v>
      </c>
      <c r="BB183" s="129">
        <v>-22046</v>
      </c>
      <c r="BC183" s="129">
        <v>0</v>
      </c>
      <c r="BD183" s="129">
        <v>0</v>
      </c>
      <c r="BE183" s="129">
        <v>0</v>
      </c>
      <c r="BF183" s="129">
        <v>-5702496</v>
      </c>
      <c r="BG183" s="129">
        <v>0</v>
      </c>
      <c r="BH183" s="129">
        <v>0</v>
      </c>
      <c r="BI183" s="129">
        <v>0</v>
      </c>
      <c r="BJ183" s="129">
        <v>-5702496</v>
      </c>
      <c r="BK183" s="129">
        <v>0</v>
      </c>
      <c r="BL183" s="129">
        <v>-5702496</v>
      </c>
      <c r="BM183" s="129">
        <v>0</v>
      </c>
      <c r="BN183" s="129">
        <v>0</v>
      </c>
      <c r="BO183" s="129">
        <v>0</v>
      </c>
      <c r="BP183" s="129">
        <v>-609392</v>
      </c>
      <c r="BQ183" s="129">
        <v>0</v>
      </c>
      <c r="BR183" s="129">
        <v>-609392</v>
      </c>
      <c r="BS183" s="129">
        <v>-609392</v>
      </c>
      <c r="BT183" s="129">
        <v>0</v>
      </c>
      <c r="BU183" s="129">
        <v>0</v>
      </c>
      <c r="BV183" s="129">
        <v>0</v>
      </c>
      <c r="BW183" s="129">
        <v>-609392</v>
      </c>
      <c r="BX183" s="129">
        <v>0</v>
      </c>
      <c r="BY183" s="129">
        <v>-609392</v>
      </c>
      <c r="BZ183" s="129">
        <v>-129989</v>
      </c>
      <c r="CA183" s="129">
        <v>0</v>
      </c>
      <c r="CB183" s="129">
        <v>-129989</v>
      </c>
      <c r="CC183" s="129">
        <v>-16941</v>
      </c>
      <c r="CD183" s="129">
        <v>0</v>
      </c>
      <c r="CE183" s="129">
        <v>-16941</v>
      </c>
      <c r="CF183" s="129">
        <v>-100</v>
      </c>
      <c r="CG183" s="129">
        <v>0</v>
      </c>
      <c r="CH183" s="129">
        <v>-100</v>
      </c>
      <c r="CI183" s="129">
        <v>0</v>
      </c>
      <c r="CJ183" s="129">
        <v>0</v>
      </c>
      <c r="CK183" s="129">
        <v>0</v>
      </c>
      <c r="CL183" s="129">
        <v>-22047</v>
      </c>
      <c r="CM183" s="129">
        <v>0</v>
      </c>
      <c r="CN183" s="129">
        <v>-22047</v>
      </c>
      <c r="CO183" s="129">
        <v>0</v>
      </c>
      <c r="CP183" s="129">
        <v>0</v>
      </c>
      <c r="CQ183" s="129">
        <v>0</v>
      </c>
      <c r="CR183" s="129">
        <v>0</v>
      </c>
      <c r="CS183" s="129">
        <v>0</v>
      </c>
      <c r="CT183" s="129">
        <v>-169077</v>
      </c>
      <c r="CU183" s="129">
        <v>0</v>
      </c>
      <c r="CV183" s="129">
        <v>0</v>
      </c>
      <c r="CW183" s="129">
        <v>0</v>
      </c>
      <c r="CX183" s="129">
        <v>-169077</v>
      </c>
      <c r="CY183" s="129">
        <v>0</v>
      </c>
      <c r="CZ183" s="129">
        <v>-169077</v>
      </c>
      <c r="DA183" s="129">
        <v>-22046</v>
      </c>
      <c r="DB183" s="129">
        <v>0</v>
      </c>
      <c r="DC183" s="129">
        <v>-22046</v>
      </c>
      <c r="DD183" s="129">
        <v>-18722</v>
      </c>
      <c r="DE183" s="129">
        <v>0</v>
      </c>
      <c r="DF183" s="129">
        <v>-18722</v>
      </c>
      <c r="DG183" s="129">
        <v>0</v>
      </c>
      <c r="DH183" s="129">
        <v>0</v>
      </c>
      <c r="DI183" s="129">
        <v>0</v>
      </c>
      <c r="DJ183" s="129">
        <v>-40768</v>
      </c>
      <c r="DK183" s="129">
        <v>0</v>
      </c>
      <c r="DL183" s="129">
        <v>0</v>
      </c>
      <c r="DM183" s="129">
        <v>0</v>
      </c>
      <c r="DN183" s="129">
        <v>-40768</v>
      </c>
      <c r="DO183" s="129">
        <v>0</v>
      </c>
      <c r="DP183" s="129">
        <v>-40768</v>
      </c>
      <c r="DQ183" s="129">
        <v>30703855</v>
      </c>
      <c r="DR183" s="129">
        <v>0</v>
      </c>
      <c r="DS183" s="129">
        <v>30703855</v>
      </c>
      <c r="DT183" s="662" t="s">
        <v>230</v>
      </c>
      <c r="DU183" s="324" t="s">
        <v>552</v>
      </c>
      <c r="DV183" s="663" t="s">
        <v>512</v>
      </c>
      <c r="DW183" s="529" t="s">
        <v>1390</v>
      </c>
    </row>
    <row r="184" spans="1:127" ht="12.75" x14ac:dyDescent="0.2">
      <c r="A184" s="664">
        <v>177</v>
      </c>
      <c r="B184" s="665" t="s">
        <v>233</v>
      </c>
      <c r="C184" s="666" t="s">
        <v>486</v>
      </c>
      <c r="D184" s="667" t="s">
        <v>1218</v>
      </c>
      <c r="E184" s="668" t="s">
        <v>540</v>
      </c>
      <c r="F184" s="753" t="s">
        <v>1879</v>
      </c>
      <c r="G184" s="129">
        <v>193598903</v>
      </c>
      <c r="H184" s="129">
        <v>6895900</v>
      </c>
      <c r="I184" s="129">
        <v>200494803</v>
      </c>
      <c r="J184" s="793">
        <v>49.9</v>
      </c>
      <c r="K184" s="129">
        <v>96605853</v>
      </c>
      <c r="L184" s="129">
        <v>3441054</v>
      </c>
      <c r="M184" s="129">
        <v>0</v>
      </c>
      <c r="N184" s="129">
        <v>0</v>
      </c>
      <c r="O184" s="129">
        <v>96605853</v>
      </c>
      <c r="P184" s="129">
        <v>3441054</v>
      </c>
      <c r="Q184" s="129">
        <v>100046907</v>
      </c>
      <c r="R184" s="129">
        <v>-145063</v>
      </c>
      <c r="S184" s="129">
        <v>0</v>
      </c>
      <c r="T184" s="129">
        <v>-145063</v>
      </c>
      <c r="U184" s="129">
        <v>1792441</v>
      </c>
      <c r="V184" s="129">
        <v>0</v>
      </c>
      <c r="W184" s="129">
        <v>1792441</v>
      </c>
      <c r="X184" s="129">
        <v>1647378</v>
      </c>
      <c r="Y184" s="129">
        <v>0</v>
      </c>
      <c r="Z184" s="129">
        <v>0</v>
      </c>
      <c r="AA184" s="129">
        <v>0</v>
      </c>
      <c r="AB184" s="129">
        <v>1647378</v>
      </c>
      <c r="AC184" s="129">
        <v>0</v>
      </c>
      <c r="AD184" s="129">
        <v>1647378</v>
      </c>
      <c r="AE184" s="129">
        <v>-1647378</v>
      </c>
      <c r="AF184" s="129">
        <v>0</v>
      </c>
      <c r="AG184" s="129">
        <v>-1647378</v>
      </c>
      <c r="AH184" s="129">
        <v>-6518892</v>
      </c>
      <c r="AI184" s="129">
        <v>-9556</v>
      </c>
      <c r="AJ184" s="129">
        <v>-6528448</v>
      </c>
      <c r="AK184" s="129">
        <v>-20222</v>
      </c>
      <c r="AL184" s="129">
        <v>0</v>
      </c>
      <c r="AM184" s="129">
        <v>-20222</v>
      </c>
      <c r="AN184" s="129">
        <v>1985418</v>
      </c>
      <c r="AO184" s="129">
        <v>83508</v>
      </c>
      <c r="AP184" s="129">
        <v>2068926</v>
      </c>
      <c r="AQ184" s="129">
        <v>-4533474</v>
      </c>
      <c r="AR184" s="129">
        <v>73952</v>
      </c>
      <c r="AS184" s="129">
        <v>-4459522</v>
      </c>
      <c r="AT184" s="129">
        <v>-2771380</v>
      </c>
      <c r="AU184" s="129">
        <v>0</v>
      </c>
      <c r="AV184" s="129">
        <v>-2771380</v>
      </c>
      <c r="AW184" s="129">
        <v>-49408</v>
      </c>
      <c r="AX184" s="129">
        <v>0</v>
      </c>
      <c r="AY184" s="129">
        <v>-49408</v>
      </c>
      <c r="AZ184" s="129">
        <v>-10432</v>
      </c>
      <c r="BA184" s="129">
        <v>0</v>
      </c>
      <c r="BB184" s="129">
        <v>-10432</v>
      </c>
      <c r="BC184" s="129">
        <v>0</v>
      </c>
      <c r="BD184" s="129">
        <v>0</v>
      </c>
      <c r="BE184" s="129">
        <v>0</v>
      </c>
      <c r="BF184" s="129">
        <v>-7364694</v>
      </c>
      <c r="BG184" s="129">
        <v>73952</v>
      </c>
      <c r="BH184" s="129">
        <v>0</v>
      </c>
      <c r="BI184" s="129">
        <v>0</v>
      </c>
      <c r="BJ184" s="129">
        <v>-7364694</v>
      </c>
      <c r="BK184" s="129">
        <v>73952</v>
      </c>
      <c r="BL184" s="129">
        <v>-7290742</v>
      </c>
      <c r="BM184" s="129">
        <v>0</v>
      </c>
      <c r="BN184" s="129">
        <v>0</v>
      </c>
      <c r="BO184" s="129">
        <v>0</v>
      </c>
      <c r="BP184" s="129">
        <v>-1295295</v>
      </c>
      <c r="BQ184" s="129">
        <v>-814080</v>
      </c>
      <c r="BR184" s="129">
        <v>-2109375</v>
      </c>
      <c r="BS184" s="129">
        <v>-1295295</v>
      </c>
      <c r="BT184" s="129">
        <v>-814080</v>
      </c>
      <c r="BU184" s="129">
        <v>-892032</v>
      </c>
      <c r="BV184" s="129">
        <v>0</v>
      </c>
      <c r="BW184" s="129">
        <v>-2187327</v>
      </c>
      <c r="BX184" s="129">
        <v>-814080</v>
      </c>
      <c r="BY184" s="129">
        <v>-3001407</v>
      </c>
      <c r="BZ184" s="129">
        <v>-94036</v>
      </c>
      <c r="CA184" s="129">
        <v>0</v>
      </c>
      <c r="CB184" s="129">
        <v>-94036</v>
      </c>
      <c r="CC184" s="129">
        <v>-104714</v>
      </c>
      <c r="CD184" s="129">
        <v>0</v>
      </c>
      <c r="CE184" s="129">
        <v>-104714</v>
      </c>
      <c r="CF184" s="129">
        <v>-7362</v>
      </c>
      <c r="CG184" s="129">
        <v>0</v>
      </c>
      <c r="CH184" s="129">
        <v>-7362</v>
      </c>
      <c r="CI184" s="129">
        <v>0</v>
      </c>
      <c r="CJ184" s="129">
        <v>0</v>
      </c>
      <c r="CK184" s="129">
        <v>0</v>
      </c>
      <c r="CL184" s="129">
        <v>0</v>
      </c>
      <c r="CM184" s="129">
        <v>0</v>
      </c>
      <c r="CN184" s="129">
        <v>0</v>
      </c>
      <c r="CO184" s="129">
        <v>0</v>
      </c>
      <c r="CP184" s="129">
        <v>-84328</v>
      </c>
      <c r="CQ184" s="129">
        <v>-84328</v>
      </c>
      <c r="CR184" s="129">
        <v>-84328</v>
      </c>
      <c r="CS184" s="129">
        <v>0</v>
      </c>
      <c r="CT184" s="129">
        <v>-206112</v>
      </c>
      <c r="CU184" s="129">
        <v>-84328</v>
      </c>
      <c r="CV184" s="129">
        <v>0</v>
      </c>
      <c r="CW184" s="129">
        <v>0</v>
      </c>
      <c r="CX184" s="129">
        <v>-206112</v>
      </c>
      <c r="CY184" s="129">
        <v>-84328</v>
      </c>
      <c r="CZ184" s="129">
        <v>-290440</v>
      </c>
      <c r="DA184" s="129">
        <v>-10432</v>
      </c>
      <c r="DB184" s="129">
        <v>0</v>
      </c>
      <c r="DC184" s="129">
        <v>-10432</v>
      </c>
      <c r="DD184" s="129">
        <v>-32399</v>
      </c>
      <c r="DE184" s="129">
        <v>0</v>
      </c>
      <c r="DF184" s="129">
        <v>-32399</v>
      </c>
      <c r="DG184" s="129">
        <v>-1500</v>
      </c>
      <c r="DH184" s="129">
        <v>0</v>
      </c>
      <c r="DI184" s="129">
        <v>-1500</v>
      </c>
      <c r="DJ184" s="129">
        <v>-44331</v>
      </c>
      <c r="DK184" s="129">
        <v>0</v>
      </c>
      <c r="DL184" s="129">
        <v>0</v>
      </c>
      <c r="DM184" s="129">
        <v>0</v>
      </c>
      <c r="DN184" s="129">
        <v>-44331</v>
      </c>
      <c r="DO184" s="129">
        <v>0</v>
      </c>
      <c r="DP184" s="129">
        <v>-44331</v>
      </c>
      <c r="DQ184" s="129">
        <v>88450767</v>
      </c>
      <c r="DR184" s="129">
        <v>2616598</v>
      </c>
      <c r="DS184" s="129">
        <v>91067365</v>
      </c>
      <c r="DT184" s="662" t="s">
        <v>540</v>
      </c>
      <c r="DU184" s="324" t="s">
        <v>486</v>
      </c>
      <c r="DV184" s="663" t="s">
        <v>538</v>
      </c>
      <c r="DW184" s="529" t="s">
        <v>1391</v>
      </c>
    </row>
    <row r="185" spans="1:127" ht="12.75" x14ac:dyDescent="0.2">
      <c r="A185" s="664">
        <v>178</v>
      </c>
      <c r="B185" s="665" t="s">
        <v>235</v>
      </c>
      <c r="C185" s="666" t="s">
        <v>1201</v>
      </c>
      <c r="D185" s="667" t="s">
        <v>1211</v>
      </c>
      <c r="E185" s="668" t="s">
        <v>234</v>
      </c>
      <c r="F185" s="753"/>
      <c r="G185" s="129">
        <v>83135925</v>
      </c>
      <c r="H185" s="129">
        <v>748465</v>
      </c>
      <c r="I185" s="129">
        <v>83884390</v>
      </c>
      <c r="J185" s="793">
        <v>49.9</v>
      </c>
      <c r="K185" s="129">
        <v>41484827</v>
      </c>
      <c r="L185" s="129">
        <v>373484</v>
      </c>
      <c r="M185" s="129">
        <v>69232</v>
      </c>
      <c r="N185" s="129">
        <v>0</v>
      </c>
      <c r="O185" s="129">
        <v>41554059</v>
      </c>
      <c r="P185" s="129">
        <v>373484</v>
      </c>
      <c r="Q185" s="129">
        <v>41927543</v>
      </c>
      <c r="R185" s="129">
        <v>-353452</v>
      </c>
      <c r="S185" s="129">
        <v>0</v>
      </c>
      <c r="T185" s="129">
        <v>-353452</v>
      </c>
      <c r="U185" s="129">
        <v>12100</v>
      </c>
      <c r="V185" s="129">
        <v>0</v>
      </c>
      <c r="W185" s="129">
        <v>12100</v>
      </c>
      <c r="X185" s="129">
        <v>-341352</v>
      </c>
      <c r="Y185" s="129">
        <v>0</v>
      </c>
      <c r="Z185" s="129">
        <v>0</v>
      </c>
      <c r="AA185" s="129">
        <v>0</v>
      </c>
      <c r="AB185" s="129">
        <v>-341352</v>
      </c>
      <c r="AC185" s="129">
        <v>0</v>
      </c>
      <c r="AD185" s="129">
        <v>-341352</v>
      </c>
      <c r="AE185" s="129">
        <v>341352</v>
      </c>
      <c r="AF185" s="129">
        <v>0</v>
      </c>
      <c r="AG185" s="129">
        <v>341352</v>
      </c>
      <c r="AH185" s="129">
        <v>-8500175</v>
      </c>
      <c r="AI185" s="129">
        <v>-63677</v>
      </c>
      <c r="AJ185" s="129">
        <v>-8563852</v>
      </c>
      <c r="AK185" s="129">
        <v>0</v>
      </c>
      <c r="AL185" s="129">
        <v>0</v>
      </c>
      <c r="AM185" s="129">
        <v>0</v>
      </c>
      <c r="AN185" s="129">
        <v>550132</v>
      </c>
      <c r="AO185" s="129">
        <v>5740</v>
      </c>
      <c r="AP185" s="129">
        <v>555872</v>
      </c>
      <c r="AQ185" s="129">
        <v>-7950043</v>
      </c>
      <c r="AR185" s="129">
        <v>-57937</v>
      </c>
      <c r="AS185" s="129">
        <v>-8007980</v>
      </c>
      <c r="AT185" s="129">
        <v>-2552958</v>
      </c>
      <c r="AU185" s="129">
        <v>0</v>
      </c>
      <c r="AV185" s="129">
        <v>-2552958</v>
      </c>
      <c r="AW185" s="129">
        <v>-41308</v>
      </c>
      <c r="AX185" s="129">
        <v>0</v>
      </c>
      <c r="AY185" s="129">
        <v>-41308</v>
      </c>
      <c r="AZ185" s="129">
        <v>-81031</v>
      </c>
      <c r="BA185" s="129">
        <v>0</v>
      </c>
      <c r="BB185" s="129">
        <v>-81031</v>
      </c>
      <c r="BC185" s="129">
        <v>0</v>
      </c>
      <c r="BD185" s="129">
        <v>0</v>
      </c>
      <c r="BE185" s="129">
        <v>0</v>
      </c>
      <c r="BF185" s="129">
        <v>-10625340</v>
      </c>
      <c r="BG185" s="129">
        <v>-57937</v>
      </c>
      <c r="BH185" s="129">
        <v>0</v>
      </c>
      <c r="BI185" s="129">
        <v>0</v>
      </c>
      <c r="BJ185" s="129">
        <v>-10625340</v>
      </c>
      <c r="BK185" s="129">
        <v>-57937</v>
      </c>
      <c r="BL185" s="129">
        <v>-10683277</v>
      </c>
      <c r="BM185" s="129">
        <v>-11903</v>
      </c>
      <c r="BN185" s="129">
        <v>0</v>
      </c>
      <c r="BO185" s="129">
        <v>-11903</v>
      </c>
      <c r="BP185" s="129">
        <v>-404994</v>
      </c>
      <c r="BQ185" s="129">
        <v>-16814</v>
      </c>
      <c r="BR185" s="129">
        <v>-421808</v>
      </c>
      <c r="BS185" s="129">
        <v>-416897</v>
      </c>
      <c r="BT185" s="129">
        <v>-16814</v>
      </c>
      <c r="BU185" s="129">
        <v>-68849</v>
      </c>
      <c r="BV185" s="129">
        <v>0</v>
      </c>
      <c r="BW185" s="129">
        <v>-485746</v>
      </c>
      <c r="BX185" s="129">
        <v>-16814</v>
      </c>
      <c r="BY185" s="129">
        <v>-502560</v>
      </c>
      <c r="BZ185" s="129">
        <v>-559</v>
      </c>
      <c r="CA185" s="129">
        <v>0</v>
      </c>
      <c r="CB185" s="129">
        <v>-559</v>
      </c>
      <c r="CC185" s="129">
        <v>0</v>
      </c>
      <c r="CD185" s="129">
        <v>0</v>
      </c>
      <c r="CE185" s="129">
        <v>0</v>
      </c>
      <c r="CF185" s="129">
        <v>0</v>
      </c>
      <c r="CG185" s="129">
        <v>0</v>
      </c>
      <c r="CH185" s="129">
        <v>0</v>
      </c>
      <c r="CI185" s="129">
        <v>0</v>
      </c>
      <c r="CJ185" s="129">
        <v>0</v>
      </c>
      <c r="CK185" s="129">
        <v>0</v>
      </c>
      <c r="CL185" s="129">
        <v>0</v>
      </c>
      <c r="CM185" s="129">
        <v>0</v>
      </c>
      <c r="CN185" s="129">
        <v>0</v>
      </c>
      <c r="CO185" s="129">
        <v>0</v>
      </c>
      <c r="CP185" s="129">
        <v>-298733</v>
      </c>
      <c r="CQ185" s="129">
        <v>-298733</v>
      </c>
      <c r="CR185" s="129">
        <v>-298733</v>
      </c>
      <c r="CS185" s="129">
        <v>0</v>
      </c>
      <c r="CT185" s="129">
        <v>-559</v>
      </c>
      <c r="CU185" s="129">
        <v>-298733</v>
      </c>
      <c r="CV185" s="129">
        <v>0</v>
      </c>
      <c r="CW185" s="129">
        <v>0</v>
      </c>
      <c r="CX185" s="129">
        <v>-559</v>
      </c>
      <c r="CY185" s="129">
        <v>-298733</v>
      </c>
      <c r="CZ185" s="129">
        <v>-299292</v>
      </c>
      <c r="DA185" s="129">
        <v>-79700</v>
      </c>
      <c r="DB185" s="129">
        <v>0</v>
      </c>
      <c r="DC185" s="129">
        <v>-79700</v>
      </c>
      <c r="DD185" s="129">
        <v>0</v>
      </c>
      <c r="DE185" s="129">
        <v>0</v>
      </c>
      <c r="DF185" s="129">
        <v>0</v>
      </c>
      <c r="DG185" s="129">
        <v>0</v>
      </c>
      <c r="DH185" s="129">
        <v>0</v>
      </c>
      <c r="DI185" s="129">
        <v>0</v>
      </c>
      <c r="DJ185" s="129">
        <v>-79700</v>
      </c>
      <c r="DK185" s="129">
        <v>0</v>
      </c>
      <c r="DL185" s="129">
        <v>0</v>
      </c>
      <c r="DM185" s="129">
        <v>0</v>
      </c>
      <c r="DN185" s="129">
        <v>-79700</v>
      </c>
      <c r="DO185" s="129">
        <v>0</v>
      </c>
      <c r="DP185" s="129">
        <v>-79700</v>
      </c>
      <c r="DQ185" s="129">
        <v>30021362</v>
      </c>
      <c r="DR185" s="129">
        <v>0</v>
      </c>
      <c r="DS185" s="129">
        <v>30021362</v>
      </c>
      <c r="DT185" s="662" t="s">
        <v>234</v>
      </c>
      <c r="DU185" s="324" t="s">
        <v>553</v>
      </c>
      <c r="DV185" s="663" t="s">
        <v>512</v>
      </c>
      <c r="DW185" s="529" t="s">
        <v>1392</v>
      </c>
    </row>
    <row r="186" spans="1:127" ht="12.75" x14ac:dyDescent="0.2">
      <c r="A186" s="664">
        <v>179</v>
      </c>
      <c r="B186" s="665" t="s">
        <v>1125</v>
      </c>
      <c r="C186" s="666" t="s">
        <v>486</v>
      </c>
      <c r="D186" s="667" t="s">
        <v>1206</v>
      </c>
      <c r="E186" s="668" t="s">
        <v>1092</v>
      </c>
      <c r="F186" s="753" t="s">
        <v>1879</v>
      </c>
      <c r="G186" s="129">
        <v>334407921</v>
      </c>
      <c r="H186" s="129">
        <v>0</v>
      </c>
      <c r="I186" s="129">
        <v>334407921</v>
      </c>
      <c r="J186" s="793">
        <v>49.9</v>
      </c>
      <c r="K186" s="129">
        <v>166869553</v>
      </c>
      <c r="L186" s="129">
        <v>0</v>
      </c>
      <c r="M186" s="129">
        <v>1254718</v>
      </c>
      <c r="N186" s="129">
        <v>0</v>
      </c>
      <c r="O186" s="129">
        <v>168124271</v>
      </c>
      <c r="P186" s="129">
        <v>0</v>
      </c>
      <c r="Q186" s="129">
        <v>168124271</v>
      </c>
      <c r="R186" s="129">
        <v>-348299</v>
      </c>
      <c r="S186" s="129">
        <v>0</v>
      </c>
      <c r="T186" s="129">
        <v>-348299</v>
      </c>
      <c r="U186" s="129">
        <v>865990</v>
      </c>
      <c r="V186" s="129">
        <v>0</v>
      </c>
      <c r="W186" s="129">
        <v>865990</v>
      </c>
      <c r="X186" s="129">
        <v>517691</v>
      </c>
      <c r="Y186" s="129">
        <v>0</v>
      </c>
      <c r="Z186" s="129">
        <v>0</v>
      </c>
      <c r="AA186" s="129">
        <v>0</v>
      </c>
      <c r="AB186" s="129">
        <v>517691</v>
      </c>
      <c r="AC186" s="129">
        <v>0</v>
      </c>
      <c r="AD186" s="129">
        <v>517691</v>
      </c>
      <c r="AE186" s="129">
        <v>-517691</v>
      </c>
      <c r="AF186" s="129">
        <v>0</v>
      </c>
      <c r="AG186" s="129">
        <v>-517691</v>
      </c>
      <c r="AH186" s="129">
        <v>-12204531</v>
      </c>
      <c r="AI186" s="129">
        <v>0</v>
      </c>
      <c r="AJ186" s="129">
        <v>-12204531</v>
      </c>
      <c r="AK186" s="129">
        <v>-25195</v>
      </c>
      <c r="AL186" s="129">
        <v>0</v>
      </c>
      <c r="AM186" s="129">
        <v>-25195</v>
      </c>
      <c r="AN186" s="129">
        <v>3241103</v>
      </c>
      <c r="AO186" s="129">
        <v>0</v>
      </c>
      <c r="AP186" s="129">
        <v>3241103</v>
      </c>
      <c r="AQ186" s="129">
        <v>-8963428</v>
      </c>
      <c r="AR186" s="129">
        <v>0</v>
      </c>
      <c r="AS186" s="129">
        <v>-8963428</v>
      </c>
      <c r="AT186" s="129">
        <v>-8692839</v>
      </c>
      <c r="AU186" s="129">
        <v>0</v>
      </c>
      <c r="AV186" s="129">
        <v>-8692839</v>
      </c>
      <c r="AW186" s="129">
        <v>-48455</v>
      </c>
      <c r="AX186" s="129">
        <v>0</v>
      </c>
      <c r="AY186" s="129">
        <v>-48455</v>
      </c>
      <c r="AZ186" s="129">
        <v>-22301</v>
      </c>
      <c r="BA186" s="129">
        <v>0</v>
      </c>
      <c r="BB186" s="129">
        <v>-22301</v>
      </c>
      <c r="BC186" s="129">
        <v>0</v>
      </c>
      <c r="BD186" s="129">
        <v>0</v>
      </c>
      <c r="BE186" s="129">
        <v>0</v>
      </c>
      <c r="BF186" s="129">
        <v>-17727023</v>
      </c>
      <c r="BG186" s="129">
        <v>0</v>
      </c>
      <c r="BH186" s="129">
        <v>-50000</v>
      </c>
      <c r="BI186" s="129">
        <v>0</v>
      </c>
      <c r="BJ186" s="129">
        <v>-17777023</v>
      </c>
      <c r="BK186" s="129">
        <v>0</v>
      </c>
      <c r="BL186" s="129">
        <v>-17777023</v>
      </c>
      <c r="BM186" s="129">
        <v>-632130</v>
      </c>
      <c r="BN186" s="129">
        <v>0</v>
      </c>
      <c r="BO186" s="129">
        <v>-632130</v>
      </c>
      <c r="BP186" s="129">
        <v>-2951303</v>
      </c>
      <c r="BQ186" s="129">
        <v>0</v>
      </c>
      <c r="BR186" s="129">
        <v>-2951303</v>
      </c>
      <c r="BS186" s="129">
        <v>-3583433</v>
      </c>
      <c r="BT186" s="129">
        <v>0</v>
      </c>
      <c r="BU186" s="129">
        <v>0</v>
      </c>
      <c r="BV186" s="129">
        <v>0</v>
      </c>
      <c r="BW186" s="129">
        <v>-3583433</v>
      </c>
      <c r="BX186" s="129">
        <v>0</v>
      </c>
      <c r="BY186" s="129">
        <v>-3583433</v>
      </c>
      <c r="BZ186" s="129">
        <v>-145302</v>
      </c>
      <c r="CA186" s="129">
        <v>0</v>
      </c>
      <c r="CB186" s="129">
        <v>-145302</v>
      </c>
      <c r="CC186" s="129">
        <v>-70158</v>
      </c>
      <c r="CD186" s="129">
        <v>0</v>
      </c>
      <c r="CE186" s="129">
        <v>-70158</v>
      </c>
      <c r="CF186" s="129">
        <v>-4610</v>
      </c>
      <c r="CG186" s="129">
        <v>0</v>
      </c>
      <c r="CH186" s="129">
        <v>-4610</v>
      </c>
      <c r="CI186" s="129">
        <v>-21087</v>
      </c>
      <c r="CJ186" s="129">
        <v>0</v>
      </c>
      <c r="CK186" s="129">
        <v>-21087</v>
      </c>
      <c r="CL186" s="129">
        <v>0</v>
      </c>
      <c r="CM186" s="129">
        <v>0</v>
      </c>
      <c r="CN186" s="129">
        <v>0</v>
      </c>
      <c r="CO186" s="129">
        <v>0</v>
      </c>
      <c r="CP186" s="129">
        <v>0</v>
      </c>
      <c r="CQ186" s="129">
        <v>0</v>
      </c>
      <c r="CR186" s="129">
        <v>0</v>
      </c>
      <c r="CS186" s="129">
        <v>0</v>
      </c>
      <c r="CT186" s="129">
        <v>-241157</v>
      </c>
      <c r="CU186" s="129">
        <v>0</v>
      </c>
      <c r="CV186" s="129">
        <v>-98000</v>
      </c>
      <c r="CW186" s="129">
        <v>0</v>
      </c>
      <c r="CX186" s="129">
        <v>-339157</v>
      </c>
      <c r="CY186" s="129">
        <v>0</v>
      </c>
      <c r="CZ186" s="129">
        <v>-339157</v>
      </c>
      <c r="DA186" s="129">
        <v>-22301</v>
      </c>
      <c r="DB186" s="129">
        <v>0</v>
      </c>
      <c r="DC186" s="129">
        <v>-22301</v>
      </c>
      <c r="DD186" s="129">
        <v>-158710</v>
      </c>
      <c r="DE186" s="129">
        <v>0</v>
      </c>
      <c r="DF186" s="129">
        <v>-158710</v>
      </c>
      <c r="DG186" s="129">
        <v>0</v>
      </c>
      <c r="DH186" s="129">
        <v>0</v>
      </c>
      <c r="DI186" s="129">
        <v>0</v>
      </c>
      <c r="DJ186" s="129">
        <v>-181011</v>
      </c>
      <c r="DK186" s="129">
        <v>0</v>
      </c>
      <c r="DL186" s="129">
        <v>0</v>
      </c>
      <c r="DM186" s="129">
        <v>0</v>
      </c>
      <c r="DN186" s="129">
        <v>-181011</v>
      </c>
      <c r="DO186" s="129">
        <v>0</v>
      </c>
      <c r="DP186" s="129">
        <v>-181011</v>
      </c>
      <c r="DQ186" s="129">
        <v>146761338</v>
      </c>
      <c r="DR186" s="129">
        <v>0</v>
      </c>
      <c r="DS186" s="129">
        <v>146761338</v>
      </c>
      <c r="DT186" s="662" t="s">
        <v>1092</v>
      </c>
      <c r="DU186" s="324" t="s">
        <v>486</v>
      </c>
      <c r="DV186" s="663" t="s">
        <v>1026</v>
      </c>
      <c r="DW186" s="529" t="s">
        <v>1540</v>
      </c>
    </row>
    <row r="187" spans="1:127" ht="12.75" x14ac:dyDescent="0.2">
      <c r="A187" s="664">
        <v>180</v>
      </c>
      <c r="B187" s="665" t="s">
        <v>237</v>
      </c>
      <c r="C187" s="666" t="s">
        <v>486</v>
      </c>
      <c r="D187" s="667" t="s">
        <v>1224</v>
      </c>
      <c r="E187" s="668" t="s">
        <v>490</v>
      </c>
      <c r="F187" s="753" t="s">
        <v>1886</v>
      </c>
      <c r="G187" s="129">
        <v>161365409</v>
      </c>
      <c r="H187" s="129">
        <v>2804610</v>
      </c>
      <c r="I187" s="129">
        <v>164170019</v>
      </c>
      <c r="J187" s="793">
        <v>49.9</v>
      </c>
      <c r="K187" s="129">
        <v>80521339</v>
      </c>
      <c r="L187" s="129">
        <v>1399500</v>
      </c>
      <c r="M187" s="129">
        <v>-1694731</v>
      </c>
      <c r="N187" s="129">
        <v>95309</v>
      </c>
      <c r="O187" s="129">
        <v>78826608</v>
      </c>
      <c r="P187" s="129">
        <v>1494809</v>
      </c>
      <c r="Q187" s="129">
        <v>80321417</v>
      </c>
      <c r="R187" s="129">
        <v>-71772</v>
      </c>
      <c r="S187" s="129">
        <v>0</v>
      </c>
      <c r="T187" s="129">
        <v>-71772</v>
      </c>
      <c r="U187" s="129">
        <v>139907</v>
      </c>
      <c r="V187" s="129">
        <v>26925</v>
      </c>
      <c r="W187" s="129">
        <v>166832</v>
      </c>
      <c r="X187" s="129">
        <v>68135</v>
      </c>
      <c r="Y187" s="129">
        <v>26925</v>
      </c>
      <c r="Z187" s="129">
        <v>0</v>
      </c>
      <c r="AA187" s="129">
        <v>0</v>
      </c>
      <c r="AB187" s="129">
        <v>68135</v>
      </c>
      <c r="AC187" s="129">
        <v>26925</v>
      </c>
      <c r="AD187" s="129">
        <v>95060</v>
      </c>
      <c r="AE187" s="129">
        <v>-68135</v>
      </c>
      <c r="AF187" s="129">
        <v>-26925</v>
      </c>
      <c r="AG187" s="129">
        <v>-95060</v>
      </c>
      <c r="AH187" s="129">
        <v>-7431111</v>
      </c>
      <c r="AI187" s="129">
        <v>-102018</v>
      </c>
      <c r="AJ187" s="129">
        <v>-7533129</v>
      </c>
      <c r="AK187" s="129">
        <v>-6799</v>
      </c>
      <c r="AL187" s="129">
        <v>0</v>
      </c>
      <c r="AM187" s="129">
        <v>-6799</v>
      </c>
      <c r="AN187" s="129">
        <v>1427295</v>
      </c>
      <c r="AO187" s="129">
        <v>25877</v>
      </c>
      <c r="AP187" s="129">
        <v>1453172</v>
      </c>
      <c r="AQ187" s="129">
        <v>-6003816</v>
      </c>
      <c r="AR187" s="129">
        <v>-76141</v>
      </c>
      <c r="AS187" s="129">
        <v>-6079957</v>
      </c>
      <c r="AT187" s="129">
        <v>-6045802</v>
      </c>
      <c r="AU187" s="129">
        <v>-367270</v>
      </c>
      <c r="AV187" s="129">
        <v>-6413072</v>
      </c>
      <c r="AW187" s="129">
        <v>-120429</v>
      </c>
      <c r="AX187" s="129">
        <v>0</v>
      </c>
      <c r="AY187" s="129">
        <v>-120429</v>
      </c>
      <c r="AZ187" s="129">
        <v>-5683</v>
      </c>
      <c r="BA187" s="129">
        <v>0</v>
      </c>
      <c r="BB187" s="129">
        <v>-5683</v>
      </c>
      <c r="BC187" s="129">
        <v>-299</v>
      </c>
      <c r="BD187" s="129">
        <v>0</v>
      </c>
      <c r="BE187" s="129">
        <v>-299</v>
      </c>
      <c r="BF187" s="129">
        <v>-12176029</v>
      </c>
      <c r="BG187" s="129">
        <v>-443411</v>
      </c>
      <c r="BH187" s="129">
        <v>0</v>
      </c>
      <c r="BI187" s="129">
        <v>0</v>
      </c>
      <c r="BJ187" s="129">
        <v>-12176029</v>
      </c>
      <c r="BK187" s="129">
        <v>-443411</v>
      </c>
      <c r="BL187" s="129">
        <v>-12619440</v>
      </c>
      <c r="BM187" s="129">
        <v>-20000</v>
      </c>
      <c r="BN187" s="129">
        <v>0</v>
      </c>
      <c r="BO187" s="129">
        <v>-20000</v>
      </c>
      <c r="BP187" s="129">
        <v>-1394383</v>
      </c>
      <c r="BQ187" s="129">
        <v>-19128</v>
      </c>
      <c r="BR187" s="129">
        <v>-1413511</v>
      </c>
      <c r="BS187" s="129">
        <v>-1414383</v>
      </c>
      <c r="BT187" s="129">
        <v>-19128</v>
      </c>
      <c r="BU187" s="129">
        <v>0</v>
      </c>
      <c r="BV187" s="129">
        <v>-47655</v>
      </c>
      <c r="BW187" s="129">
        <v>-1414383</v>
      </c>
      <c r="BX187" s="129">
        <v>-66783</v>
      </c>
      <c r="BY187" s="129">
        <v>-1481166</v>
      </c>
      <c r="BZ187" s="129">
        <v>-76235</v>
      </c>
      <c r="CA187" s="129">
        <v>0</v>
      </c>
      <c r="CB187" s="129">
        <v>-76235</v>
      </c>
      <c r="CC187" s="129">
        <v>-291675</v>
      </c>
      <c r="CD187" s="129">
        <v>0</v>
      </c>
      <c r="CE187" s="129">
        <v>-291675</v>
      </c>
      <c r="CF187" s="129">
        <v>0</v>
      </c>
      <c r="CG187" s="129">
        <v>0</v>
      </c>
      <c r="CH187" s="129">
        <v>0</v>
      </c>
      <c r="CI187" s="129">
        <v>0</v>
      </c>
      <c r="CJ187" s="129">
        <v>0</v>
      </c>
      <c r="CK187" s="129">
        <v>0</v>
      </c>
      <c r="CL187" s="129">
        <v>0</v>
      </c>
      <c r="CM187" s="129">
        <v>0</v>
      </c>
      <c r="CN187" s="129">
        <v>0</v>
      </c>
      <c r="CO187" s="129">
        <v>0</v>
      </c>
      <c r="CP187" s="129">
        <v>0</v>
      </c>
      <c r="CQ187" s="129">
        <v>0</v>
      </c>
      <c r="CR187" s="129">
        <v>0</v>
      </c>
      <c r="CS187" s="129">
        <v>0</v>
      </c>
      <c r="CT187" s="129">
        <v>-367910</v>
      </c>
      <c r="CU187" s="129">
        <v>0</v>
      </c>
      <c r="CV187" s="129">
        <v>0</v>
      </c>
      <c r="CW187" s="129">
        <v>0</v>
      </c>
      <c r="CX187" s="129">
        <v>-367910</v>
      </c>
      <c r="CY187" s="129">
        <v>0</v>
      </c>
      <c r="CZ187" s="129">
        <v>-367910</v>
      </c>
      <c r="DA187" s="129">
        <v>-5946</v>
      </c>
      <c r="DB187" s="129">
        <v>0</v>
      </c>
      <c r="DC187" s="129">
        <v>-5946</v>
      </c>
      <c r="DD187" s="129">
        <v>-26294</v>
      </c>
      <c r="DE187" s="129">
        <v>0</v>
      </c>
      <c r="DF187" s="129">
        <v>-26294</v>
      </c>
      <c r="DG187" s="129">
        <v>0</v>
      </c>
      <c r="DH187" s="129">
        <v>0</v>
      </c>
      <c r="DI187" s="129">
        <v>0</v>
      </c>
      <c r="DJ187" s="129">
        <v>-32240</v>
      </c>
      <c r="DK187" s="129">
        <v>0</v>
      </c>
      <c r="DL187" s="129">
        <v>0</v>
      </c>
      <c r="DM187" s="129">
        <v>0</v>
      </c>
      <c r="DN187" s="129">
        <v>-32240</v>
      </c>
      <c r="DO187" s="129">
        <v>0</v>
      </c>
      <c r="DP187" s="129">
        <v>-32240</v>
      </c>
      <c r="DQ187" s="129">
        <v>64904181</v>
      </c>
      <c r="DR187" s="129">
        <v>1011540</v>
      </c>
      <c r="DS187" s="129">
        <v>65915721</v>
      </c>
      <c r="DT187" s="662" t="s">
        <v>490</v>
      </c>
      <c r="DU187" s="324" t="s">
        <v>486</v>
      </c>
      <c r="DV187" s="663" t="s">
        <v>487</v>
      </c>
      <c r="DW187" s="529" t="s">
        <v>1393</v>
      </c>
    </row>
    <row r="188" spans="1:127" ht="12.75" x14ac:dyDescent="0.2">
      <c r="A188" s="664">
        <v>181</v>
      </c>
      <c r="B188" s="665" t="s">
        <v>239</v>
      </c>
      <c r="C188" s="666" t="s">
        <v>1217</v>
      </c>
      <c r="D188" s="667" t="s">
        <v>1283</v>
      </c>
      <c r="E188" s="668" t="s">
        <v>238</v>
      </c>
      <c r="F188" s="753" t="s">
        <v>1903</v>
      </c>
      <c r="G188" s="129">
        <v>148619864</v>
      </c>
      <c r="H188" s="129">
        <v>1519660</v>
      </c>
      <c r="I188" s="129">
        <v>150139524</v>
      </c>
      <c r="J188" s="793">
        <v>49.9</v>
      </c>
      <c r="K188" s="129">
        <v>74161312</v>
      </c>
      <c r="L188" s="129">
        <v>758310</v>
      </c>
      <c r="M188" s="129">
        <v>-2416850</v>
      </c>
      <c r="N188" s="129">
        <v>0</v>
      </c>
      <c r="O188" s="129">
        <v>71744462</v>
      </c>
      <c r="P188" s="129">
        <v>758310</v>
      </c>
      <c r="Q188" s="129">
        <v>72502772</v>
      </c>
      <c r="R188" s="129">
        <v>-312050</v>
      </c>
      <c r="S188" s="129">
        <v>-6328</v>
      </c>
      <c r="T188" s="129">
        <v>-318378</v>
      </c>
      <c r="U188" s="129">
        <v>310228</v>
      </c>
      <c r="V188" s="129">
        <v>0</v>
      </c>
      <c r="W188" s="129">
        <v>310228</v>
      </c>
      <c r="X188" s="129">
        <v>-1822</v>
      </c>
      <c r="Y188" s="129">
        <v>-6328</v>
      </c>
      <c r="Z188" s="129">
        <v>0</v>
      </c>
      <c r="AA188" s="129">
        <v>0</v>
      </c>
      <c r="AB188" s="129">
        <v>-1822</v>
      </c>
      <c r="AC188" s="129">
        <v>-6328</v>
      </c>
      <c r="AD188" s="129">
        <v>-8150</v>
      </c>
      <c r="AE188" s="129">
        <v>1822</v>
      </c>
      <c r="AF188" s="129">
        <v>6328</v>
      </c>
      <c r="AG188" s="129">
        <v>8150</v>
      </c>
      <c r="AH188" s="129">
        <v>-7022455</v>
      </c>
      <c r="AI188" s="129">
        <v>-15637</v>
      </c>
      <c r="AJ188" s="129">
        <v>-7038092</v>
      </c>
      <c r="AK188" s="129">
        <v>-11533</v>
      </c>
      <c r="AL188" s="129">
        <v>0</v>
      </c>
      <c r="AM188" s="129">
        <v>-11533</v>
      </c>
      <c r="AN188" s="129">
        <v>1397869</v>
      </c>
      <c r="AO188" s="129">
        <v>17680</v>
      </c>
      <c r="AP188" s="129">
        <v>1415549</v>
      </c>
      <c r="AQ188" s="129">
        <v>-5624586</v>
      </c>
      <c r="AR188" s="129">
        <v>2043</v>
      </c>
      <c r="AS188" s="129">
        <v>-5622543</v>
      </c>
      <c r="AT188" s="129">
        <v>-4553626</v>
      </c>
      <c r="AU188" s="129">
        <v>0</v>
      </c>
      <c r="AV188" s="129">
        <v>-4553626</v>
      </c>
      <c r="AW188" s="129">
        <v>-68439</v>
      </c>
      <c r="AX188" s="129">
        <v>0</v>
      </c>
      <c r="AY188" s="129">
        <v>-68439</v>
      </c>
      <c r="AZ188" s="129">
        <v>0</v>
      </c>
      <c r="BA188" s="129">
        <v>0</v>
      </c>
      <c r="BB188" s="129">
        <v>0</v>
      </c>
      <c r="BC188" s="129">
        <v>0</v>
      </c>
      <c r="BD188" s="129">
        <v>0</v>
      </c>
      <c r="BE188" s="129">
        <v>0</v>
      </c>
      <c r="BF188" s="129">
        <v>-10246651</v>
      </c>
      <c r="BG188" s="129">
        <v>2043</v>
      </c>
      <c r="BH188" s="129">
        <v>0</v>
      </c>
      <c r="BI188" s="129">
        <v>0</v>
      </c>
      <c r="BJ188" s="129">
        <v>-10246651</v>
      </c>
      <c r="BK188" s="129">
        <v>2043</v>
      </c>
      <c r="BL188" s="129">
        <v>-10244608</v>
      </c>
      <c r="BM188" s="129">
        <v>0</v>
      </c>
      <c r="BN188" s="129">
        <v>0</v>
      </c>
      <c r="BO188" s="129">
        <v>0</v>
      </c>
      <c r="BP188" s="129">
        <v>-3000000</v>
      </c>
      <c r="BQ188" s="129">
        <v>-3538</v>
      </c>
      <c r="BR188" s="129">
        <v>-3003538</v>
      </c>
      <c r="BS188" s="129">
        <v>-3000000</v>
      </c>
      <c r="BT188" s="129">
        <v>-3538</v>
      </c>
      <c r="BU188" s="129">
        <v>0</v>
      </c>
      <c r="BV188" s="129">
        <v>0</v>
      </c>
      <c r="BW188" s="129">
        <v>-3000000</v>
      </c>
      <c r="BX188" s="129">
        <v>-3538</v>
      </c>
      <c r="BY188" s="129">
        <v>-3003538</v>
      </c>
      <c r="BZ188" s="129">
        <v>-337624</v>
      </c>
      <c r="CA188" s="129">
        <v>0</v>
      </c>
      <c r="CB188" s="129">
        <v>-337624</v>
      </c>
      <c r="CC188" s="129">
        <v>-43627</v>
      </c>
      <c r="CD188" s="129">
        <v>0</v>
      </c>
      <c r="CE188" s="129">
        <v>-43627</v>
      </c>
      <c r="CF188" s="129">
        <v>-17110</v>
      </c>
      <c r="CG188" s="129">
        <v>0</v>
      </c>
      <c r="CH188" s="129">
        <v>-17110</v>
      </c>
      <c r="CI188" s="129">
        <v>0</v>
      </c>
      <c r="CJ188" s="129">
        <v>0</v>
      </c>
      <c r="CK188" s="129">
        <v>0</v>
      </c>
      <c r="CL188" s="129">
        <v>0</v>
      </c>
      <c r="CM188" s="129">
        <v>0</v>
      </c>
      <c r="CN188" s="129">
        <v>0</v>
      </c>
      <c r="CO188" s="129">
        <v>-60000</v>
      </c>
      <c r="CP188" s="129">
        <v>-6239</v>
      </c>
      <c r="CQ188" s="129">
        <v>-66239</v>
      </c>
      <c r="CR188" s="129">
        <v>-6239</v>
      </c>
      <c r="CS188" s="129">
        <v>0</v>
      </c>
      <c r="CT188" s="129">
        <v>-458361</v>
      </c>
      <c r="CU188" s="129">
        <v>-6239</v>
      </c>
      <c r="CV188" s="129">
        <v>0</v>
      </c>
      <c r="CW188" s="129">
        <v>0</v>
      </c>
      <c r="CX188" s="129">
        <v>-458361</v>
      </c>
      <c r="CY188" s="129">
        <v>-6239</v>
      </c>
      <c r="CZ188" s="129">
        <v>-464600</v>
      </c>
      <c r="DA188" s="129">
        <v>0</v>
      </c>
      <c r="DB188" s="129">
        <v>0</v>
      </c>
      <c r="DC188" s="129">
        <v>0</v>
      </c>
      <c r="DD188" s="129">
        <v>-33230</v>
      </c>
      <c r="DE188" s="129">
        <v>0</v>
      </c>
      <c r="DF188" s="129">
        <v>-33230</v>
      </c>
      <c r="DG188" s="129">
        <v>0</v>
      </c>
      <c r="DH188" s="129">
        <v>0</v>
      </c>
      <c r="DI188" s="129">
        <v>0</v>
      </c>
      <c r="DJ188" s="129">
        <v>-33230</v>
      </c>
      <c r="DK188" s="129">
        <v>0</v>
      </c>
      <c r="DL188" s="129">
        <v>0</v>
      </c>
      <c r="DM188" s="129">
        <v>0</v>
      </c>
      <c r="DN188" s="129">
        <v>-33230</v>
      </c>
      <c r="DO188" s="129">
        <v>0</v>
      </c>
      <c r="DP188" s="129">
        <v>-33230</v>
      </c>
      <c r="DQ188" s="129">
        <v>58004398</v>
      </c>
      <c r="DR188" s="129">
        <v>744248</v>
      </c>
      <c r="DS188" s="129">
        <v>58748646</v>
      </c>
      <c r="DT188" s="662" t="s">
        <v>238</v>
      </c>
      <c r="DU188" s="324" t="s">
        <v>570</v>
      </c>
      <c r="DV188" s="663" t="s">
        <v>573</v>
      </c>
      <c r="DW188" s="529" t="s">
        <v>1394</v>
      </c>
    </row>
    <row r="189" spans="1:127" ht="12.75" x14ac:dyDescent="0.2">
      <c r="A189" s="664">
        <v>182</v>
      </c>
      <c r="B189" s="665" t="s">
        <v>241</v>
      </c>
      <c r="C189" s="666" t="s">
        <v>1201</v>
      </c>
      <c r="D189" s="667" t="s">
        <v>1228</v>
      </c>
      <c r="E189" s="668" t="s">
        <v>240</v>
      </c>
      <c r="F189" s="753" t="s">
        <v>1881</v>
      </c>
      <c r="G189" s="129">
        <v>119734853</v>
      </c>
      <c r="H189" s="129">
        <v>0</v>
      </c>
      <c r="I189" s="129">
        <v>119734853</v>
      </c>
      <c r="J189" s="793">
        <v>49.9</v>
      </c>
      <c r="K189" s="129">
        <v>59747692</v>
      </c>
      <c r="L189" s="129">
        <v>0</v>
      </c>
      <c r="M189" s="129">
        <v>998000</v>
      </c>
      <c r="N189" s="129">
        <v>0</v>
      </c>
      <c r="O189" s="129">
        <v>60745692</v>
      </c>
      <c r="P189" s="129">
        <v>0</v>
      </c>
      <c r="Q189" s="129">
        <v>60745692</v>
      </c>
      <c r="R189" s="129">
        <v>-151029</v>
      </c>
      <c r="S189" s="129">
        <v>0</v>
      </c>
      <c r="T189" s="129">
        <v>-151029</v>
      </c>
      <c r="U189" s="129">
        <v>110416</v>
      </c>
      <c r="V189" s="129">
        <v>0</v>
      </c>
      <c r="W189" s="129">
        <v>110416</v>
      </c>
      <c r="X189" s="129">
        <v>-40613</v>
      </c>
      <c r="Y189" s="129">
        <v>0</v>
      </c>
      <c r="Z189" s="129">
        <v>0</v>
      </c>
      <c r="AA189" s="129">
        <v>0</v>
      </c>
      <c r="AB189" s="129">
        <v>-40613</v>
      </c>
      <c r="AC189" s="129">
        <v>0</v>
      </c>
      <c r="AD189" s="129">
        <v>-40613</v>
      </c>
      <c r="AE189" s="129">
        <v>40613</v>
      </c>
      <c r="AF189" s="129">
        <v>0</v>
      </c>
      <c r="AG189" s="129">
        <v>40613</v>
      </c>
      <c r="AH189" s="129">
        <v>-2759596</v>
      </c>
      <c r="AI189" s="129">
        <v>0</v>
      </c>
      <c r="AJ189" s="129">
        <v>-2759596</v>
      </c>
      <c r="AK189" s="129">
        <v>0</v>
      </c>
      <c r="AL189" s="129">
        <v>0</v>
      </c>
      <c r="AM189" s="129">
        <v>0</v>
      </c>
      <c r="AN189" s="129">
        <v>1309138</v>
      </c>
      <c r="AO189" s="129">
        <v>0</v>
      </c>
      <c r="AP189" s="129">
        <v>1309138</v>
      </c>
      <c r="AQ189" s="129">
        <v>-1450458</v>
      </c>
      <c r="AR189" s="129">
        <v>0</v>
      </c>
      <c r="AS189" s="129">
        <v>-1450458</v>
      </c>
      <c r="AT189" s="129">
        <v>-1026210</v>
      </c>
      <c r="AU189" s="129">
        <v>0</v>
      </c>
      <c r="AV189" s="129">
        <v>-1026210</v>
      </c>
      <c r="AW189" s="129">
        <v>-33065</v>
      </c>
      <c r="AX189" s="129">
        <v>0</v>
      </c>
      <c r="AY189" s="129">
        <v>-33065</v>
      </c>
      <c r="AZ189" s="129">
        <v>-14036</v>
      </c>
      <c r="BA189" s="129">
        <v>0</v>
      </c>
      <c r="BB189" s="129">
        <v>-14036</v>
      </c>
      <c r="BC189" s="129">
        <v>0</v>
      </c>
      <c r="BD189" s="129">
        <v>0</v>
      </c>
      <c r="BE189" s="129">
        <v>0</v>
      </c>
      <c r="BF189" s="129">
        <v>-2523769</v>
      </c>
      <c r="BG189" s="129">
        <v>0</v>
      </c>
      <c r="BH189" s="129">
        <v>0</v>
      </c>
      <c r="BI189" s="129">
        <v>0</v>
      </c>
      <c r="BJ189" s="129">
        <v>-2523769</v>
      </c>
      <c r="BK189" s="129">
        <v>0</v>
      </c>
      <c r="BL189" s="129">
        <v>-2523769</v>
      </c>
      <c r="BM189" s="129">
        <v>0</v>
      </c>
      <c r="BN189" s="129">
        <v>0</v>
      </c>
      <c r="BO189" s="129">
        <v>0</v>
      </c>
      <c r="BP189" s="129">
        <v>-1950000</v>
      </c>
      <c r="BQ189" s="129">
        <v>0</v>
      </c>
      <c r="BR189" s="129">
        <v>-1950000</v>
      </c>
      <c r="BS189" s="129">
        <v>-1950000</v>
      </c>
      <c r="BT189" s="129">
        <v>0</v>
      </c>
      <c r="BU189" s="129">
        <v>0</v>
      </c>
      <c r="BV189" s="129">
        <v>0</v>
      </c>
      <c r="BW189" s="129">
        <v>-1950000</v>
      </c>
      <c r="BX189" s="129">
        <v>0</v>
      </c>
      <c r="BY189" s="129">
        <v>-1950000</v>
      </c>
      <c r="BZ189" s="129">
        <v>-9413</v>
      </c>
      <c r="CA189" s="129">
        <v>0</v>
      </c>
      <c r="CB189" s="129">
        <v>-9413</v>
      </c>
      <c r="CC189" s="129">
        <v>-9908</v>
      </c>
      <c r="CD189" s="129">
        <v>0</v>
      </c>
      <c r="CE189" s="129">
        <v>-9908</v>
      </c>
      <c r="CF189" s="129">
        <v>-927</v>
      </c>
      <c r="CG189" s="129">
        <v>0</v>
      </c>
      <c r="CH189" s="129">
        <v>-927</v>
      </c>
      <c r="CI189" s="129">
        <v>0</v>
      </c>
      <c r="CJ189" s="129">
        <v>0</v>
      </c>
      <c r="CK189" s="129">
        <v>0</v>
      </c>
      <c r="CL189" s="129">
        <v>0</v>
      </c>
      <c r="CM189" s="129">
        <v>0</v>
      </c>
      <c r="CN189" s="129">
        <v>0</v>
      </c>
      <c r="CO189" s="129">
        <v>0</v>
      </c>
      <c r="CP189" s="129">
        <v>0</v>
      </c>
      <c r="CQ189" s="129">
        <v>0</v>
      </c>
      <c r="CR189" s="129">
        <v>0</v>
      </c>
      <c r="CS189" s="129">
        <v>0</v>
      </c>
      <c r="CT189" s="129">
        <v>-20248</v>
      </c>
      <c r="CU189" s="129">
        <v>0</v>
      </c>
      <c r="CV189" s="129">
        <v>0</v>
      </c>
      <c r="CW189" s="129">
        <v>0</v>
      </c>
      <c r="CX189" s="129">
        <v>-20248</v>
      </c>
      <c r="CY189" s="129">
        <v>0</v>
      </c>
      <c r="CZ189" s="129">
        <v>-20248</v>
      </c>
      <c r="DA189" s="129">
        <v>-14036</v>
      </c>
      <c r="DB189" s="129">
        <v>0</v>
      </c>
      <c r="DC189" s="129">
        <v>-14036</v>
      </c>
      <c r="DD189" s="129">
        <v>-11402</v>
      </c>
      <c r="DE189" s="129">
        <v>0</v>
      </c>
      <c r="DF189" s="129">
        <v>-11402</v>
      </c>
      <c r="DG189" s="129">
        <v>0</v>
      </c>
      <c r="DH189" s="129">
        <v>0</v>
      </c>
      <c r="DI189" s="129">
        <v>0</v>
      </c>
      <c r="DJ189" s="129">
        <v>-25438</v>
      </c>
      <c r="DK189" s="129">
        <v>0</v>
      </c>
      <c r="DL189" s="129">
        <v>0</v>
      </c>
      <c r="DM189" s="129">
        <v>0</v>
      </c>
      <c r="DN189" s="129">
        <v>-25438</v>
      </c>
      <c r="DO189" s="129">
        <v>0</v>
      </c>
      <c r="DP189" s="129">
        <v>-25438</v>
      </c>
      <c r="DQ189" s="129">
        <v>56185624</v>
      </c>
      <c r="DR189" s="129">
        <v>0</v>
      </c>
      <c r="DS189" s="129">
        <v>56185624</v>
      </c>
      <c r="DT189" s="662" t="s">
        <v>240</v>
      </c>
      <c r="DU189" s="324" t="s">
        <v>567</v>
      </c>
      <c r="DV189" s="663" t="s">
        <v>512</v>
      </c>
      <c r="DW189" s="529" t="s">
        <v>1395</v>
      </c>
    </row>
    <row r="190" spans="1:127" ht="12.75" x14ac:dyDescent="0.2">
      <c r="A190" s="664">
        <v>183</v>
      </c>
      <c r="B190" s="665" t="s">
        <v>247</v>
      </c>
      <c r="C190" s="666" t="s">
        <v>1201</v>
      </c>
      <c r="D190" s="667" t="s">
        <v>1206</v>
      </c>
      <c r="E190" s="668" t="s">
        <v>246</v>
      </c>
      <c r="F190" s="753" t="s">
        <v>1885</v>
      </c>
      <c r="G190" s="129">
        <v>151196517</v>
      </c>
      <c r="H190" s="129">
        <v>0</v>
      </c>
      <c r="I190" s="129">
        <v>151196517</v>
      </c>
      <c r="J190" s="793">
        <v>49.9</v>
      </c>
      <c r="K190" s="129">
        <v>75447062</v>
      </c>
      <c r="L190" s="129">
        <v>0</v>
      </c>
      <c r="M190" s="129">
        <v>6982016</v>
      </c>
      <c r="N190" s="129">
        <v>0</v>
      </c>
      <c r="O190" s="129">
        <v>82429078</v>
      </c>
      <c r="P190" s="129">
        <v>0</v>
      </c>
      <c r="Q190" s="129">
        <v>82429078</v>
      </c>
      <c r="R190" s="129">
        <v>-191218</v>
      </c>
      <c r="S190" s="129">
        <v>0</v>
      </c>
      <c r="T190" s="129">
        <v>-191218</v>
      </c>
      <c r="U190" s="129">
        <v>22000</v>
      </c>
      <c r="V190" s="129">
        <v>0</v>
      </c>
      <c r="W190" s="129">
        <v>22000</v>
      </c>
      <c r="X190" s="129">
        <v>-169218</v>
      </c>
      <c r="Y190" s="129">
        <v>0</v>
      </c>
      <c r="Z190" s="129">
        <v>0</v>
      </c>
      <c r="AA190" s="129">
        <v>0</v>
      </c>
      <c r="AB190" s="129">
        <v>-169218</v>
      </c>
      <c r="AC190" s="129">
        <v>0</v>
      </c>
      <c r="AD190" s="129">
        <v>-169218</v>
      </c>
      <c r="AE190" s="129">
        <v>169218</v>
      </c>
      <c r="AF190" s="129">
        <v>0</v>
      </c>
      <c r="AG190" s="129">
        <v>169218</v>
      </c>
      <c r="AH190" s="129">
        <v>-3710619</v>
      </c>
      <c r="AI190" s="129">
        <v>0</v>
      </c>
      <c r="AJ190" s="129">
        <v>-3710619</v>
      </c>
      <c r="AK190" s="129">
        <v>-4571</v>
      </c>
      <c r="AL190" s="129">
        <v>0</v>
      </c>
      <c r="AM190" s="129">
        <v>-4571</v>
      </c>
      <c r="AN190" s="129">
        <v>1594090</v>
      </c>
      <c r="AO190" s="129">
        <v>0</v>
      </c>
      <c r="AP190" s="129">
        <v>1594090</v>
      </c>
      <c r="AQ190" s="129">
        <v>-2116529</v>
      </c>
      <c r="AR190" s="129">
        <v>0</v>
      </c>
      <c r="AS190" s="129">
        <v>-2116529</v>
      </c>
      <c r="AT190" s="129">
        <v>-1895992</v>
      </c>
      <c r="AU190" s="129">
        <v>0</v>
      </c>
      <c r="AV190" s="129">
        <v>-1895992</v>
      </c>
      <c r="AW190" s="129">
        <v>-24934</v>
      </c>
      <c r="AX190" s="129">
        <v>0</v>
      </c>
      <c r="AY190" s="129">
        <v>-24934</v>
      </c>
      <c r="AZ190" s="129">
        <v>-4729</v>
      </c>
      <c r="BA190" s="129">
        <v>0</v>
      </c>
      <c r="BB190" s="129">
        <v>-4729</v>
      </c>
      <c r="BC190" s="129">
        <v>0</v>
      </c>
      <c r="BD190" s="129">
        <v>0</v>
      </c>
      <c r="BE190" s="129">
        <v>0</v>
      </c>
      <c r="BF190" s="129">
        <v>-4042184</v>
      </c>
      <c r="BG190" s="129">
        <v>0</v>
      </c>
      <c r="BH190" s="129">
        <v>0</v>
      </c>
      <c r="BI190" s="129">
        <v>0</v>
      </c>
      <c r="BJ190" s="129">
        <v>-4042184</v>
      </c>
      <c r="BK190" s="129">
        <v>0</v>
      </c>
      <c r="BL190" s="129">
        <v>-4042184</v>
      </c>
      <c r="BM190" s="129">
        <v>-2094605</v>
      </c>
      <c r="BN190" s="129">
        <v>0</v>
      </c>
      <c r="BO190" s="129">
        <v>-2094605</v>
      </c>
      <c r="BP190" s="129">
        <v>-468162</v>
      </c>
      <c r="BQ190" s="129">
        <v>0</v>
      </c>
      <c r="BR190" s="129">
        <v>-468162</v>
      </c>
      <c r="BS190" s="129">
        <v>-2562767</v>
      </c>
      <c r="BT190" s="129">
        <v>0</v>
      </c>
      <c r="BU190" s="129">
        <v>0</v>
      </c>
      <c r="BV190" s="129">
        <v>0</v>
      </c>
      <c r="BW190" s="129">
        <v>-2562767</v>
      </c>
      <c r="BX190" s="129">
        <v>0</v>
      </c>
      <c r="BY190" s="129">
        <v>-2562767</v>
      </c>
      <c r="BZ190" s="129">
        <v>-70305</v>
      </c>
      <c r="CA190" s="129">
        <v>0</v>
      </c>
      <c r="CB190" s="129">
        <v>-70305</v>
      </c>
      <c r="CC190" s="129">
        <v>-92189</v>
      </c>
      <c r="CD190" s="129">
        <v>0</v>
      </c>
      <c r="CE190" s="129">
        <v>-92189</v>
      </c>
      <c r="CF190" s="129">
        <v>-1724</v>
      </c>
      <c r="CG190" s="129">
        <v>0</v>
      </c>
      <c r="CH190" s="129">
        <v>-1724</v>
      </c>
      <c r="CI190" s="129">
        <v>0</v>
      </c>
      <c r="CJ190" s="129">
        <v>0</v>
      </c>
      <c r="CK190" s="129">
        <v>0</v>
      </c>
      <c r="CL190" s="129">
        <v>0</v>
      </c>
      <c r="CM190" s="129">
        <v>0</v>
      </c>
      <c r="CN190" s="129">
        <v>0</v>
      </c>
      <c r="CO190" s="129">
        <v>0</v>
      </c>
      <c r="CP190" s="129">
        <v>0</v>
      </c>
      <c r="CQ190" s="129">
        <v>0</v>
      </c>
      <c r="CR190" s="129">
        <v>0</v>
      </c>
      <c r="CS190" s="129">
        <v>0</v>
      </c>
      <c r="CT190" s="129">
        <v>-164218</v>
      </c>
      <c r="CU190" s="129">
        <v>0</v>
      </c>
      <c r="CV190" s="129">
        <v>0</v>
      </c>
      <c r="CW190" s="129">
        <v>0</v>
      </c>
      <c r="CX190" s="129">
        <v>-164218</v>
      </c>
      <c r="CY190" s="129">
        <v>0</v>
      </c>
      <c r="CZ190" s="129">
        <v>-164218</v>
      </c>
      <c r="DA190" s="129">
        <v>-4729</v>
      </c>
      <c r="DB190" s="129">
        <v>0</v>
      </c>
      <c r="DC190" s="129">
        <v>-4729</v>
      </c>
      <c r="DD190" s="129">
        <v>-25164</v>
      </c>
      <c r="DE190" s="129">
        <v>0</v>
      </c>
      <c r="DF190" s="129">
        <v>-25164</v>
      </c>
      <c r="DG190" s="129">
        <v>-1500</v>
      </c>
      <c r="DH190" s="129">
        <v>0</v>
      </c>
      <c r="DI190" s="129">
        <v>-1500</v>
      </c>
      <c r="DJ190" s="129">
        <v>-31393</v>
      </c>
      <c r="DK190" s="129">
        <v>0</v>
      </c>
      <c r="DL190" s="129">
        <v>0</v>
      </c>
      <c r="DM190" s="129">
        <v>0</v>
      </c>
      <c r="DN190" s="129">
        <v>-31393</v>
      </c>
      <c r="DO190" s="129">
        <v>0</v>
      </c>
      <c r="DP190" s="129">
        <v>-31393</v>
      </c>
      <c r="DQ190" s="129">
        <v>75459298</v>
      </c>
      <c r="DR190" s="129">
        <v>0</v>
      </c>
      <c r="DS190" s="129">
        <v>75459298</v>
      </c>
      <c r="DT190" s="662" t="s">
        <v>246</v>
      </c>
      <c r="DU190" s="324" t="s">
        <v>551</v>
      </c>
      <c r="DV190" s="663" t="s">
        <v>549</v>
      </c>
      <c r="DW190" s="529" t="s">
        <v>1396</v>
      </c>
    </row>
    <row r="191" spans="1:127" ht="12.75" x14ac:dyDescent="0.2">
      <c r="A191" s="664">
        <v>184</v>
      </c>
      <c r="B191" s="665" t="s">
        <v>249</v>
      </c>
      <c r="C191" s="666" t="s">
        <v>486</v>
      </c>
      <c r="D191" s="667" t="s">
        <v>1283</v>
      </c>
      <c r="E191" s="668" t="s">
        <v>248</v>
      </c>
      <c r="F191" s="753" t="s">
        <v>1886</v>
      </c>
      <c r="G191" s="129">
        <v>231926593</v>
      </c>
      <c r="H191" s="129">
        <v>837275</v>
      </c>
      <c r="I191" s="129">
        <v>232763868</v>
      </c>
      <c r="J191" s="793">
        <v>49.9</v>
      </c>
      <c r="K191" s="129">
        <v>115731370</v>
      </c>
      <c r="L191" s="129">
        <v>417800</v>
      </c>
      <c r="M191" s="129">
        <v>-218698</v>
      </c>
      <c r="N191" s="129">
        <v>0</v>
      </c>
      <c r="O191" s="129">
        <v>115512672</v>
      </c>
      <c r="P191" s="129">
        <v>417800</v>
      </c>
      <c r="Q191" s="129">
        <v>115930472</v>
      </c>
      <c r="R191" s="129">
        <v>-1068741</v>
      </c>
      <c r="S191" s="129">
        <v>0</v>
      </c>
      <c r="T191" s="129">
        <v>-1068741</v>
      </c>
      <c r="U191" s="129">
        <v>353280</v>
      </c>
      <c r="V191" s="129">
        <v>0</v>
      </c>
      <c r="W191" s="129">
        <v>353280</v>
      </c>
      <c r="X191" s="129">
        <v>-715461</v>
      </c>
      <c r="Y191" s="129">
        <v>0</v>
      </c>
      <c r="Z191" s="129">
        <v>0</v>
      </c>
      <c r="AA191" s="129">
        <v>0</v>
      </c>
      <c r="AB191" s="129">
        <v>-715461</v>
      </c>
      <c r="AC191" s="129">
        <v>0</v>
      </c>
      <c r="AD191" s="129">
        <v>-715461</v>
      </c>
      <c r="AE191" s="129">
        <v>715461</v>
      </c>
      <c r="AF191" s="129">
        <v>0</v>
      </c>
      <c r="AG191" s="129">
        <v>715461</v>
      </c>
      <c r="AH191" s="129">
        <v>-14939695</v>
      </c>
      <c r="AI191" s="129">
        <v>-47679</v>
      </c>
      <c r="AJ191" s="129">
        <v>-14987374</v>
      </c>
      <c r="AK191" s="129">
        <v>-32984</v>
      </c>
      <c r="AL191" s="129">
        <v>-4042</v>
      </c>
      <c r="AM191" s="129">
        <v>-37026</v>
      </c>
      <c r="AN191" s="129">
        <v>1833639</v>
      </c>
      <c r="AO191" s="129">
        <v>5095</v>
      </c>
      <c r="AP191" s="129">
        <v>1838734</v>
      </c>
      <c r="AQ191" s="129">
        <v>-13106056</v>
      </c>
      <c r="AR191" s="129">
        <v>-42584</v>
      </c>
      <c r="AS191" s="129">
        <v>-13148640</v>
      </c>
      <c r="AT191" s="129">
        <v>-7611355</v>
      </c>
      <c r="AU191" s="129">
        <v>0</v>
      </c>
      <c r="AV191" s="129">
        <v>-7611355</v>
      </c>
      <c r="AW191" s="129">
        <v>-152760</v>
      </c>
      <c r="AX191" s="129">
        <v>0</v>
      </c>
      <c r="AY191" s="129">
        <v>-152760</v>
      </c>
      <c r="AZ191" s="129">
        <v>-67884</v>
      </c>
      <c r="BA191" s="129">
        <v>0</v>
      </c>
      <c r="BB191" s="129">
        <v>-67884</v>
      </c>
      <c r="BC191" s="129">
        <v>0</v>
      </c>
      <c r="BD191" s="129">
        <v>0</v>
      </c>
      <c r="BE191" s="129">
        <v>0</v>
      </c>
      <c r="BF191" s="129">
        <v>-20938055</v>
      </c>
      <c r="BG191" s="129">
        <v>-42584</v>
      </c>
      <c r="BH191" s="129">
        <v>-173352</v>
      </c>
      <c r="BI191" s="129">
        <v>0</v>
      </c>
      <c r="BJ191" s="129">
        <v>-21111407</v>
      </c>
      <c r="BK191" s="129">
        <v>-42584</v>
      </c>
      <c r="BL191" s="129">
        <v>-21153991</v>
      </c>
      <c r="BM191" s="129">
        <v>-100000</v>
      </c>
      <c r="BN191" s="129">
        <v>0</v>
      </c>
      <c r="BO191" s="129">
        <v>-100000</v>
      </c>
      <c r="BP191" s="129">
        <v>-2067517</v>
      </c>
      <c r="BQ191" s="129">
        <v>-9403</v>
      </c>
      <c r="BR191" s="129">
        <v>-2076920</v>
      </c>
      <c r="BS191" s="129">
        <v>-2167517</v>
      </c>
      <c r="BT191" s="129">
        <v>-9403</v>
      </c>
      <c r="BU191" s="129">
        <v>0</v>
      </c>
      <c r="BV191" s="129">
        <v>0</v>
      </c>
      <c r="BW191" s="129">
        <v>-2167517</v>
      </c>
      <c r="BX191" s="129">
        <v>-9403</v>
      </c>
      <c r="BY191" s="129">
        <v>-2176920</v>
      </c>
      <c r="BZ191" s="129">
        <v>-650000</v>
      </c>
      <c r="CA191" s="129">
        <v>0</v>
      </c>
      <c r="CB191" s="129">
        <v>-650000</v>
      </c>
      <c r="CC191" s="129">
        <v>-470853</v>
      </c>
      <c r="CD191" s="129">
        <v>0</v>
      </c>
      <c r="CE191" s="129">
        <v>-470853</v>
      </c>
      <c r="CF191" s="129">
        <v>-16543</v>
      </c>
      <c r="CG191" s="129">
        <v>0</v>
      </c>
      <c r="CH191" s="129">
        <v>-16543</v>
      </c>
      <c r="CI191" s="129">
        <v>0</v>
      </c>
      <c r="CJ191" s="129">
        <v>0</v>
      </c>
      <c r="CK191" s="129">
        <v>0</v>
      </c>
      <c r="CL191" s="129">
        <v>-55000</v>
      </c>
      <c r="CM191" s="129">
        <v>0</v>
      </c>
      <c r="CN191" s="129">
        <v>-55000</v>
      </c>
      <c r="CO191" s="129">
        <v>-500000</v>
      </c>
      <c r="CP191" s="129">
        <v>-66978</v>
      </c>
      <c r="CQ191" s="129">
        <v>-566978</v>
      </c>
      <c r="CR191" s="129">
        <v>-66978</v>
      </c>
      <c r="CS191" s="129">
        <v>0</v>
      </c>
      <c r="CT191" s="129">
        <v>-1692396</v>
      </c>
      <c r="CU191" s="129">
        <v>-66978</v>
      </c>
      <c r="CV191" s="129">
        <v>0</v>
      </c>
      <c r="CW191" s="129">
        <v>0</v>
      </c>
      <c r="CX191" s="129">
        <v>-1692396</v>
      </c>
      <c r="CY191" s="129">
        <v>-66978</v>
      </c>
      <c r="CZ191" s="129">
        <v>-1759374</v>
      </c>
      <c r="DA191" s="129">
        <v>-67884</v>
      </c>
      <c r="DB191" s="129">
        <v>0</v>
      </c>
      <c r="DC191" s="129">
        <v>-67884</v>
      </c>
      <c r="DD191" s="129">
        <v>-108792</v>
      </c>
      <c r="DE191" s="129">
        <v>0</v>
      </c>
      <c r="DF191" s="129">
        <v>-108792</v>
      </c>
      <c r="DG191" s="129">
        <v>-1500</v>
      </c>
      <c r="DH191" s="129">
        <v>0</v>
      </c>
      <c r="DI191" s="129">
        <v>-1500</v>
      </c>
      <c r="DJ191" s="129">
        <v>-178176</v>
      </c>
      <c r="DK191" s="129">
        <v>0</v>
      </c>
      <c r="DL191" s="129">
        <v>0</v>
      </c>
      <c r="DM191" s="129">
        <v>0</v>
      </c>
      <c r="DN191" s="129">
        <v>-178176</v>
      </c>
      <c r="DO191" s="129">
        <v>0</v>
      </c>
      <c r="DP191" s="129">
        <v>-178176</v>
      </c>
      <c r="DQ191" s="129">
        <v>89647715</v>
      </c>
      <c r="DR191" s="129">
        <v>298835</v>
      </c>
      <c r="DS191" s="129">
        <v>89946550</v>
      </c>
      <c r="DT191" s="662" t="s">
        <v>248</v>
      </c>
      <c r="DU191" s="324" t="s">
        <v>486</v>
      </c>
      <c r="DV191" s="663" t="s">
        <v>512</v>
      </c>
      <c r="DW191" s="529" t="s">
        <v>1397</v>
      </c>
    </row>
    <row r="192" spans="1:127" ht="12.75" x14ac:dyDescent="0.2">
      <c r="A192" s="664">
        <v>185</v>
      </c>
      <c r="B192" s="665" t="s">
        <v>251</v>
      </c>
      <c r="C192" s="666" t="s">
        <v>1201</v>
      </c>
      <c r="D192" s="667" t="s">
        <v>1211</v>
      </c>
      <c r="E192" s="668" t="s">
        <v>250</v>
      </c>
      <c r="F192" s="753" t="s">
        <v>1875</v>
      </c>
      <c r="G192" s="129">
        <v>198842434</v>
      </c>
      <c r="H192" s="129">
        <v>0</v>
      </c>
      <c r="I192" s="129">
        <v>198842434</v>
      </c>
      <c r="J192" s="793">
        <v>49.9</v>
      </c>
      <c r="K192" s="129">
        <v>99222375</v>
      </c>
      <c r="L192" s="129">
        <v>0</v>
      </c>
      <c r="M192" s="129">
        <v>-2480559</v>
      </c>
      <c r="N192" s="129">
        <v>0</v>
      </c>
      <c r="O192" s="129">
        <v>96741816</v>
      </c>
      <c r="P192" s="129">
        <v>0</v>
      </c>
      <c r="Q192" s="129">
        <v>96741816</v>
      </c>
      <c r="R192" s="129">
        <v>-164946</v>
      </c>
      <c r="S192" s="129">
        <v>0</v>
      </c>
      <c r="T192" s="129">
        <v>-164946</v>
      </c>
      <c r="U192" s="129">
        <v>404914</v>
      </c>
      <c r="V192" s="129">
        <v>0</v>
      </c>
      <c r="W192" s="129">
        <v>404914</v>
      </c>
      <c r="X192" s="129">
        <v>239968</v>
      </c>
      <c r="Y192" s="129">
        <v>0</v>
      </c>
      <c r="Z192" s="129">
        <v>0</v>
      </c>
      <c r="AA192" s="129">
        <v>0</v>
      </c>
      <c r="AB192" s="129">
        <v>239968</v>
      </c>
      <c r="AC192" s="129">
        <v>0</v>
      </c>
      <c r="AD192" s="129">
        <v>239968</v>
      </c>
      <c r="AE192" s="129">
        <v>-239968</v>
      </c>
      <c r="AF192" s="129">
        <v>0</v>
      </c>
      <c r="AG192" s="129">
        <v>-239968</v>
      </c>
      <c r="AH192" s="129">
        <v>-6926456</v>
      </c>
      <c r="AI192" s="129">
        <v>0</v>
      </c>
      <c r="AJ192" s="129">
        <v>-6926456</v>
      </c>
      <c r="AK192" s="129">
        <v>-23165</v>
      </c>
      <c r="AL192" s="129">
        <v>0</v>
      </c>
      <c r="AM192" s="129">
        <v>-23165</v>
      </c>
      <c r="AN192" s="129">
        <v>1914534</v>
      </c>
      <c r="AO192" s="129">
        <v>0</v>
      </c>
      <c r="AP192" s="129">
        <v>1914534</v>
      </c>
      <c r="AQ192" s="129">
        <v>-5011922</v>
      </c>
      <c r="AR192" s="129">
        <v>0</v>
      </c>
      <c r="AS192" s="129">
        <v>-5011922</v>
      </c>
      <c r="AT192" s="129">
        <v>-7746043</v>
      </c>
      <c r="AU192" s="129">
        <v>0</v>
      </c>
      <c r="AV192" s="129">
        <v>-7746043</v>
      </c>
      <c r="AW192" s="129">
        <v>-25682</v>
      </c>
      <c r="AX192" s="129">
        <v>0</v>
      </c>
      <c r="AY192" s="129">
        <v>-25682</v>
      </c>
      <c r="AZ192" s="129">
        <v>0</v>
      </c>
      <c r="BA192" s="129">
        <v>0</v>
      </c>
      <c r="BB192" s="129">
        <v>0</v>
      </c>
      <c r="BC192" s="129">
        <v>0</v>
      </c>
      <c r="BD192" s="129">
        <v>0</v>
      </c>
      <c r="BE192" s="129">
        <v>0</v>
      </c>
      <c r="BF192" s="129">
        <v>-12783647</v>
      </c>
      <c r="BG192" s="129">
        <v>0</v>
      </c>
      <c r="BH192" s="129">
        <v>0</v>
      </c>
      <c r="BI192" s="129">
        <v>0</v>
      </c>
      <c r="BJ192" s="129">
        <v>-12783647</v>
      </c>
      <c r="BK192" s="129">
        <v>0</v>
      </c>
      <c r="BL192" s="129">
        <v>-12783647</v>
      </c>
      <c r="BM192" s="129">
        <v>-100000</v>
      </c>
      <c r="BN192" s="129">
        <v>0</v>
      </c>
      <c r="BO192" s="129">
        <v>-100000</v>
      </c>
      <c r="BP192" s="129">
        <v>-5522728</v>
      </c>
      <c r="BQ192" s="129">
        <v>0</v>
      </c>
      <c r="BR192" s="129">
        <v>-5522728</v>
      </c>
      <c r="BS192" s="129">
        <v>-5622728</v>
      </c>
      <c r="BT192" s="129">
        <v>0</v>
      </c>
      <c r="BU192" s="129">
        <v>0</v>
      </c>
      <c r="BV192" s="129">
        <v>0</v>
      </c>
      <c r="BW192" s="129">
        <v>-5622728</v>
      </c>
      <c r="BX192" s="129">
        <v>0</v>
      </c>
      <c r="BY192" s="129">
        <v>-5622728</v>
      </c>
      <c r="BZ192" s="129">
        <v>-145000</v>
      </c>
      <c r="CA192" s="129">
        <v>0</v>
      </c>
      <c r="CB192" s="129">
        <v>-145000</v>
      </c>
      <c r="CC192" s="129">
        <v>-100000</v>
      </c>
      <c r="CD192" s="129">
        <v>0</v>
      </c>
      <c r="CE192" s="129">
        <v>-100000</v>
      </c>
      <c r="CF192" s="129">
        <v>0</v>
      </c>
      <c r="CG192" s="129">
        <v>0</v>
      </c>
      <c r="CH192" s="129">
        <v>0</v>
      </c>
      <c r="CI192" s="129">
        <v>0</v>
      </c>
      <c r="CJ192" s="129">
        <v>0</v>
      </c>
      <c r="CK192" s="129">
        <v>0</v>
      </c>
      <c r="CL192" s="129">
        <v>0</v>
      </c>
      <c r="CM192" s="129">
        <v>0</v>
      </c>
      <c r="CN192" s="129">
        <v>0</v>
      </c>
      <c r="CO192" s="129">
        <v>0</v>
      </c>
      <c r="CP192" s="129">
        <v>0</v>
      </c>
      <c r="CQ192" s="129">
        <v>0</v>
      </c>
      <c r="CR192" s="129">
        <v>0</v>
      </c>
      <c r="CS192" s="129">
        <v>0</v>
      </c>
      <c r="CT192" s="129">
        <v>-245000</v>
      </c>
      <c r="CU192" s="129">
        <v>0</v>
      </c>
      <c r="CV192" s="129">
        <v>0</v>
      </c>
      <c r="CW192" s="129">
        <v>0</v>
      </c>
      <c r="CX192" s="129">
        <v>-245000</v>
      </c>
      <c r="CY192" s="129">
        <v>0</v>
      </c>
      <c r="CZ192" s="129">
        <v>-245000</v>
      </c>
      <c r="DA192" s="129">
        <v>0</v>
      </c>
      <c r="DB192" s="129">
        <v>0</v>
      </c>
      <c r="DC192" s="129">
        <v>0</v>
      </c>
      <c r="DD192" s="129">
        <v>-20054</v>
      </c>
      <c r="DE192" s="129">
        <v>0</v>
      </c>
      <c r="DF192" s="129">
        <v>-20054</v>
      </c>
      <c r="DG192" s="129">
        <v>-1500</v>
      </c>
      <c r="DH192" s="129">
        <v>0</v>
      </c>
      <c r="DI192" s="129">
        <v>-1500</v>
      </c>
      <c r="DJ192" s="129">
        <v>-21554</v>
      </c>
      <c r="DK192" s="129">
        <v>0</v>
      </c>
      <c r="DL192" s="129">
        <v>0</v>
      </c>
      <c r="DM192" s="129">
        <v>0</v>
      </c>
      <c r="DN192" s="129">
        <v>-21554</v>
      </c>
      <c r="DO192" s="129">
        <v>0</v>
      </c>
      <c r="DP192" s="129">
        <v>-21554</v>
      </c>
      <c r="DQ192" s="129">
        <v>78308855</v>
      </c>
      <c r="DR192" s="129">
        <v>0</v>
      </c>
      <c r="DS192" s="129">
        <v>78308855</v>
      </c>
      <c r="DT192" s="662" t="s">
        <v>250</v>
      </c>
      <c r="DU192" s="324" t="s">
        <v>553</v>
      </c>
      <c r="DV192" s="663" t="s">
        <v>512</v>
      </c>
      <c r="DW192" s="529" t="s">
        <v>1398</v>
      </c>
    </row>
    <row r="193" spans="1:127" ht="12.75" x14ac:dyDescent="0.2">
      <c r="A193" s="664">
        <v>186</v>
      </c>
      <c r="B193" s="665" t="s">
        <v>253</v>
      </c>
      <c r="C193" s="666" t="s">
        <v>486</v>
      </c>
      <c r="D193" s="667" t="s">
        <v>1206</v>
      </c>
      <c r="E193" s="668" t="s">
        <v>557</v>
      </c>
      <c r="F193" s="753" t="s">
        <v>1905</v>
      </c>
      <c r="G193" s="129">
        <v>331612439</v>
      </c>
      <c r="H193" s="129">
        <v>25764013</v>
      </c>
      <c r="I193" s="129">
        <v>357376452</v>
      </c>
      <c r="J193" s="793">
        <v>49.9</v>
      </c>
      <c r="K193" s="129">
        <v>165474607</v>
      </c>
      <c r="L193" s="129">
        <v>12856242</v>
      </c>
      <c r="M193" s="129">
        <v>-3800000</v>
      </c>
      <c r="N193" s="129">
        <v>-200000</v>
      </c>
      <c r="O193" s="129">
        <v>161674607</v>
      </c>
      <c r="P193" s="129">
        <v>12656242</v>
      </c>
      <c r="Q193" s="129">
        <v>174330849</v>
      </c>
      <c r="R193" s="129">
        <v>-1192434</v>
      </c>
      <c r="S193" s="129">
        <v>-22545</v>
      </c>
      <c r="T193" s="129">
        <v>-1214979</v>
      </c>
      <c r="U193" s="129">
        <v>202091</v>
      </c>
      <c r="V193" s="129">
        <v>11799</v>
      </c>
      <c r="W193" s="129">
        <v>213890</v>
      </c>
      <c r="X193" s="129">
        <v>-990343</v>
      </c>
      <c r="Y193" s="129">
        <v>-10746</v>
      </c>
      <c r="Z193" s="129">
        <v>0</v>
      </c>
      <c r="AA193" s="129">
        <v>0</v>
      </c>
      <c r="AB193" s="129">
        <v>-990343</v>
      </c>
      <c r="AC193" s="129">
        <v>-10746</v>
      </c>
      <c r="AD193" s="129">
        <v>-1001089</v>
      </c>
      <c r="AE193" s="129">
        <v>990343</v>
      </c>
      <c r="AF193" s="129">
        <v>10746</v>
      </c>
      <c r="AG193" s="129">
        <v>1001089</v>
      </c>
      <c r="AH193" s="129">
        <v>-9600213</v>
      </c>
      <c r="AI193" s="129">
        <v>-660988</v>
      </c>
      <c r="AJ193" s="129">
        <v>-10261201</v>
      </c>
      <c r="AK193" s="129">
        <v>-68898</v>
      </c>
      <c r="AL193" s="129">
        <v>-5988</v>
      </c>
      <c r="AM193" s="129">
        <v>-74886</v>
      </c>
      <c r="AN193" s="129">
        <v>3379670</v>
      </c>
      <c r="AO193" s="129">
        <v>254383</v>
      </c>
      <c r="AP193" s="129">
        <v>3634053</v>
      </c>
      <c r="AQ193" s="129">
        <v>-6220543</v>
      </c>
      <c r="AR193" s="129">
        <v>-406605</v>
      </c>
      <c r="AS193" s="129">
        <v>-6627148</v>
      </c>
      <c r="AT193" s="129">
        <v>-16455844</v>
      </c>
      <c r="AU193" s="129">
        <v>-841987</v>
      </c>
      <c r="AV193" s="129">
        <v>-17297831</v>
      </c>
      <c r="AW193" s="129">
        <v>-67949</v>
      </c>
      <c r="AX193" s="129">
        <v>0</v>
      </c>
      <c r="AY193" s="129">
        <v>-67949</v>
      </c>
      <c r="AZ193" s="129">
        <v>0</v>
      </c>
      <c r="BA193" s="129">
        <v>0</v>
      </c>
      <c r="BB193" s="129">
        <v>0</v>
      </c>
      <c r="BC193" s="129">
        <v>0</v>
      </c>
      <c r="BD193" s="129">
        <v>0</v>
      </c>
      <c r="BE193" s="129">
        <v>0</v>
      </c>
      <c r="BF193" s="129">
        <v>-22744336</v>
      </c>
      <c r="BG193" s="129">
        <v>-1248592</v>
      </c>
      <c r="BH193" s="129">
        <v>0</v>
      </c>
      <c r="BI193" s="129">
        <v>0</v>
      </c>
      <c r="BJ193" s="129">
        <v>-22744336</v>
      </c>
      <c r="BK193" s="129">
        <v>-1248592</v>
      </c>
      <c r="BL193" s="129">
        <v>-23992928</v>
      </c>
      <c r="BM193" s="129">
        <v>-190000</v>
      </c>
      <c r="BN193" s="129">
        <v>-10000</v>
      </c>
      <c r="BO193" s="129">
        <v>-200000</v>
      </c>
      <c r="BP193" s="129">
        <v>-7027576</v>
      </c>
      <c r="BQ193" s="129">
        <v>-409426</v>
      </c>
      <c r="BR193" s="129">
        <v>-7437002</v>
      </c>
      <c r="BS193" s="129">
        <v>-7217576</v>
      </c>
      <c r="BT193" s="129">
        <v>-419426</v>
      </c>
      <c r="BU193" s="129">
        <v>0</v>
      </c>
      <c r="BV193" s="129">
        <v>0</v>
      </c>
      <c r="BW193" s="129">
        <v>-7217576</v>
      </c>
      <c r="BX193" s="129">
        <v>-419426</v>
      </c>
      <c r="BY193" s="129">
        <v>-7637002</v>
      </c>
      <c r="BZ193" s="129">
        <v>-173459</v>
      </c>
      <c r="CA193" s="129">
        <v>-1101</v>
      </c>
      <c r="CB193" s="129">
        <v>-174560</v>
      </c>
      <c r="CC193" s="129">
        <v>-286595</v>
      </c>
      <c r="CD193" s="129">
        <v>-5801</v>
      </c>
      <c r="CE193" s="129">
        <v>-292396</v>
      </c>
      <c r="CF193" s="129">
        <v>-870</v>
      </c>
      <c r="CG193" s="129">
        <v>0</v>
      </c>
      <c r="CH193" s="129">
        <v>-870</v>
      </c>
      <c r="CI193" s="129">
        <v>0</v>
      </c>
      <c r="CJ193" s="129">
        <v>0</v>
      </c>
      <c r="CK193" s="129">
        <v>0</v>
      </c>
      <c r="CL193" s="129">
        <v>0</v>
      </c>
      <c r="CM193" s="129">
        <v>0</v>
      </c>
      <c r="CN193" s="129">
        <v>0</v>
      </c>
      <c r="CO193" s="129">
        <v>0</v>
      </c>
      <c r="CP193" s="129">
        <v>0</v>
      </c>
      <c r="CQ193" s="129">
        <v>0</v>
      </c>
      <c r="CR193" s="129">
        <v>0</v>
      </c>
      <c r="CS193" s="129">
        <v>0</v>
      </c>
      <c r="CT193" s="129">
        <v>-460924</v>
      </c>
      <c r="CU193" s="129">
        <v>-6902</v>
      </c>
      <c r="CV193" s="129">
        <v>0</v>
      </c>
      <c r="CW193" s="129">
        <v>0</v>
      </c>
      <c r="CX193" s="129">
        <v>-460924</v>
      </c>
      <c r="CY193" s="129">
        <v>-6902</v>
      </c>
      <c r="CZ193" s="129">
        <v>-467826</v>
      </c>
      <c r="DA193" s="129">
        <v>0</v>
      </c>
      <c r="DB193" s="129">
        <v>0</v>
      </c>
      <c r="DC193" s="129">
        <v>0</v>
      </c>
      <c r="DD193" s="129">
        <v>-57801</v>
      </c>
      <c r="DE193" s="129">
        <v>-1254</v>
      </c>
      <c r="DF193" s="129">
        <v>-59055</v>
      </c>
      <c r="DG193" s="129">
        <v>-1500</v>
      </c>
      <c r="DH193" s="129">
        <v>0</v>
      </c>
      <c r="DI193" s="129">
        <v>-1500</v>
      </c>
      <c r="DJ193" s="129">
        <v>-59301</v>
      </c>
      <c r="DK193" s="129">
        <v>-1254</v>
      </c>
      <c r="DL193" s="129">
        <v>0</v>
      </c>
      <c r="DM193" s="129">
        <v>0</v>
      </c>
      <c r="DN193" s="129">
        <v>-59301</v>
      </c>
      <c r="DO193" s="129">
        <v>-1254</v>
      </c>
      <c r="DP193" s="129">
        <v>-60555</v>
      </c>
      <c r="DQ193" s="129">
        <v>130202127</v>
      </c>
      <c r="DR193" s="129">
        <v>10969322</v>
      </c>
      <c r="DS193" s="129">
        <v>141171449</v>
      </c>
      <c r="DT193" s="662" t="s">
        <v>557</v>
      </c>
      <c r="DU193" s="324" t="s">
        <v>486</v>
      </c>
      <c r="DV193" s="663" t="s">
        <v>558</v>
      </c>
      <c r="DW193" s="529" t="s">
        <v>1399</v>
      </c>
    </row>
    <row r="194" spans="1:127" ht="12.75" x14ac:dyDescent="0.2">
      <c r="A194" s="664">
        <v>187</v>
      </c>
      <c r="B194" s="665" t="s">
        <v>255</v>
      </c>
      <c r="C194" s="666" t="s">
        <v>1201</v>
      </c>
      <c r="D194" s="667" t="s">
        <v>1228</v>
      </c>
      <c r="E194" s="668" t="s">
        <v>254</v>
      </c>
      <c r="F194" s="753" t="s">
        <v>1881</v>
      </c>
      <c r="G194" s="129">
        <v>87584591</v>
      </c>
      <c r="H194" s="129">
        <v>0</v>
      </c>
      <c r="I194" s="129">
        <v>87584591</v>
      </c>
      <c r="J194" s="793">
        <v>49.9</v>
      </c>
      <c r="K194" s="129">
        <v>43704711</v>
      </c>
      <c r="L194" s="129">
        <v>0</v>
      </c>
      <c r="M194" s="129">
        <v>0</v>
      </c>
      <c r="N194" s="129">
        <v>0</v>
      </c>
      <c r="O194" s="129">
        <v>43704711</v>
      </c>
      <c r="P194" s="129">
        <v>0</v>
      </c>
      <c r="Q194" s="129">
        <v>43704711</v>
      </c>
      <c r="R194" s="129">
        <v>-56589</v>
      </c>
      <c r="S194" s="129">
        <v>0</v>
      </c>
      <c r="T194" s="129">
        <v>-56589</v>
      </c>
      <c r="U194" s="129">
        <v>101646</v>
      </c>
      <c r="V194" s="129">
        <v>0</v>
      </c>
      <c r="W194" s="129">
        <v>101646</v>
      </c>
      <c r="X194" s="129">
        <v>45057</v>
      </c>
      <c r="Y194" s="129">
        <v>0</v>
      </c>
      <c r="Z194" s="129">
        <v>0</v>
      </c>
      <c r="AA194" s="129">
        <v>0</v>
      </c>
      <c r="AB194" s="129">
        <v>45057</v>
      </c>
      <c r="AC194" s="129">
        <v>0</v>
      </c>
      <c r="AD194" s="129">
        <v>45057</v>
      </c>
      <c r="AE194" s="129">
        <v>-45057</v>
      </c>
      <c r="AF194" s="129">
        <v>0</v>
      </c>
      <c r="AG194" s="129">
        <v>-45057</v>
      </c>
      <c r="AH194" s="129">
        <v>-3773597</v>
      </c>
      <c r="AI194" s="129">
        <v>0</v>
      </c>
      <c r="AJ194" s="129">
        <v>-3773597</v>
      </c>
      <c r="AK194" s="129">
        <v>0</v>
      </c>
      <c r="AL194" s="129">
        <v>0</v>
      </c>
      <c r="AM194" s="129">
        <v>0</v>
      </c>
      <c r="AN194" s="129">
        <v>766221</v>
      </c>
      <c r="AO194" s="129">
        <v>0</v>
      </c>
      <c r="AP194" s="129">
        <v>766221</v>
      </c>
      <c r="AQ194" s="129">
        <v>-3007376</v>
      </c>
      <c r="AR194" s="129">
        <v>0</v>
      </c>
      <c r="AS194" s="129">
        <v>-3007376</v>
      </c>
      <c r="AT194" s="129">
        <v>-2367964</v>
      </c>
      <c r="AU194" s="129">
        <v>0</v>
      </c>
      <c r="AV194" s="129">
        <v>-2367964</v>
      </c>
      <c r="AW194" s="129">
        <v>-17039</v>
      </c>
      <c r="AX194" s="129">
        <v>0</v>
      </c>
      <c r="AY194" s="129">
        <v>-17039</v>
      </c>
      <c r="AZ194" s="129">
        <v>0</v>
      </c>
      <c r="BA194" s="129">
        <v>0</v>
      </c>
      <c r="BB194" s="129">
        <v>0</v>
      </c>
      <c r="BC194" s="129">
        <v>0</v>
      </c>
      <c r="BD194" s="129">
        <v>0</v>
      </c>
      <c r="BE194" s="129">
        <v>0</v>
      </c>
      <c r="BF194" s="129">
        <v>-5392379</v>
      </c>
      <c r="BG194" s="129">
        <v>0</v>
      </c>
      <c r="BH194" s="129">
        <v>0</v>
      </c>
      <c r="BI194" s="129">
        <v>0</v>
      </c>
      <c r="BJ194" s="129">
        <v>-5392379</v>
      </c>
      <c r="BK194" s="129">
        <v>0</v>
      </c>
      <c r="BL194" s="129">
        <v>-5392379</v>
      </c>
      <c r="BM194" s="129">
        <v>0</v>
      </c>
      <c r="BN194" s="129">
        <v>0</v>
      </c>
      <c r="BO194" s="129">
        <v>0</v>
      </c>
      <c r="BP194" s="129">
        <v>-1100000</v>
      </c>
      <c r="BQ194" s="129">
        <v>0</v>
      </c>
      <c r="BR194" s="129">
        <v>-1100000</v>
      </c>
      <c r="BS194" s="129">
        <v>-1100000</v>
      </c>
      <c r="BT194" s="129">
        <v>0</v>
      </c>
      <c r="BU194" s="129">
        <v>0</v>
      </c>
      <c r="BV194" s="129">
        <v>0</v>
      </c>
      <c r="BW194" s="129">
        <v>-1100000</v>
      </c>
      <c r="BX194" s="129">
        <v>0</v>
      </c>
      <c r="BY194" s="129">
        <v>-1100000</v>
      </c>
      <c r="BZ194" s="129">
        <v>-13302</v>
      </c>
      <c r="CA194" s="129">
        <v>0</v>
      </c>
      <c r="CB194" s="129">
        <v>-13302</v>
      </c>
      <c r="CC194" s="129">
        <v>-17216</v>
      </c>
      <c r="CD194" s="129">
        <v>0</v>
      </c>
      <c r="CE194" s="129">
        <v>-17216</v>
      </c>
      <c r="CF194" s="129">
        <v>0</v>
      </c>
      <c r="CG194" s="129">
        <v>0</v>
      </c>
      <c r="CH194" s="129">
        <v>0</v>
      </c>
      <c r="CI194" s="129">
        <v>0</v>
      </c>
      <c r="CJ194" s="129">
        <v>0</v>
      </c>
      <c r="CK194" s="129">
        <v>0</v>
      </c>
      <c r="CL194" s="129">
        <v>0</v>
      </c>
      <c r="CM194" s="129">
        <v>0</v>
      </c>
      <c r="CN194" s="129">
        <v>0</v>
      </c>
      <c r="CO194" s="129">
        <v>0</v>
      </c>
      <c r="CP194" s="129">
        <v>0</v>
      </c>
      <c r="CQ194" s="129">
        <v>0</v>
      </c>
      <c r="CR194" s="129">
        <v>0</v>
      </c>
      <c r="CS194" s="129">
        <v>0</v>
      </c>
      <c r="CT194" s="129">
        <v>-30518</v>
      </c>
      <c r="CU194" s="129">
        <v>0</v>
      </c>
      <c r="CV194" s="129">
        <v>0</v>
      </c>
      <c r="CW194" s="129">
        <v>0</v>
      </c>
      <c r="CX194" s="129">
        <v>-30518</v>
      </c>
      <c r="CY194" s="129">
        <v>0</v>
      </c>
      <c r="CZ194" s="129">
        <v>-30518</v>
      </c>
      <c r="DA194" s="129">
        <v>0</v>
      </c>
      <c r="DB194" s="129">
        <v>0</v>
      </c>
      <c r="DC194" s="129">
        <v>0</v>
      </c>
      <c r="DD194" s="129">
        <v>-7587</v>
      </c>
      <c r="DE194" s="129">
        <v>0</v>
      </c>
      <c r="DF194" s="129">
        <v>-7587</v>
      </c>
      <c r="DG194" s="129">
        <v>0</v>
      </c>
      <c r="DH194" s="129">
        <v>0</v>
      </c>
      <c r="DI194" s="129">
        <v>0</v>
      </c>
      <c r="DJ194" s="129">
        <v>-7587</v>
      </c>
      <c r="DK194" s="129">
        <v>0</v>
      </c>
      <c r="DL194" s="129">
        <v>0</v>
      </c>
      <c r="DM194" s="129">
        <v>0</v>
      </c>
      <c r="DN194" s="129">
        <v>-7587</v>
      </c>
      <c r="DO194" s="129">
        <v>0</v>
      </c>
      <c r="DP194" s="129">
        <v>-7587</v>
      </c>
      <c r="DQ194" s="129">
        <v>37219284</v>
      </c>
      <c r="DR194" s="129">
        <v>0</v>
      </c>
      <c r="DS194" s="129">
        <v>37219284</v>
      </c>
      <c r="DT194" s="662" t="s">
        <v>254</v>
      </c>
      <c r="DU194" s="324" t="s">
        <v>567</v>
      </c>
      <c r="DV194" s="663" t="s">
        <v>512</v>
      </c>
      <c r="DW194" s="529" t="s">
        <v>1400</v>
      </c>
    </row>
    <row r="195" spans="1:127" ht="12.75" x14ac:dyDescent="0.2">
      <c r="A195" s="664">
        <v>188</v>
      </c>
      <c r="B195" s="665" t="s">
        <v>257</v>
      </c>
      <c r="C195" s="666" t="s">
        <v>1201</v>
      </c>
      <c r="D195" s="667" t="s">
        <v>1206</v>
      </c>
      <c r="E195" s="668" t="s">
        <v>256</v>
      </c>
      <c r="F195" s="753" t="s">
        <v>1908</v>
      </c>
      <c r="G195" s="129">
        <v>34718022</v>
      </c>
      <c r="H195" s="129">
        <v>0</v>
      </c>
      <c r="I195" s="129">
        <v>34718022</v>
      </c>
      <c r="J195" s="793">
        <v>49.9</v>
      </c>
      <c r="K195" s="129">
        <v>17324293</v>
      </c>
      <c r="L195" s="129">
        <v>0</v>
      </c>
      <c r="M195" s="129">
        <v>0</v>
      </c>
      <c r="N195" s="129">
        <v>0</v>
      </c>
      <c r="O195" s="129">
        <v>17324293</v>
      </c>
      <c r="P195" s="129">
        <v>0</v>
      </c>
      <c r="Q195" s="129">
        <v>17324293</v>
      </c>
      <c r="R195" s="129">
        <v>-27895</v>
      </c>
      <c r="S195" s="129">
        <v>0</v>
      </c>
      <c r="T195" s="129">
        <v>-27895</v>
      </c>
      <c r="U195" s="129">
        <v>0</v>
      </c>
      <c r="V195" s="129">
        <v>0</v>
      </c>
      <c r="W195" s="129">
        <v>0</v>
      </c>
      <c r="X195" s="129">
        <v>-27895</v>
      </c>
      <c r="Y195" s="129">
        <v>0</v>
      </c>
      <c r="Z195" s="129">
        <v>0</v>
      </c>
      <c r="AA195" s="129">
        <v>0</v>
      </c>
      <c r="AB195" s="129">
        <v>-27895</v>
      </c>
      <c r="AC195" s="129">
        <v>0</v>
      </c>
      <c r="AD195" s="129">
        <v>-27895</v>
      </c>
      <c r="AE195" s="129">
        <v>27895</v>
      </c>
      <c r="AF195" s="129">
        <v>0</v>
      </c>
      <c r="AG195" s="129">
        <v>27895</v>
      </c>
      <c r="AH195" s="129">
        <v>-2012397</v>
      </c>
      <c r="AI195" s="129">
        <v>0</v>
      </c>
      <c r="AJ195" s="129">
        <v>-2012397</v>
      </c>
      <c r="AK195" s="129">
        <v>-8633</v>
      </c>
      <c r="AL195" s="129">
        <v>0</v>
      </c>
      <c r="AM195" s="129">
        <v>-8633</v>
      </c>
      <c r="AN195" s="129">
        <v>287069</v>
      </c>
      <c r="AO195" s="129">
        <v>0</v>
      </c>
      <c r="AP195" s="129">
        <v>287069</v>
      </c>
      <c r="AQ195" s="129">
        <v>-1725328</v>
      </c>
      <c r="AR195" s="129">
        <v>0</v>
      </c>
      <c r="AS195" s="129">
        <v>-1725328</v>
      </c>
      <c r="AT195" s="129">
        <v>-1971043</v>
      </c>
      <c r="AU195" s="129">
        <v>0</v>
      </c>
      <c r="AV195" s="129">
        <v>-1971043</v>
      </c>
      <c r="AW195" s="129">
        <v>0</v>
      </c>
      <c r="AX195" s="129">
        <v>0</v>
      </c>
      <c r="AY195" s="129">
        <v>0</v>
      </c>
      <c r="AZ195" s="129">
        <v>0</v>
      </c>
      <c r="BA195" s="129">
        <v>0</v>
      </c>
      <c r="BB195" s="129">
        <v>0</v>
      </c>
      <c r="BC195" s="129">
        <v>0</v>
      </c>
      <c r="BD195" s="129">
        <v>0</v>
      </c>
      <c r="BE195" s="129">
        <v>0</v>
      </c>
      <c r="BF195" s="129">
        <v>-3696371</v>
      </c>
      <c r="BG195" s="129">
        <v>0</v>
      </c>
      <c r="BH195" s="129">
        <v>0</v>
      </c>
      <c r="BI195" s="129">
        <v>0</v>
      </c>
      <c r="BJ195" s="129">
        <v>-3696371</v>
      </c>
      <c r="BK195" s="129">
        <v>0</v>
      </c>
      <c r="BL195" s="129">
        <v>-3696371</v>
      </c>
      <c r="BM195" s="129">
        <v>0</v>
      </c>
      <c r="BN195" s="129">
        <v>0</v>
      </c>
      <c r="BO195" s="129">
        <v>0</v>
      </c>
      <c r="BP195" s="129">
        <v>-46080</v>
      </c>
      <c r="BQ195" s="129">
        <v>0</v>
      </c>
      <c r="BR195" s="129">
        <v>-46080</v>
      </c>
      <c r="BS195" s="129">
        <v>-46080</v>
      </c>
      <c r="BT195" s="129">
        <v>0</v>
      </c>
      <c r="BU195" s="129">
        <v>-45000</v>
      </c>
      <c r="BV195" s="129">
        <v>0</v>
      </c>
      <c r="BW195" s="129">
        <v>-91080</v>
      </c>
      <c r="BX195" s="129">
        <v>0</v>
      </c>
      <c r="BY195" s="129">
        <v>-91080</v>
      </c>
      <c r="BZ195" s="129">
        <v>-104013</v>
      </c>
      <c r="CA195" s="129">
        <v>0</v>
      </c>
      <c r="CB195" s="129">
        <v>-104013</v>
      </c>
      <c r="CC195" s="129">
        <v>-14052</v>
      </c>
      <c r="CD195" s="129">
        <v>0</v>
      </c>
      <c r="CE195" s="129">
        <v>-14052</v>
      </c>
      <c r="CF195" s="129">
        <v>0</v>
      </c>
      <c r="CG195" s="129">
        <v>0</v>
      </c>
      <c r="CH195" s="129">
        <v>0</v>
      </c>
      <c r="CI195" s="129">
        <v>0</v>
      </c>
      <c r="CJ195" s="129">
        <v>0</v>
      </c>
      <c r="CK195" s="129">
        <v>0</v>
      </c>
      <c r="CL195" s="129">
        <v>0</v>
      </c>
      <c r="CM195" s="129">
        <v>0</v>
      </c>
      <c r="CN195" s="129">
        <v>0</v>
      </c>
      <c r="CO195" s="129">
        <v>0</v>
      </c>
      <c r="CP195" s="129">
        <v>0</v>
      </c>
      <c r="CQ195" s="129">
        <v>0</v>
      </c>
      <c r="CR195" s="129">
        <v>0</v>
      </c>
      <c r="CS195" s="129">
        <v>0</v>
      </c>
      <c r="CT195" s="129">
        <v>-118065</v>
      </c>
      <c r="CU195" s="129">
        <v>0</v>
      </c>
      <c r="CV195" s="129">
        <v>0</v>
      </c>
      <c r="CW195" s="129">
        <v>0</v>
      </c>
      <c r="CX195" s="129">
        <v>-118065</v>
      </c>
      <c r="CY195" s="129">
        <v>0</v>
      </c>
      <c r="CZ195" s="129">
        <v>-118065</v>
      </c>
      <c r="DA195" s="129">
        <v>0</v>
      </c>
      <c r="DB195" s="129">
        <v>0</v>
      </c>
      <c r="DC195" s="129">
        <v>0</v>
      </c>
      <c r="DD195" s="129">
        <v>-2819</v>
      </c>
      <c r="DE195" s="129">
        <v>0</v>
      </c>
      <c r="DF195" s="129">
        <v>-2819</v>
      </c>
      <c r="DG195" s="129">
        <v>0</v>
      </c>
      <c r="DH195" s="129">
        <v>0</v>
      </c>
      <c r="DI195" s="129">
        <v>0</v>
      </c>
      <c r="DJ195" s="129">
        <v>-2819</v>
      </c>
      <c r="DK195" s="129">
        <v>0</v>
      </c>
      <c r="DL195" s="129">
        <v>0</v>
      </c>
      <c r="DM195" s="129">
        <v>0</v>
      </c>
      <c r="DN195" s="129">
        <v>-2819</v>
      </c>
      <c r="DO195" s="129">
        <v>0</v>
      </c>
      <c r="DP195" s="129">
        <v>-2819</v>
      </c>
      <c r="DQ195" s="129">
        <v>13388063</v>
      </c>
      <c r="DR195" s="129">
        <v>0</v>
      </c>
      <c r="DS195" s="129">
        <v>13388063</v>
      </c>
      <c r="DT195" s="662" t="s">
        <v>256</v>
      </c>
      <c r="DU195" s="324" t="s">
        <v>551</v>
      </c>
      <c r="DV195" s="663" t="s">
        <v>549</v>
      </c>
      <c r="DW195" s="529" t="s">
        <v>1401</v>
      </c>
    </row>
    <row r="196" spans="1:127" ht="12.75" x14ac:dyDescent="0.2">
      <c r="A196" s="664">
        <v>189</v>
      </c>
      <c r="B196" s="665" t="s">
        <v>259</v>
      </c>
      <c r="C196" s="666" t="s">
        <v>1217</v>
      </c>
      <c r="D196" s="667" t="s">
        <v>1204</v>
      </c>
      <c r="E196" s="668" t="s">
        <v>258</v>
      </c>
      <c r="F196" s="753" t="s">
        <v>1875</v>
      </c>
      <c r="G196" s="129">
        <v>155491754</v>
      </c>
      <c r="H196" s="129">
        <v>0</v>
      </c>
      <c r="I196" s="129">
        <v>155491754</v>
      </c>
      <c r="J196" s="793">
        <v>49.9</v>
      </c>
      <c r="K196" s="129">
        <v>77590385</v>
      </c>
      <c r="L196" s="129">
        <v>0</v>
      </c>
      <c r="M196" s="129">
        <v>-1101811</v>
      </c>
      <c r="N196" s="129">
        <v>0</v>
      </c>
      <c r="O196" s="129">
        <v>76488574</v>
      </c>
      <c r="P196" s="129">
        <v>0</v>
      </c>
      <c r="Q196" s="129">
        <v>76488574</v>
      </c>
      <c r="R196" s="129">
        <v>-76793</v>
      </c>
      <c r="S196" s="129">
        <v>0</v>
      </c>
      <c r="T196" s="129">
        <v>-76793</v>
      </c>
      <c r="U196" s="129">
        <v>354780</v>
      </c>
      <c r="V196" s="129">
        <v>0</v>
      </c>
      <c r="W196" s="129">
        <v>354780</v>
      </c>
      <c r="X196" s="129">
        <v>277987</v>
      </c>
      <c r="Y196" s="129">
        <v>0</v>
      </c>
      <c r="Z196" s="129">
        <v>0</v>
      </c>
      <c r="AA196" s="129">
        <v>0</v>
      </c>
      <c r="AB196" s="129">
        <v>277987</v>
      </c>
      <c r="AC196" s="129">
        <v>0</v>
      </c>
      <c r="AD196" s="129">
        <v>277987</v>
      </c>
      <c r="AE196" s="129">
        <v>-277987</v>
      </c>
      <c r="AF196" s="129">
        <v>0</v>
      </c>
      <c r="AG196" s="129">
        <v>-277987</v>
      </c>
      <c r="AH196" s="129">
        <v>-10885589</v>
      </c>
      <c r="AI196" s="129">
        <v>0</v>
      </c>
      <c r="AJ196" s="129">
        <v>-10885589</v>
      </c>
      <c r="AK196" s="129">
        <v>0</v>
      </c>
      <c r="AL196" s="129">
        <v>0</v>
      </c>
      <c r="AM196" s="129">
        <v>0</v>
      </c>
      <c r="AN196" s="129">
        <v>1302820</v>
      </c>
      <c r="AO196" s="129">
        <v>0</v>
      </c>
      <c r="AP196" s="129">
        <v>1302820</v>
      </c>
      <c r="AQ196" s="129">
        <v>-9582769</v>
      </c>
      <c r="AR196" s="129">
        <v>0</v>
      </c>
      <c r="AS196" s="129">
        <v>-9582769</v>
      </c>
      <c r="AT196" s="129">
        <v>-6486237</v>
      </c>
      <c r="AU196" s="129">
        <v>0</v>
      </c>
      <c r="AV196" s="129">
        <v>-6486237</v>
      </c>
      <c r="AW196" s="129">
        <v>-93276</v>
      </c>
      <c r="AX196" s="129">
        <v>0</v>
      </c>
      <c r="AY196" s="129">
        <v>-93276</v>
      </c>
      <c r="AZ196" s="129">
        <v>-2560</v>
      </c>
      <c r="BA196" s="129">
        <v>0</v>
      </c>
      <c r="BB196" s="129">
        <v>-2560</v>
      </c>
      <c r="BC196" s="129">
        <v>0</v>
      </c>
      <c r="BD196" s="129">
        <v>0</v>
      </c>
      <c r="BE196" s="129">
        <v>0</v>
      </c>
      <c r="BF196" s="129">
        <v>-16164842</v>
      </c>
      <c r="BG196" s="129">
        <v>0</v>
      </c>
      <c r="BH196" s="129">
        <v>0</v>
      </c>
      <c r="BI196" s="129">
        <v>0</v>
      </c>
      <c r="BJ196" s="129">
        <v>-16164842</v>
      </c>
      <c r="BK196" s="129">
        <v>0</v>
      </c>
      <c r="BL196" s="129">
        <v>-16164842</v>
      </c>
      <c r="BM196" s="129">
        <v>0</v>
      </c>
      <c r="BN196" s="129">
        <v>0</v>
      </c>
      <c r="BO196" s="129">
        <v>0</v>
      </c>
      <c r="BP196" s="129">
        <v>-1469447</v>
      </c>
      <c r="BQ196" s="129">
        <v>0</v>
      </c>
      <c r="BR196" s="129">
        <v>-1469447</v>
      </c>
      <c r="BS196" s="129">
        <v>-1469447</v>
      </c>
      <c r="BT196" s="129">
        <v>0</v>
      </c>
      <c r="BU196" s="129">
        <v>0</v>
      </c>
      <c r="BV196" s="129">
        <v>0</v>
      </c>
      <c r="BW196" s="129">
        <v>-1469447</v>
      </c>
      <c r="BX196" s="129">
        <v>0</v>
      </c>
      <c r="BY196" s="129">
        <v>-1469447</v>
      </c>
      <c r="BZ196" s="129">
        <v>-211703</v>
      </c>
      <c r="CA196" s="129">
        <v>0</v>
      </c>
      <c r="CB196" s="129">
        <v>-211703</v>
      </c>
      <c r="CC196" s="129">
        <v>-25894</v>
      </c>
      <c r="CD196" s="129">
        <v>0</v>
      </c>
      <c r="CE196" s="129">
        <v>-25894</v>
      </c>
      <c r="CF196" s="129">
        <v>-1257</v>
      </c>
      <c r="CG196" s="129">
        <v>0</v>
      </c>
      <c r="CH196" s="129">
        <v>-1257</v>
      </c>
      <c r="CI196" s="129">
        <v>-922</v>
      </c>
      <c r="CJ196" s="129">
        <v>0</v>
      </c>
      <c r="CK196" s="129">
        <v>-922</v>
      </c>
      <c r="CL196" s="129">
        <v>0</v>
      </c>
      <c r="CM196" s="129">
        <v>0</v>
      </c>
      <c r="CN196" s="129">
        <v>0</v>
      </c>
      <c r="CO196" s="129">
        <v>0</v>
      </c>
      <c r="CP196" s="129">
        <v>0</v>
      </c>
      <c r="CQ196" s="129">
        <v>0</v>
      </c>
      <c r="CR196" s="129">
        <v>0</v>
      </c>
      <c r="CS196" s="129">
        <v>0</v>
      </c>
      <c r="CT196" s="129">
        <v>-239776</v>
      </c>
      <c r="CU196" s="129">
        <v>0</v>
      </c>
      <c r="CV196" s="129">
        <v>0</v>
      </c>
      <c r="CW196" s="129">
        <v>0</v>
      </c>
      <c r="CX196" s="129">
        <v>-239776</v>
      </c>
      <c r="CY196" s="129">
        <v>0</v>
      </c>
      <c r="CZ196" s="129">
        <v>-239776</v>
      </c>
      <c r="DA196" s="129">
        <v>-15436</v>
      </c>
      <c r="DB196" s="129">
        <v>0</v>
      </c>
      <c r="DC196" s="129">
        <v>-15436</v>
      </c>
      <c r="DD196" s="129">
        <v>0</v>
      </c>
      <c r="DE196" s="129">
        <v>0</v>
      </c>
      <c r="DF196" s="129">
        <v>0</v>
      </c>
      <c r="DG196" s="129">
        <v>0</v>
      </c>
      <c r="DH196" s="129">
        <v>0</v>
      </c>
      <c r="DI196" s="129">
        <v>0</v>
      </c>
      <c r="DJ196" s="129">
        <v>-15436</v>
      </c>
      <c r="DK196" s="129">
        <v>0</v>
      </c>
      <c r="DL196" s="129">
        <v>0</v>
      </c>
      <c r="DM196" s="129">
        <v>0</v>
      </c>
      <c r="DN196" s="129">
        <v>-15436</v>
      </c>
      <c r="DO196" s="129">
        <v>0</v>
      </c>
      <c r="DP196" s="129">
        <v>-15436</v>
      </c>
      <c r="DQ196" s="129">
        <v>58877060</v>
      </c>
      <c r="DR196" s="129">
        <v>0</v>
      </c>
      <c r="DS196" s="129">
        <v>58877060</v>
      </c>
      <c r="DT196" s="662" t="s">
        <v>258</v>
      </c>
      <c r="DU196" s="324" t="s">
        <v>570</v>
      </c>
      <c r="DV196" s="663" t="s">
        <v>1915</v>
      </c>
      <c r="DW196" s="529" t="s">
        <v>1402</v>
      </c>
    </row>
    <row r="197" spans="1:127" ht="12.75" x14ac:dyDescent="0.2">
      <c r="A197" s="664">
        <v>190</v>
      </c>
      <c r="B197" s="665" t="s">
        <v>261</v>
      </c>
      <c r="C197" s="666" t="s">
        <v>1201</v>
      </c>
      <c r="D197" s="667" t="s">
        <v>1202</v>
      </c>
      <c r="E197" s="668" t="s">
        <v>260</v>
      </c>
      <c r="F197" s="753" t="s">
        <v>1873</v>
      </c>
      <c r="G197" s="129">
        <v>282653834</v>
      </c>
      <c r="H197" s="129">
        <v>0</v>
      </c>
      <c r="I197" s="129">
        <v>282653834</v>
      </c>
      <c r="J197" s="793">
        <v>49.9</v>
      </c>
      <c r="K197" s="129">
        <v>141044263</v>
      </c>
      <c r="L197" s="129">
        <v>0</v>
      </c>
      <c r="M197" s="129">
        <v>0</v>
      </c>
      <c r="N197" s="129">
        <v>0</v>
      </c>
      <c r="O197" s="129">
        <v>141044263</v>
      </c>
      <c r="P197" s="129">
        <v>0</v>
      </c>
      <c r="Q197" s="129">
        <v>141044263</v>
      </c>
      <c r="R197" s="129">
        <v>-125608</v>
      </c>
      <c r="S197" s="129">
        <v>0</v>
      </c>
      <c r="T197" s="129">
        <v>-125608</v>
      </c>
      <c r="U197" s="129">
        <v>159124</v>
      </c>
      <c r="V197" s="129">
        <v>0</v>
      </c>
      <c r="W197" s="129">
        <v>159124</v>
      </c>
      <c r="X197" s="129">
        <v>33516</v>
      </c>
      <c r="Y197" s="129">
        <v>0</v>
      </c>
      <c r="Z197" s="129">
        <v>0</v>
      </c>
      <c r="AA197" s="129">
        <v>0</v>
      </c>
      <c r="AB197" s="129">
        <v>33516</v>
      </c>
      <c r="AC197" s="129">
        <v>0</v>
      </c>
      <c r="AD197" s="129">
        <v>33516</v>
      </c>
      <c r="AE197" s="129">
        <v>-33516</v>
      </c>
      <c r="AF197" s="129">
        <v>0</v>
      </c>
      <c r="AG197" s="129">
        <v>-33516</v>
      </c>
      <c r="AH197" s="129">
        <v>-2633977</v>
      </c>
      <c r="AI197" s="129">
        <v>0</v>
      </c>
      <c r="AJ197" s="129">
        <v>-2633977</v>
      </c>
      <c r="AK197" s="129">
        <v>-5240</v>
      </c>
      <c r="AL197" s="129">
        <v>0</v>
      </c>
      <c r="AM197" s="129">
        <v>-5240</v>
      </c>
      <c r="AN197" s="129">
        <v>3132546</v>
      </c>
      <c r="AO197" s="129">
        <v>0</v>
      </c>
      <c r="AP197" s="129">
        <v>3132546</v>
      </c>
      <c r="AQ197" s="129">
        <v>498569</v>
      </c>
      <c r="AR197" s="129">
        <v>0</v>
      </c>
      <c r="AS197" s="129">
        <v>498569</v>
      </c>
      <c r="AT197" s="129">
        <v>-28917333</v>
      </c>
      <c r="AU197" s="129">
        <v>0</v>
      </c>
      <c r="AV197" s="129">
        <v>-28917333</v>
      </c>
      <c r="AW197" s="129">
        <v>-31867</v>
      </c>
      <c r="AX197" s="129">
        <v>0</v>
      </c>
      <c r="AY197" s="129">
        <v>-31867</v>
      </c>
      <c r="AZ197" s="129">
        <v>0</v>
      </c>
      <c r="BA197" s="129">
        <v>0</v>
      </c>
      <c r="BB197" s="129">
        <v>0</v>
      </c>
      <c r="BC197" s="129">
        <v>0</v>
      </c>
      <c r="BD197" s="129">
        <v>0</v>
      </c>
      <c r="BE197" s="129">
        <v>0</v>
      </c>
      <c r="BF197" s="129">
        <v>-28450631</v>
      </c>
      <c r="BG197" s="129">
        <v>0</v>
      </c>
      <c r="BH197" s="129">
        <v>0</v>
      </c>
      <c r="BI197" s="129">
        <v>0</v>
      </c>
      <c r="BJ197" s="129">
        <v>-28450631</v>
      </c>
      <c r="BK197" s="129">
        <v>0</v>
      </c>
      <c r="BL197" s="129">
        <v>-28450631</v>
      </c>
      <c r="BM197" s="129">
        <v>-100000</v>
      </c>
      <c r="BN197" s="129">
        <v>0</v>
      </c>
      <c r="BO197" s="129">
        <v>-100000</v>
      </c>
      <c r="BP197" s="129">
        <v>-2055725</v>
      </c>
      <c r="BQ197" s="129">
        <v>0</v>
      </c>
      <c r="BR197" s="129">
        <v>-2055725</v>
      </c>
      <c r="BS197" s="129">
        <v>-2155725</v>
      </c>
      <c r="BT197" s="129">
        <v>0</v>
      </c>
      <c r="BU197" s="129">
        <v>0</v>
      </c>
      <c r="BV197" s="129">
        <v>0</v>
      </c>
      <c r="BW197" s="129">
        <v>-2155725</v>
      </c>
      <c r="BX197" s="129">
        <v>0</v>
      </c>
      <c r="BY197" s="129">
        <v>-2155725</v>
      </c>
      <c r="BZ197" s="129">
        <v>0</v>
      </c>
      <c r="CA197" s="129">
        <v>0</v>
      </c>
      <c r="CB197" s="129">
        <v>0</v>
      </c>
      <c r="CC197" s="129">
        <v>-48344</v>
      </c>
      <c r="CD197" s="129">
        <v>0</v>
      </c>
      <c r="CE197" s="129">
        <v>-48344</v>
      </c>
      <c r="CF197" s="129">
        <v>0</v>
      </c>
      <c r="CG197" s="129">
        <v>0</v>
      </c>
      <c r="CH197" s="129">
        <v>0</v>
      </c>
      <c r="CI197" s="129">
        <v>0</v>
      </c>
      <c r="CJ197" s="129">
        <v>0</v>
      </c>
      <c r="CK197" s="129">
        <v>0</v>
      </c>
      <c r="CL197" s="129">
        <v>0</v>
      </c>
      <c r="CM197" s="129">
        <v>0</v>
      </c>
      <c r="CN197" s="129">
        <v>0</v>
      </c>
      <c r="CO197" s="129">
        <v>0</v>
      </c>
      <c r="CP197" s="129">
        <v>0</v>
      </c>
      <c r="CQ197" s="129">
        <v>0</v>
      </c>
      <c r="CR197" s="129">
        <v>0</v>
      </c>
      <c r="CS197" s="129">
        <v>0</v>
      </c>
      <c r="CT197" s="129">
        <v>-48344</v>
      </c>
      <c r="CU197" s="129">
        <v>0</v>
      </c>
      <c r="CV197" s="129">
        <v>0</v>
      </c>
      <c r="CW197" s="129">
        <v>0</v>
      </c>
      <c r="CX197" s="129">
        <v>-48344</v>
      </c>
      <c r="CY197" s="129">
        <v>0</v>
      </c>
      <c r="CZ197" s="129">
        <v>-48344</v>
      </c>
      <c r="DA197" s="129">
        <v>0</v>
      </c>
      <c r="DB197" s="129">
        <v>0</v>
      </c>
      <c r="DC197" s="129">
        <v>0</v>
      </c>
      <c r="DD197" s="129">
        <v>-1353</v>
      </c>
      <c r="DE197" s="129">
        <v>0</v>
      </c>
      <c r="DF197" s="129">
        <v>-1353</v>
      </c>
      <c r="DG197" s="129">
        <v>-1500</v>
      </c>
      <c r="DH197" s="129">
        <v>0</v>
      </c>
      <c r="DI197" s="129">
        <v>-1500</v>
      </c>
      <c r="DJ197" s="129">
        <v>-2853</v>
      </c>
      <c r="DK197" s="129">
        <v>0</v>
      </c>
      <c r="DL197" s="129">
        <v>0</v>
      </c>
      <c r="DM197" s="129">
        <v>0</v>
      </c>
      <c r="DN197" s="129">
        <v>-2853</v>
      </c>
      <c r="DO197" s="129">
        <v>0</v>
      </c>
      <c r="DP197" s="129">
        <v>-2853</v>
      </c>
      <c r="DQ197" s="129">
        <v>110420226</v>
      </c>
      <c r="DR197" s="129">
        <v>0</v>
      </c>
      <c r="DS197" s="129">
        <v>110420226</v>
      </c>
      <c r="DT197" s="662" t="s">
        <v>260</v>
      </c>
      <c r="DU197" s="324" t="s">
        <v>560</v>
      </c>
      <c r="DV197" s="663" t="s">
        <v>512</v>
      </c>
      <c r="DW197" s="529" t="s">
        <v>1403</v>
      </c>
    </row>
    <row r="198" spans="1:127" ht="12.75" x14ac:dyDescent="0.2">
      <c r="A198" s="664">
        <v>191</v>
      </c>
      <c r="B198" s="665" t="s">
        <v>263</v>
      </c>
      <c r="C198" s="666" t="s">
        <v>1201</v>
      </c>
      <c r="D198" s="667" t="s">
        <v>1204</v>
      </c>
      <c r="E198" s="668" t="s">
        <v>262</v>
      </c>
      <c r="F198" s="753" t="s">
        <v>1879</v>
      </c>
      <c r="G198" s="129">
        <v>52519253</v>
      </c>
      <c r="H198" s="129">
        <v>0</v>
      </c>
      <c r="I198" s="129">
        <v>52519253</v>
      </c>
      <c r="J198" s="793">
        <v>49.9</v>
      </c>
      <c r="K198" s="129">
        <v>26207107</v>
      </c>
      <c r="L198" s="129">
        <v>0</v>
      </c>
      <c r="M198" s="129">
        <v>-52414</v>
      </c>
      <c r="N198" s="129">
        <v>0</v>
      </c>
      <c r="O198" s="129">
        <v>26154693</v>
      </c>
      <c r="P198" s="129">
        <v>0</v>
      </c>
      <c r="Q198" s="129">
        <v>26154693</v>
      </c>
      <c r="R198" s="129">
        <v>-61411</v>
      </c>
      <c r="S198" s="129">
        <v>0</v>
      </c>
      <c r="T198" s="129">
        <v>-61411</v>
      </c>
      <c r="U198" s="129">
        <v>9513</v>
      </c>
      <c r="V198" s="129">
        <v>0</v>
      </c>
      <c r="W198" s="129">
        <v>9513</v>
      </c>
      <c r="X198" s="129">
        <v>-51898</v>
      </c>
      <c r="Y198" s="129">
        <v>0</v>
      </c>
      <c r="Z198" s="129">
        <v>0</v>
      </c>
      <c r="AA198" s="129">
        <v>0</v>
      </c>
      <c r="AB198" s="129">
        <v>-51898</v>
      </c>
      <c r="AC198" s="129">
        <v>0</v>
      </c>
      <c r="AD198" s="129">
        <v>-51898</v>
      </c>
      <c r="AE198" s="129">
        <v>51898</v>
      </c>
      <c r="AF198" s="129">
        <v>0</v>
      </c>
      <c r="AG198" s="129">
        <v>51898</v>
      </c>
      <c r="AH198" s="129">
        <v>-4162314</v>
      </c>
      <c r="AI198" s="129">
        <v>0</v>
      </c>
      <c r="AJ198" s="129">
        <v>-4162314</v>
      </c>
      <c r="AK198" s="129">
        <v>0</v>
      </c>
      <c r="AL198" s="129">
        <v>0</v>
      </c>
      <c r="AM198" s="129">
        <v>0</v>
      </c>
      <c r="AN198" s="129">
        <v>477650</v>
      </c>
      <c r="AO198" s="129">
        <v>0</v>
      </c>
      <c r="AP198" s="129">
        <v>477650</v>
      </c>
      <c r="AQ198" s="129">
        <v>-3684664</v>
      </c>
      <c r="AR198" s="129">
        <v>0</v>
      </c>
      <c r="AS198" s="129">
        <v>-3684664</v>
      </c>
      <c r="AT198" s="129">
        <v>-1532424</v>
      </c>
      <c r="AU198" s="129">
        <v>0</v>
      </c>
      <c r="AV198" s="129">
        <v>-1532424</v>
      </c>
      <c r="AW198" s="129">
        <v>-799</v>
      </c>
      <c r="AX198" s="129">
        <v>0</v>
      </c>
      <c r="AY198" s="129">
        <v>-799</v>
      </c>
      <c r="AZ198" s="129">
        <v>0</v>
      </c>
      <c r="BA198" s="129">
        <v>0</v>
      </c>
      <c r="BB198" s="129">
        <v>0</v>
      </c>
      <c r="BC198" s="129">
        <v>0</v>
      </c>
      <c r="BD198" s="129">
        <v>0</v>
      </c>
      <c r="BE198" s="129">
        <v>0</v>
      </c>
      <c r="BF198" s="129">
        <v>-5217887</v>
      </c>
      <c r="BG198" s="129">
        <v>0</v>
      </c>
      <c r="BH198" s="129">
        <v>-156537</v>
      </c>
      <c r="BI198" s="129">
        <v>0</v>
      </c>
      <c r="BJ198" s="129">
        <v>-5374424</v>
      </c>
      <c r="BK198" s="129">
        <v>0</v>
      </c>
      <c r="BL198" s="129">
        <v>-5374424</v>
      </c>
      <c r="BM198" s="129">
        <v>0</v>
      </c>
      <c r="BN198" s="129">
        <v>0</v>
      </c>
      <c r="BO198" s="129">
        <v>0</v>
      </c>
      <c r="BP198" s="129">
        <v>-829411</v>
      </c>
      <c r="BQ198" s="129">
        <v>0</v>
      </c>
      <c r="BR198" s="129">
        <v>-829411</v>
      </c>
      <c r="BS198" s="129">
        <v>-829411</v>
      </c>
      <c r="BT198" s="129">
        <v>0</v>
      </c>
      <c r="BU198" s="129">
        <v>-82941</v>
      </c>
      <c r="BV198" s="129">
        <v>0</v>
      </c>
      <c r="BW198" s="129">
        <v>-912352</v>
      </c>
      <c r="BX198" s="129">
        <v>0</v>
      </c>
      <c r="BY198" s="129">
        <v>-912352</v>
      </c>
      <c r="BZ198" s="129">
        <v>-146370</v>
      </c>
      <c r="CA198" s="129">
        <v>0</v>
      </c>
      <c r="CB198" s="129">
        <v>-146370</v>
      </c>
      <c r="CC198" s="129">
        <v>-82565</v>
      </c>
      <c r="CD198" s="129">
        <v>0</v>
      </c>
      <c r="CE198" s="129">
        <v>-82565</v>
      </c>
      <c r="CF198" s="129">
        <v>0</v>
      </c>
      <c r="CG198" s="129">
        <v>0</v>
      </c>
      <c r="CH198" s="129">
        <v>0</v>
      </c>
      <c r="CI198" s="129">
        <v>0</v>
      </c>
      <c r="CJ198" s="129">
        <v>0</v>
      </c>
      <c r="CK198" s="129">
        <v>0</v>
      </c>
      <c r="CL198" s="129">
        <v>0</v>
      </c>
      <c r="CM198" s="129">
        <v>0</v>
      </c>
      <c r="CN198" s="129">
        <v>0</v>
      </c>
      <c r="CO198" s="129">
        <v>0</v>
      </c>
      <c r="CP198" s="129">
        <v>0</v>
      </c>
      <c r="CQ198" s="129">
        <v>0</v>
      </c>
      <c r="CR198" s="129">
        <v>0</v>
      </c>
      <c r="CS198" s="129">
        <v>0</v>
      </c>
      <c r="CT198" s="129">
        <v>-228935</v>
      </c>
      <c r="CU198" s="129">
        <v>0</v>
      </c>
      <c r="CV198" s="129">
        <v>-60000</v>
      </c>
      <c r="CW198" s="129">
        <v>0</v>
      </c>
      <c r="CX198" s="129">
        <v>-288935</v>
      </c>
      <c r="CY198" s="129">
        <v>0</v>
      </c>
      <c r="CZ198" s="129">
        <v>-288935</v>
      </c>
      <c r="DA198" s="129">
        <v>0</v>
      </c>
      <c r="DB198" s="129">
        <v>0</v>
      </c>
      <c r="DC198" s="129">
        <v>0</v>
      </c>
      <c r="DD198" s="129">
        <v>0</v>
      </c>
      <c r="DE198" s="129">
        <v>0</v>
      </c>
      <c r="DF198" s="129">
        <v>0</v>
      </c>
      <c r="DG198" s="129">
        <v>0</v>
      </c>
      <c r="DH198" s="129">
        <v>0</v>
      </c>
      <c r="DI198" s="129">
        <v>0</v>
      </c>
      <c r="DJ198" s="129">
        <v>0</v>
      </c>
      <c r="DK198" s="129">
        <v>0</v>
      </c>
      <c r="DL198" s="129">
        <v>0</v>
      </c>
      <c r="DM198" s="129">
        <v>0</v>
      </c>
      <c r="DN198" s="129">
        <v>0</v>
      </c>
      <c r="DO198" s="129">
        <v>0</v>
      </c>
      <c r="DP198" s="129">
        <v>0</v>
      </c>
      <c r="DQ198" s="129">
        <v>19527084</v>
      </c>
      <c r="DR198" s="129">
        <v>0</v>
      </c>
      <c r="DS198" s="129">
        <v>19527084</v>
      </c>
      <c r="DT198" s="662" t="s">
        <v>262</v>
      </c>
      <c r="DU198" s="324" t="s">
        <v>547</v>
      </c>
      <c r="DV198" s="663" t="s">
        <v>545</v>
      </c>
      <c r="DW198" s="529" t="s">
        <v>1404</v>
      </c>
    </row>
    <row r="199" spans="1:127" ht="12.75" x14ac:dyDescent="0.2">
      <c r="A199" s="664">
        <v>192</v>
      </c>
      <c r="B199" s="665" t="s">
        <v>264</v>
      </c>
      <c r="C199" s="666" t="s">
        <v>486</v>
      </c>
      <c r="D199" s="667" t="s">
        <v>1211</v>
      </c>
      <c r="E199" s="668" t="s">
        <v>501</v>
      </c>
      <c r="F199" s="753" t="s">
        <v>1898</v>
      </c>
      <c r="G199" s="129">
        <v>236002624</v>
      </c>
      <c r="H199" s="129">
        <v>0</v>
      </c>
      <c r="I199" s="129">
        <v>236002624</v>
      </c>
      <c r="J199" s="793">
        <v>49.9</v>
      </c>
      <c r="K199" s="129">
        <v>117765309</v>
      </c>
      <c r="L199" s="129">
        <v>0</v>
      </c>
      <c r="M199" s="129">
        <v>5513052</v>
      </c>
      <c r="N199" s="129">
        <v>0</v>
      </c>
      <c r="O199" s="129">
        <v>123278361</v>
      </c>
      <c r="P199" s="129">
        <v>0</v>
      </c>
      <c r="Q199" s="129">
        <v>123278361</v>
      </c>
      <c r="R199" s="129">
        <v>-50416</v>
      </c>
      <c r="S199" s="129">
        <v>0</v>
      </c>
      <c r="T199" s="129">
        <v>-50416</v>
      </c>
      <c r="U199" s="129">
        <v>625935</v>
      </c>
      <c r="V199" s="129">
        <v>0</v>
      </c>
      <c r="W199" s="129">
        <v>625935</v>
      </c>
      <c r="X199" s="129">
        <v>575519</v>
      </c>
      <c r="Y199" s="129">
        <v>0</v>
      </c>
      <c r="Z199" s="129">
        <v>0</v>
      </c>
      <c r="AA199" s="129">
        <v>0</v>
      </c>
      <c r="AB199" s="129">
        <v>575519</v>
      </c>
      <c r="AC199" s="129">
        <v>0</v>
      </c>
      <c r="AD199" s="129">
        <v>575519</v>
      </c>
      <c r="AE199" s="129">
        <v>-575519</v>
      </c>
      <c r="AF199" s="129">
        <v>0</v>
      </c>
      <c r="AG199" s="129">
        <v>-575519</v>
      </c>
      <c r="AH199" s="129">
        <v>-6766051</v>
      </c>
      <c r="AI199" s="129">
        <v>0</v>
      </c>
      <c r="AJ199" s="129">
        <v>-6766051</v>
      </c>
      <c r="AK199" s="129">
        <v>-5364</v>
      </c>
      <c r="AL199" s="129">
        <v>0</v>
      </c>
      <c r="AM199" s="129">
        <v>-5364</v>
      </c>
      <c r="AN199" s="129">
        <v>2358418</v>
      </c>
      <c r="AO199" s="129">
        <v>0</v>
      </c>
      <c r="AP199" s="129">
        <v>2358418</v>
      </c>
      <c r="AQ199" s="129">
        <v>-4407633</v>
      </c>
      <c r="AR199" s="129">
        <v>0</v>
      </c>
      <c r="AS199" s="129">
        <v>-4407633</v>
      </c>
      <c r="AT199" s="129">
        <v>-6801422</v>
      </c>
      <c r="AU199" s="129">
        <v>0</v>
      </c>
      <c r="AV199" s="129">
        <v>-6801422</v>
      </c>
      <c r="AW199" s="129">
        <v>-65485</v>
      </c>
      <c r="AX199" s="129">
        <v>0</v>
      </c>
      <c r="AY199" s="129">
        <v>-65485</v>
      </c>
      <c r="AZ199" s="129">
        <v>-15253</v>
      </c>
      <c r="BA199" s="129">
        <v>0</v>
      </c>
      <c r="BB199" s="129">
        <v>-15253</v>
      </c>
      <c r="BC199" s="129">
        <v>0</v>
      </c>
      <c r="BD199" s="129">
        <v>0</v>
      </c>
      <c r="BE199" s="129">
        <v>0</v>
      </c>
      <c r="BF199" s="129">
        <v>-11289793</v>
      </c>
      <c r="BG199" s="129">
        <v>0</v>
      </c>
      <c r="BH199" s="129">
        <v>-75613</v>
      </c>
      <c r="BI199" s="129">
        <v>0</v>
      </c>
      <c r="BJ199" s="129">
        <v>-11365406</v>
      </c>
      <c r="BK199" s="129">
        <v>0</v>
      </c>
      <c r="BL199" s="129">
        <v>-11365406</v>
      </c>
      <c r="BM199" s="129">
        <v>0</v>
      </c>
      <c r="BN199" s="129">
        <v>0</v>
      </c>
      <c r="BO199" s="129">
        <v>0</v>
      </c>
      <c r="BP199" s="129">
        <v>-1081489</v>
      </c>
      <c r="BQ199" s="129">
        <v>0</v>
      </c>
      <c r="BR199" s="129">
        <v>-1081489</v>
      </c>
      <c r="BS199" s="129">
        <v>-1081489</v>
      </c>
      <c r="BT199" s="129">
        <v>0</v>
      </c>
      <c r="BU199" s="129">
        <v>-2567631</v>
      </c>
      <c r="BV199" s="129">
        <v>0</v>
      </c>
      <c r="BW199" s="129">
        <v>-3649120</v>
      </c>
      <c r="BX199" s="129">
        <v>0</v>
      </c>
      <c r="BY199" s="129">
        <v>-3649120</v>
      </c>
      <c r="BZ199" s="129">
        <v>0</v>
      </c>
      <c r="CA199" s="129">
        <v>0</v>
      </c>
      <c r="CB199" s="129">
        <v>0</v>
      </c>
      <c r="CC199" s="129">
        <v>0</v>
      </c>
      <c r="CD199" s="129">
        <v>0</v>
      </c>
      <c r="CE199" s="129">
        <v>0</v>
      </c>
      <c r="CF199" s="129">
        <v>0</v>
      </c>
      <c r="CG199" s="129">
        <v>0</v>
      </c>
      <c r="CH199" s="129">
        <v>0</v>
      </c>
      <c r="CI199" s="129">
        <v>0</v>
      </c>
      <c r="CJ199" s="129">
        <v>0</v>
      </c>
      <c r="CK199" s="129">
        <v>0</v>
      </c>
      <c r="CL199" s="129">
        <v>0</v>
      </c>
      <c r="CM199" s="129">
        <v>0</v>
      </c>
      <c r="CN199" s="129">
        <v>0</v>
      </c>
      <c r="CO199" s="129">
        <v>0</v>
      </c>
      <c r="CP199" s="129">
        <v>0</v>
      </c>
      <c r="CQ199" s="129">
        <v>0</v>
      </c>
      <c r="CR199" s="129">
        <v>0</v>
      </c>
      <c r="CS199" s="129">
        <v>0</v>
      </c>
      <c r="CT199" s="129">
        <v>0</v>
      </c>
      <c r="CU199" s="129">
        <v>0</v>
      </c>
      <c r="CV199" s="129">
        <v>-161361</v>
      </c>
      <c r="CW199" s="129">
        <v>0</v>
      </c>
      <c r="CX199" s="129">
        <v>-161361</v>
      </c>
      <c r="CY199" s="129">
        <v>0</v>
      </c>
      <c r="CZ199" s="129">
        <v>-161361</v>
      </c>
      <c r="DA199" s="129">
        <v>-13713</v>
      </c>
      <c r="DB199" s="129">
        <v>0</v>
      </c>
      <c r="DC199" s="129">
        <v>-13713</v>
      </c>
      <c r="DD199" s="129">
        <v>-635</v>
      </c>
      <c r="DE199" s="129">
        <v>0</v>
      </c>
      <c r="DF199" s="129">
        <v>-635</v>
      </c>
      <c r="DG199" s="129">
        <v>0</v>
      </c>
      <c r="DH199" s="129">
        <v>0</v>
      </c>
      <c r="DI199" s="129">
        <v>0</v>
      </c>
      <c r="DJ199" s="129">
        <v>-14348</v>
      </c>
      <c r="DK199" s="129">
        <v>0</v>
      </c>
      <c r="DL199" s="129">
        <v>-3905</v>
      </c>
      <c r="DM199" s="129">
        <v>0</v>
      </c>
      <c r="DN199" s="129">
        <v>-18253</v>
      </c>
      <c r="DO199" s="129">
        <v>0</v>
      </c>
      <c r="DP199" s="129">
        <v>-18253</v>
      </c>
      <c r="DQ199" s="129">
        <v>108659740</v>
      </c>
      <c r="DR199" s="129">
        <v>0</v>
      </c>
      <c r="DS199" s="129">
        <v>108659740</v>
      </c>
      <c r="DT199" s="662" t="s">
        <v>501</v>
      </c>
      <c r="DU199" s="324" t="s">
        <v>486</v>
      </c>
      <c r="DV199" s="663" t="s">
        <v>502</v>
      </c>
      <c r="DW199" s="529" t="s">
        <v>1405</v>
      </c>
    </row>
    <row r="200" spans="1:127" ht="12.75" x14ac:dyDescent="0.2">
      <c r="A200" s="664">
        <v>193</v>
      </c>
      <c r="B200" s="665" t="s">
        <v>266</v>
      </c>
      <c r="C200" s="666" t="s">
        <v>486</v>
      </c>
      <c r="D200" s="667" t="s">
        <v>1224</v>
      </c>
      <c r="E200" s="668" t="s">
        <v>518</v>
      </c>
      <c r="F200" s="753" t="s">
        <v>1882</v>
      </c>
      <c r="G200" s="129">
        <v>229578542</v>
      </c>
      <c r="H200" s="129">
        <v>82350</v>
      </c>
      <c r="I200" s="129">
        <v>229660892</v>
      </c>
      <c r="J200" s="793">
        <v>49.9</v>
      </c>
      <c r="K200" s="129">
        <v>114559692</v>
      </c>
      <c r="L200" s="129">
        <v>41093</v>
      </c>
      <c r="M200" s="129">
        <v>-1279624</v>
      </c>
      <c r="N200" s="129">
        <v>0</v>
      </c>
      <c r="O200" s="129">
        <v>113280068</v>
      </c>
      <c r="P200" s="129">
        <v>41093</v>
      </c>
      <c r="Q200" s="129">
        <v>113321161</v>
      </c>
      <c r="R200" s="129">
        <v>-119299</v>
      </c>
      <c r="S200" s="129">
        <v>0</v>
      </c>
      <c r="T200" s="129">
        <v>-119299</v>
      </c>
      <c r="U200" s="129">
        <v>926220</v>
      </c>
      <c r="V200" s="129">
        <v>0</v>
      </c>
      <c r="W200" s="129">
        <v>926220</v>
      </c>
      <c r="X200" s="129">
        <v>806921</v>
      </c>
      <c r="Y200" s="129">
        <v>0</v>
      </c>
      <c r="Z200" s="129">
        <v>0</v>
      </c>
      <c r="AA200" s="129">
        <v>0</v>
      </c>
      <c r="AB200" s="129">
        <v>806921</v>
      </c>
      <c r="AC200" s="129">
        <v>0</v>
      </c>
      <c r="AD200" s="129">
        <v>806921</v>
      </c>
      <c r="AE200" s="129">
        <v>-806921</v>
      </c>
      <c r="AF200" s="129">
        <v>0</v>
      </c>
      <c r="AG200" s="129">
        <v>-806921</v>
      </c>
      <c r="AH200" s="129">
        <v>-8794630</v>
      </c>
      <c r="AI200" s="129">
        <v>-20384</v>
      </c>
      <c r="AJ200" s="129">
        <v>-8815014</v>
      </c>
      <c r="AK200" s="129">
        <v>-23478</v>
      </c>
      <c r="AL200" s="129">
        <v>0</v>
      </c>
      <c r="AM200" s="129">
        <v>-23478</v>
      </c>
      <c r="AN200" s="129">
        <v>2198356</v>
      </c>
      <c r="AO200" s="129">
        <v>0</v>
      </c>
      <c r="AP200" s="129">
        <v>2198356</v>
      </c>
      <c r="AQ200" s="129">
        <v>-6596274</v>
      </c>
      <c r="AR200" s="129">
        <v>-20384</v>
      </c>
      <c r="AS200" s="129">
        <v>-6616658</v>
      </c>
      <c r="AT200" s="129">
        <v>-11526065</v>
      </c>
      <c r="AU200" s="129">
        <v>0</v>
      </c>
      <c r="AV200" s="129">
        <v>-11526065</v>
      </c>
      <c r="AW200" s="129">
        <v>-14590</v>
      </c>
      <c r="AX200" s="129">
        <v>0</v>
      </c>
      <c r="AY200" s="129">
        <v>-14590</v>
      </c>
      <c r="AZ200" s="129">
        <v>0</v>
      </c>
      <c r="BA200" s="129">
        <v>0</v>
      </c>
      <c r="BB200" s="129">
        <v>0</v>
      </c>
      <c r="BC200" s="129">
        <v>0</v>
      </c>
      <c r="BD200" s="129">
        <v>0</v>
      </c>
      <c r="BE200" s="129">
        <v>0</v>
      </c>
      <c r="BF200" s="129">
        <v>-18136929</v>
      </c>
      <c r="BG200" s="129">
        <v>-20384</v>
      </c>
      <c r="BH200" s="129">
        <v>-544813</v>
      </c>
      <c r="BI200" s="129">
        <v>0</v>
      </c>
      <c r="BJ200" s="129">
        <v>-18681742</v>
      </c>
      <c r="BK200" s="129">
        <v>-20384</v>
      </c>
      <c r="BL200" s="129">
        <v>-18702126</v>
      </c>
      <c r="BM200" s="129">
        <v>0</v>
      </c>
      <c r="BN200" s="129">
        <v>0</v>
      </c>
      <c r="BO200" s="129">
        <v>0</v>
      </c>
      <c r="BP200" s="129">
        <v>-1779216</v>
      </c>
      <c r="BQ200" s="129">
        <v>0</v>
      </c>
      <c r="BR200" s="129">
        <v>-1779216</v>
      </c>
      <c r="BS200" s="129">
        <v>-1779216</v>
      </c>
      <c r="BT200" s="129">
        <v>0</v>
      </c>
      <c r="BU200" s="129">
        <v>-1834849</v>
      </c>
      <c r="BV200" s="129">
        <v>0</v>
      </c>
      <c r="BW200" s="129">
        <v>-3614065</v>
      </c>
      <c r="BX200" s="129">
        <v>0</v>
      </c>
      <c r="BY200" s="129">
        <v>-3614065</v>
      </c>
      <c r="BZ200" s="129">
        <v>0</v>
      </c>
      <c r="CA200" s="129">
        <v>0</v>
      </c>
      <c r="CB200" s="129">
        <v>0</v>
      </c>
      <c r="CC200" s="129">
        <v>0</v>
      </c>
      <c r="CD200" s="129">
        <v>0</v>
      </c>
      <c r="CE200" s="129">
        <v>0</v>
      </c>
      <c r="CF200" s="129">
        <v>0</v>
      </c>
      <c r="CG200" s="129">
        <v>0</v>
      </c>
      <c r="CH200" s="129">
        <v>0</v>
      </c>
      <c r="CI200" s="129">
        <v>0</v>
      </c>
      <c r="CJ200" s="129">
        <v>0</v>
      </c>
      <c r="CK200" s="129">
        <v>0</v>
      </c>
      <c r="CL200" s="129">
        <v>0</v>
      </c>
      <c r="CM200" s="129">
        <v>0</v>
      </c>
      <c r="CN200" s="129">
        <v>0</v>
      </c>
      <c r="CO200" s="129">
        <v>-21978</v>
      </c>
      <c r="CP200" s="129">
        <v>-15469</v>
      </c>
      <c r="CQ200" s="129">
        <v>-37447</v>
      </c>
      <c r="CR200" s="129">
        <v>-15469</v>
      </c>
      <c r="CS200" s="129">
        <v>0</v>
      </c>
      <c r="CT200" s="129">
        <v>-21978</v>
      </c>
      <c r="CU200" s="129">
        <v>-15469</v>
      </c>
      <c r="CV200" s="129">
        <v>-50000</v>
      </c>
      <c r="CW200" s="129">
        <v>0</v>
      </c>
      <c r="CX200" s="129">
        <v>-71978</v>
      </c>
      <c r="CY200" s="129">
        <v>-15469</v>
      </c>
      <c r="CZ200" s="129">
        <v>-87447</v>
      </c>
      <c r="DA200" s="129">
        <v>0</v>
      </c>
      <c r="DB200" s="129">
        <v>0</v>
      </c>
      <c r="DC200" s="129">
        <v>0</v>
      </c>
      <c r="DD200" s="129">
        <v>0</v>
      </c>
      <c r="DE200" s="129">
        <v>0</v>
      </c>
      <c r="DF200" s="129">
        <v>0</v>
      </c>
      <c r="DG200" s="129">
        <v>-1500</v>
      </c>
      <c r="DH200" s="129">
        <v>0</v>
      </c>
      <c r="DI200" s="129">
        <v>-1500</v>
      </c>
      <c r="DJ200" s="129">
        <v>-1500</v>
      </c>
      <c r="DK200" s="129">
        <v>0</v>
      </c>
      <c r="DL200" s="129">
        <v>0</v>
      </c>
      <c r="DM200" s="129">
        <v>0</v>
      </c>
      <c r="DN200" s="129">
        <v>-1500</v>
      </c>
      <c r="DO200" s="129">
        <v>0</v>
      </c>
      <c r="DP200" s="129">
        <v>-1500</v>
      </c>
      <c r="DQ200" s="129">
        <v>91717704</v>
      </c>
      <c r="DR200" s="129">
        <v>5240</v>
      </c>
      <c r="DS200" s="129">
        <v>91722944</v>
      </c>
      <c r="DT200" s="662" t="s">
        <v>518</v>
      </c>
      <c r="DU200" s="324" t="s">
        <v>486</v>
      </c>
      <c r="DV200" s="663" t="s">
        <v>519</v>
      </c>
      <c r="DW200" s="529" t="s">
        <v>1406</v>
      </c>
    </row>
    <row r="201" spans="1:127" ht="12.75" x14ac:dyDescent="0.2">
      <c r="A201" s="664">
        <v>194</v>
      </c>
      <c r="B201" s="665" t="s">
        <v>267</v>
      </c>
      <c r="C201" s="666" t="s">
        <v>486</v>
      </c>
      <c r="D201" s="667" t="s">
        <v>1202</v>
      </c>
      <c r="E201" s="668" t="s">
        <v>530</v>
      </c>
      <c r="F201" s="753" t="s">
        <v>1882</v>
      </c>
      <c r="G201" s="129">
        <v>218196546</v>
      </c>
      <c r="H201" s="129">
        <v>0</v>
      </c>
      <c r="I201" s="129">
        <v>218196546</v>
      </c>
      <c r="J201" s="793">
        <v>49.9</v>
      </c>
      <c r="K201" s="129">
        <v>108880076</v>
      </c>
      <c r="L201" s="129">
        <v>0</v>
      </c>
      <c r="M201" s="129">
        <v>0</v>
      </c>
      <c r="N201" s="129">
        <v>0</v>
      </c>
      <c r="O201" s="129">
        <v>108880076</v>
      </c>
      <c r="P201" s="129">
        <v>0</v>
      </c>
      <c r="Q201" s="129">
        <v>108880076</v>
      </c>
      <c r="R201" s="129">
        <v>0</v>
      </c>
      <c r="S201" s="129">
        <v>0</v>
      </c>
      <c r="T201" s="129">
        <v>0</v>
      </c>
      <c r="U201" s="129">
        <v>0</v>
      </c>
      <c r="V201" s="129">
        <v>0</v>
      </c>
      <c r="W201" s="129">
        <v>0</v>
      </c>
      <c r="X201" s="129">
        <v>0</v>
      </c>
      <c r="Y201" s="129">
        <v>0</v>
      </c>
      <c r="Z201" s="129">
        <v>0</v>
      </c>
      <c r="AA201" s="129">
        <v>0</v>
      </c>
      <c r="AB201" s="129">
        <v>0</v>
      </c>
      <c r="AC201" s="129">
        <v>0</v>
      </c>
      <c r="AD201" s="129">
        <v>0</v>
      </c>
      <c r="AE201" s="129">
        <v>0</v>
      </c>
      <c r="AF201" s="129">
        <v>0</v>
      </c>
      <c r="AG201" s="129">
        <v>0</v>
      </c>
      <c r="AH201" s="129">
        <v>-7188139</v>
      </c>
      <c r="AI201" s="129">
        <v>0</v>
      </c>
      <c r="AJ201" s="129">
        <v>-7188139</v>
      </c>
      <c r="AK201" s="129">
        <v>0</v>
      </c>
      <c r="AL201" s="129">
        <v>0</v>
      </c>
      <c r="AM201" s="129">
        <v>0</v>
      </c>
      <c r="AN201" s="129">
        <v>2136438</v>
      </c>
      <c r="AO201" s="129">
        <v>0</v>
      </c>
      <c r="AP201" s="129">
        <v>2136438</v>
      </c>
      <c r="AQ201" s="129">
        <v>-5051701</v>
      </c>
      <c r="AR201" s="129">
        <v>0</v>
      </c>
      <c r="AS201" s="129">
        <v>-5051701</v>
      </c>
      <c r="AT201" s="129">
        <v>-8752547</v>
      </c>
      <c r="AU201" s="129">
        <v>0</v>
      </c>
      <c r="AV201" s="129">
        <v>-8752547</v>
      </c>
      <c r="AW201" s="129">
        <v>-37572</v>
      </c>
      <c r="AX201" s="129">
        <v>0</v>
      </c>
      <c r="AY201" s="129">
        <v>-37572</v>
      </c>
      <c r="AZ201" s="129">
        <v>0</v>
      </c>
      <c r="BA201" s="129">
        <v>0</v>
      </c>
      <c r="BB201" s="129">
        <v>0</v>
      </c>
      <c r="BC201" s="129">
        <v>0</v>
      </c>
      <c r="BD201" s="129">
        <v>0</v>
      </c>
      <c r="BE201" s="129">
        <v>0</v>
      </c>
      <c r="BF201" s="129">
        <v>-13841820</v>
      </c>
      <c r="BG201" s="129">
        <v>0</v>
      </c>
      <c r="BH201" s="129">
        <v>0</v>
      </c>
      <c r="BI201" s="129">
        <v>0</v>
      </c>
      <c r="BJ201" s="129">
        <v>-13841820</v>
      </c>
      <c r="BK201" s="129">
        <v>0</v>
      </c>
      <c r="BL201" s="129">
        <v>-13841820</v>
      </c>
      <c r="BM201" s="129">
        <v>-100000</v>
      </c>
      <c r="BN201" s="129">
        <v>0</v>
      </c>
      <c r="BO201" s="129">
        <v>-100000</v>
      </c>
      <c r="BP201" s="129">
        <v>-3000000</v>
      </c>
      <c r="BQ201" s="129">
        <v>0</v>
      </c>
      <c r="BR201" s="129">
        <v>-3000000</v>
      </c>
      <c r="BS201" s="129">
        <v>-3100000</v>
      </c>
      <c r="BT201" s="129">
        <v>0</v>
      </c>
      <c r="BU201" s="129">
        <v>0</v>
      </c>
      <c r="BV201" s="129">
        <v>0</v>
      </c>
      <c r="BW201" s="129">
        <v>-3100000</v>
      </c>
      <c r="BX201" s="129">
        <v>0</v>
      </c>
      <c r="BY201" s="129">
        <v>-3100000</v>
      </c>
      <c r="BZ201" s="129">
        <v>-214800</v>
      </c>
      <c r="CA201" s="129">
        <v>0</v>
      </c>
      <c r="CB201" s="129">
        <v>-214800</v>
      </c>
      <c r="CC201" s="129">
        <v>0</v>
      </c>
      <c r="CD201" s="129">
        <v>0</v>
      </c>
      <c r="CE201" s="129">
        <v>0</v>
      </c>
      <c r="CF201" s="129">
        <v>0</v>
      </c>
      <c r="CG201" s="129">
        <v>0</v>
      </c>
      <c r="CH201" s="129">
        <v>0</v>
      </c>
      <c r="CI201" s="129">
        <v>0</v>
      </c>
      <c r="CJ201" s="129">
        <v>0</v>
      </c>
      <c r="CK201" s="129">
        <v>0</v>
      </c>
      <c r="CL201" s="129">
        <v>0</v>
      </c>
      <c r="CM201" s="129">
        <v>0</v>
      </c>
      <c r="CN201" s="129">
        <v>0</v>
      </c>
      <c r="CO201" s="129">
        <v>0</v>
      </c>
      <c r="CP201" s="129">
        <v>0</v>
      </c>
      <c r="CQ201" s="129">
        <v>0</v>
      </c>
      <c r="CR201" s="129">
        <v>0</v>
      </c>
      <c r="CS201" s="129">
        <v>0</v>
      </c>
      <c r="CT201" s="129">
        <v>-214800</v>
      </c>
      <c r="CU201" s="129">
        <v>0</v>
      </c>
      <c r="CV201" s="129">
        <v>0</v>
      </c>
      <c r="CW201" s="129">
        <v>0</v>
      </c>
      <c r="CX201" s="129">
        <v>-214800</v>
      </c>
      <c r="CY201" s="129">
        <v>0</v>
      </c>
      <c r="CZ201" s="129">
        <v>-214800</v>
      </c>
      <c r="DA201" s="129">
        <v>0</v>
      </c>
      <c r="DB201" s="129">
        <v>0</v>
      </c>
      <c r="DC201" s="129">
        <v>0</v>
      </c>
      <c r="DD201" s="129">
        <v>-21202</v>
      </c>
      <c r="DE201" s="129">
        <v>0</v>
      </c>
      <c r="DF201" s="129">
        <v>-21202</v>
      </c>
      <c r="DG201" s="129">
        <v>0</v>
      </c>
      <c r="DH201" s="129">
        <v>0</v>
      </c>
      <c r="DI201" s="129">
        <v>0</v>
      </c>
      <c r="DJ201" s="129">
        <v>-21202</v>
      </c>
      <c r="DK201" s="129">
        <v>0</v>
      </c>
      <c r="DL201" s="129">
        <v>0</v>
      </c>
      <c r="DM201" s="129">
        <v>0</v>
      </c>
      <c r="DN201" s="129">
        <v>-21202</v>
      </c>
      <c r="DO201" s="129">
        <v>0</v>
      </c>
      <c r="DP201" s="129">
        <v>-21202</v>
      </c>
      <c r="DQ201" s="129">
        <v>91702254</v>
      </c>
      <c r="DR201" s="129">
        <v>0</v>
      </c>
      <c r="DS201" s="129">
        <v>91702254</v>
      </c>
      <c r="DT201" s="662" t="s">
        <v>530</v>
      </c>
      <c r="DU201" s="324" t="s">
        <v>486</v>
      </c>
      <c r="DV201" s="663" t="s">
        <v>1914</v>
      </c>
      <c r="DW201" s="529" t="s">
        <v>1407</v>
      </c>
    </row>
    <row r="202" spans="1:127" ht="12.75" x14ac:dyDescent="0.2">
      <c r="A202" s="664">
        <v>195</v>
      </c>
      <c r="B202" s="665" t="s">
        <v>269</v>
      </c>
      <c r="C202" s="666" t="s">
        <v>1201</v>
      </c>
      <c r="D202" s="667" t="s">
        <v>1204</v>
      </c>
      <c r="E202" s="668" t="s">
        <v>268</v>
      </c>
      <c r="F202" s="753" t="s">
        <v>1880</v>
      </c>
      <c r="G202" s="129">
        <v>150826263</v>
      </c>
      <c r="H202" s="129">
        <v>0</v>
      </c>
      <c r="I202" s="129">
        <v>150826263</v>
      </c>
      <c r="J202" s="793">
        <v>49.9</v>
      </c>
      <c r="K202" s="129">
        <v>75262305</v>
      </c>
      <c r="L202" s="129">
        <v>0</v>
      </c>
      <c r="M202" s="129">
        <v>0</v>
      </c>
      <c r="N202" s="129">
        <v>0</v>
      </c>
      <c r="O202" s="129">
        <v>75262305</v>
      </c>
      <c r="P202" s="129">
        <v>0</v>
      </c>
      <c r="Q202" s="129">
        <v>75262305</v>
      </c>
      <c r="R202" s="129">
        <v>-51887</v>
      </c>
      <c r="S202" s="129">
        <v>0</v>
      </c>
      <c r="T202" s="129">
        <v>-51887</v>
      </c>
      <c r="U202" s="129">
        <v>1704809</v>
      </c>
      <c r="V202" s="129">
        <v>0</v>
      </c>
      <c r="W202" s="129">
        <v>1704809</v>
      </c>
      <c r="X202" s="129">
        <v>1652922</v>
      </c>
      <c r="Y202" s="129">
        <v>0</v>
      </c>
      <c r="Z202" s="129">
        <v>0</v>
      </c>
      <c r="AA202" s="129">
        <v>0</v>
      </c>
      <c r="AB202" s="129">
        <v>1652922</v>
      </c>
      <c r="AC202" s="129">
        <v>0</v>
      </c>
      <c r="AD202" s="129">
        <v>1652922</v>
      </c>
      <c r="AE202" s="129">
        <v>-1652922</v>
      </c>
      <c r="AF202" s="129">
        <v>0</v>
      </c>
      <c r="AG202" s="129">
        <v>-1652922</v>
      </c>
      <c r="AH202" s="129">
        <v>-6168226</v>
      </c>
      <c r="AI202" s="129">
        <v>0</v>
      </c>
      <c r="AJ202" s="129">
        <v>-6168226</v>
      </c>
      <c r="AK202" s="129">
        <v>-3194</v>
      </c>
      <c r="AL202" s="129">
        <v>0</v>
      </c>
      <c r="AM202" s="129">
        <v>-3194</v>
      </c>
      <c r="AN202" s="129">
        <v>1431583</v>
      </c>
      <c r="AO202" s="129">
        <v>0</v>
      </c>
      <c r="AP202" s="129">
        <v>1431583</v>
      </c>
      <c r="AQ202" s="129">
        <v>-4736643</v>
      </c>
      <c r="AR202" s="129">
        <v>0</v>
      </c>
      <c r="AS202" s="129">
        <v>-4736643</v>
      </c>
      <c r="AT202" s="129">
        <v>-5937571</v>
      </c>
      <c r="AU202" s="129">
        <v>0</v>
      </c>
      <c r="AV202" s="129">
        <v>-5937571</v>
      </c>
      <c r="AW202" s="129">
        <v>-56803</v>
      </c>
      <c r="AX202" s="129">
        <v>0</v>
      </c>
      <c r="AY202" s="129">
        <v>-56803</v>
      </c>
      <c r="AZ202" s="129">
        <v>-5184</v>
      </c>
      <c r="BA202" s="129">
        <v>0</v>
      </c>
      <c r="BB202" s="129">
        <v>-5184</v>
      </c>
      <c r="BC202" s="129">
        <v>0</v>
      </c>
      <c r="BD202" s="129">
        <v>0</v>
      </c>
      <c r="BE202" s="129">
        <v>0</v>
      </c>
      <c r="BF202" s="129">
        <v>-10736201</v>
      </c>
      <c r="BG202" s="129">
        <v>0</v>
      </c>
      <c r="BH202" s="129">
        <v>0</v>
      </c>
      <c r="BI202" s="129">
        <v>0</v>
      </c>
      <c r="BJ202" s="129">
        <v>-10736201</v>
      </c>
      <c r="BK202" s="129">
        <v>0</v>
      </c>
      <c r="BL202" s="129">
        <v>-10736201</v>
      </c>
      <c r="BM202" s="129">
        <v>0</v>
      </c>
      <c r="BN202" s="129">
        <v>0</v>
      </c>
      <c r="BO202" s="129">
        <v>0</v>
      </c>
      <c r="BP202" s="129">
        <v>-1948518</v>
      </c>
      <c r="BQ202" s="129">
        <v>0</v>
      </c>
      <c r="BR202" s="129">
        <v>-1948518</v>
      </c>
      <c r="BS202" s="129">
        <v>-1948518</v>
      </c>
      <c r="BT202" s="129">
        <v>0</v>
      </c>
      <c r="BU202" s="129">
        <v>-2500000</v>
      </c>
      <c r="BV202" s="129">
        <v>0</v>
      </c>
      <c r="BW202" s="129">
        <v>-4448518</v>
      </c>
      <c r="BX202" s="129">
        <v>0</v>
      </c>
      <c r="BY202" s="129">
        <v>-4448518</v>
      </c>
      <c r="BZ202" s="129">
        <v>-84723</v>
      </c>
      <c r="CA202" s="129">
        <v>0</v>
      </c>
      <c r="CB202" s="129">
        <v>-84723</v>
      </c>
      <c r="CC202" s="129">
        <v>-24314</v>
      </c>
      <c r="CD202" s="129">
        <v>0</v>
      </c>
      <c r="CE202" s="129">
        <v>-24314</v>
      </c>
      <c r="CF202" s="129">
        <v>-312</v>
      </c>
      <c r="CG202" s="129">
        <v>0</v>
      </c>
      <c r="CH202" s="129">
        <v>-312</v>
      </c>
      <c r="CI202" s="129">
        <v>0</v>
      </c>
      <c r="CJ202" s="129">
        <v>0</v>
      </c>
      <c r="CK202" s="129">
        <v>0</v>
      </c>
      <c r="CL202" s="129">
        <v>0</v>
      </c>
      <c r="CM202" s="129">
        <v>0</v>
      </c>
      <c r="CN202" s="129">
        <v>0</v>
      </c>
      <c r="CO202" s="129">
        <v>0</v>
      </c>
      <c r="CP202" s="129">
        <v>0</v>
      </c>
      <c r="CQ202" s="129">
        <v>0</v>
      </c>
      <c r="CR202" s="129">
        <v>0</v>
      </c>
      <c r="CS202" s="129">
        <v>0</v>
      </c>
      <c r="CT202" s="129">
        <v>-109349</v>
      </c>
      <c r="CU202" s="129">
        <v>0</v>
      </c>
      <c r="CV202" s="129">
        <v>0</v>
      </c>
      <c r="CW202" s="129">
        <v>0</v>
      </c>
      <c r="CX202" s="129">
        <v>-109349</v>
      </c>
      <c r="CY202" s="129">
        <v>0</v>
      </c>
      <c r="CZ202" s="129">
        <v>-109349</v>
      </c>
      <c r="DA202" s="129">
        <v>-5068</v>
      </c>
      <c r="DB202" s="129">
        <v>0</v>
      </c>
      <c r="DC202" s="129">
        <v>-5068</v>
      </c>
      <c r="DD202" s="129">
        <v>-1784</v>
      </c>
      <c r="DE202" s="129">
        <v>0</v>
      </c>
      <c r="DF202" s="129">
        <v>-1784</v>
      </c>
      <c r="DG202" s="129">
        <v>0</v>
      </c>
      <c r="DH202" s="129">
        <v>0</v>
      </c>
      <c r="DI202" s="129">
        <v>0</v>
      </c>
      <c r="DJ202" s="129">
        <v>-6852</v>
      </c>
      <c r="DK202" s="129">
        <v>0</v>
      </c>
      <c r="DL202" s="129">
        <v>0</v>
      </c>
      <c r="DM202" s="129">
        <v>0</v>
      </c>
      <c r="DN202" s="129">
        <v>-6852</v>
      </c>
      <c r="DO202" s="129">
        <v>0</v>
      </c>
      <c r="DP202" s="129">
        <v>-6852</v>
      </c>
      <c r="DQ202" s="129">
        <v>61614307</v>
      </c>
      <c r="DR202" s="129">
        <v>0</v>
      </c>
      <c r="DS202" s="129">
        <v>61614307</v>
      </c>
      <c r="DT202" s="662" t="s">
        <v>268</v>
      </c>
      <c r="DU202" s="324" t="s">
        <v>547</v>
      </c>
      <c r="DV202" s="663" t="s">
        <v>545</v>
      </c>
      <c r="DW202" s="529" t="s">
        <v>1408</v>
      </c>
    </row>
    <row r="203" spans="1:127" ht="12.75" x14ac:dyDescent="0.2">
      <c r="A203" s="664">
        <v>196</v>
      </c>
      <c r="B203" s="665" t="s">
        <v>270</v>
      </c>
      <c r="C203" s="666" t="s">
        <v>486</v>
      </c>
      <c r="D203" s="667" t="s">
        <v>1202</v>
      </c>
      <c r="E203" s="668" t="s">
        <v>496</v>
      </c>
      <c r="F203" s="753" t="s">
        <v>1875</v>
      </c>
      <c r="G203" s="129">
        <v>317197179</v>
      </c>
      <c r="H203" s="129">
        <v>0</v>
      </c>
      <c r="I203" s="129">
        <v>317197179</v>
      </c>
      <c r="J203" s="793">
        <v>49.9</v>
      </c>
      <c r="K203" s="129">
        <v>158281392</v>
      </c>
      <c r="L203" s="129">
        <v>0</v>
      </c>
      <c r="M203" s="129">
        <v>-7914070</v>
      </c>
      <c r="N203" s="129">
        <v>0</v>
      </c>
      <c r="O203" s="129">
        <v>150367322</v>
      </c>
      <c r="P203" s="129">
        <v>0</v>
      </c>
      <c r="Q203" s="129">
        <v>150367322</v>
      </c>
      <c r="R203" s="129">
        <v>-334333</v>
      </c>
      <c r="S203" s="129">
        <v>0</v>
      </c>
      <c r="T203" s="129">
        <v>-334333</v>
      </c>
      <c r="U203" s="129">
        <v>302365</v>
      </c>
      <c r="V203" s="129">
        <v>0</v>
      </c>
      <c r="W203" s="129">
        <v>302365</v>
      </c>
      <c r="X203" s="129">
        <v>-31968</v>
      </c>
      <c r="Y203" s="129">
        <v>0</v>
      </c>
      <c r="Z203" s="129">
        <v>0</v>
      </c>
      <c r="AA203" s="129">
        <v>0</v>
      </c>
      <c r="AB203" s="129">
        <v>-31968</v>
      </c>
      <c r="AC203" s="129">
        <v>0</v>
      </c>
      <c r="AD203" s="129">
        <v>-31968</v>
      </c>
      <c r="AE203" s="129">
        <v>31968</v>
      </c>
      <c r="AF203" s="129">
        <v>0</v>
      </c>
      <c r="AG203" s="129">
        <v>31968</v>
      </c>
      <c r="AH203" s="129">
        <v>-4117865</v>
      </c>
      <c r="AI203" s="129">
        <v>0</v>
      </c>
      <c r="AJ203" s="129">
        <v>-4117865</v>
      </c>
      <c r="AK203" s="129">
        <v>-5396</v>
      </c>
      <c r="AL203" s="129">
        <v>0</v>
      </c>
      <c r="AM203" s="129">
        <v>-5396</v>
      </c>
      <c r="AN203" s="129">
        <v>3509475</v>
      </c>
      <c r="AO203" s="129">
        <v>0</v>
      </c>
      <c r="AP203" s="129">
        <v>3509475</v>
      </c>
      <c r="AQ203" s="129">
        <v>-608390</v>
      </c>
      <c r="AR203" s="129">
        <v>0</v>
      </c>
      <c r="AS203" s="129">
        <v>-608390</v>
      </c>
      <c r="AT203" s="129">
        <v>-5571475</v>
      </c>
      <c r="AU203" s="129">
        <v>0</v>
      </c>
      <c r="AV203" s="129">
        <v>-5571475</v>
      </c>
      <c r="AW203" s="129">
        <v>-6513</v>
      </c>
      <c r="AX203" s="129">
        <v>0</v>
      </c>
      <c r="AY203" s="129">
        <v>-6513</v>
      </c>
      <c r="AZ203" s="129">
        <v>0</v>
      </c>
      <c r="BA203" s="129">
        <v>0</v>
      </c>
      <c r="BB203" s="129">
        <v>0</v>
      </c>
      <c r="BC203" s="129">
        <v>0</v>
      </c>
      <c r="BD203" s="129">
        <v>0</v>
      </c>
      <c r="BE203" s="129">
        <v>0</v>
      </c>
      <c r="BF203" s="129">
        <v>-6186378</v>
      </c>
      <c r="BG203" s="129">
        <v>0</v>
      </c>
      <c r="BH203" s="129">
        <v>0</v>
      </c>
      <c r="BI203" s="129">
        <v>0</v>
      </c>
      <c r="BJ203" s="129">
        <v>-6186378</v>
      </c>
      <c r="BK203" s="129">
        <v>0</v>
      </c>
      <c r="BL203" s="129">
        <v>-6186378</v>
      </c>
      <c r="BM203" s="129">
        <v>-5210</v>
      </c>
      <c r="BN203" s="129">
        <v>0</v>
      </c>
      <c r="BO203" s="129">
        <v>-5210</v>
      </c>
      <c r="BP203" s="129">
        <v>-6012953</v>
      </c>
      <c r="BQ203" s="129">
        <v>0</v>
      </c>
      <c r="BR203" s="129">
        <v>-6012953</v>
      </c>
      <c r="BS203" s="129">
        <v>-6018163</v>
      </c>
      <c r="BT203" s="129">
        <v>0</v>
      </c>
      <c r="BU203" s="129">
        <v>0</v>
      </c>
      <c r="BV203" s="129">
        <v>0</v>
      </c>
      <c r="BW203" s="129">
        <v>-6018163</v>
      </c>
      <c r="BX203" s="129">
        <v>0</v>
      </c>
      <c r="BY203" s="129">
        <v>-6018163</v>
      </c>
      <c r="BZ203" s="129">
        <v>0</v>
      </c>
      <c r="CA203" s="129">
        <v>0</v>
      </c>
      <c r="CB203" s="129">
        <v>0</v>
      </c>
      <c r="CC203" s="129">
        <v>0</v>
      </c>
      <c r="CD203" s="129">
        <v>0</v>
      </c>
      <c r="CE203" s="129">
        <v>0</v>
      </c>
      <c r="CF203" s="129">
        <v>0</v>
      </c>
      <c r="CG203" s="129">
        <v>0</v>
      </c>
      <c r="CH203" s="129">
        <v>0</v>
      </c>
      <c r="CI203" s="129">
        <v>0</v>
      </c>
      <c r="CJ203" s="129">
        <v>0</v>
      </c>
      <c r="CK203" s="129">
        <v>0</v>
      </c>
      <c r="CL203" s="129">
        <v>0</v>
      </c>
      <c r="CM203" s="129">
        <v>0</v>
      </c>
      <c r="CN203" s="129">
        <v>0</v>
      </c>
      <c r="CO203" s="129">
        <v>0</v>
      </c>
      <c r="CP203" s="129">
        <v>0</v>
      </c>
      <c r="CQ203" s="129">
        <v>0</v>
      </c>
      <c r="CR203" s="129">
        <v>0</v>
      </c>
      <c r="CS203" s="129">
        <v>0</v>
      </c>
      <c r="CT203" s="129">
        <v>0</v>
      </c>
      <c r="CU203" s="129">
        <v>0</v>
      </c>
      <c r="CV203" s="129">
        <v>0</v>
      </c>
      <c r="CW203" s="129">
        <v>0</v>
      </c>
      <c r="CX203" s="129">
        <v>0</v>
      </c>
      <c r="CY203" s="129">
        <v>0</v>
      </c>
      <c r="CZ203" s="129">
        <v>0</v>
      </c>
      <c r="DA203" s="129">
        <v>0</v>
      </c>
      <c r="DB203" s="129">
        <v>0</v>
      </c>
      <c r="DC203" s="129">
        <v>0</v>
      </c>
      <c r="DD203" s="129">
        <v>-48843</v>
      </c>
      <c r="DE203" s="129">
        <v>0</v>
      </c>
      <c r="DF203" s="129">
        <v>-48843</v>
      </c>
      <c r="DG203" s="129">
        <v>0</v>
      </c>
      <c r="DH203" s="129">
        <v>0</v>
      </c>
      <c r="DI203" s="129">
        <v>0</v>
      </c>
      <c r="DJ203" s="129">
        <v>-48843</v>
      </c>
      <c r="DK203" s="129">
        <v>0</v>
      </c>
      <c r="DL203" s="129">
        <v>0</v>
      </c>
      <c r="DM203" s="129">
        <v>0</v>
      </c>
      <c r="DN203" s="129">
        <v>-48843</v>
      </c>
      <c r="DO203" s="129">
        <v>0</v>
      </c>
      <c r="DP203" s="129">
        <v>-48843</v>
      </c>
      <c r="DQ203" s="129">
        <v>138081970</v>
      </c>
      <c r="DR203" s="129">
        <v>0</v>
      </c>
      <c r="DS203" s="129">
        <v>138081970</v>
      </c>
      <c r="DT203" s="662" t="s">
        <v>496</v>
      </c>
      <c r="DU203" s="324" t="s">
        <v>486</v>
      </c>
      <c r="DV203" s="663" t="s">
        <v>494</v>
      </c>
      <c r="DW203" s="529" t="s">
        <v>1409</v>
      </c>
    </row>
    <row r="204" spans="1:127" ht="12.75" x14ac:dyDescent="0.2">
      <c r="A204" s="664">
        <v>197</v>
      </c>
      <c r="B204" s="665" t="s">
        <v>272</v>
      </c>
      <c r="C204" s="666" t="s">
        <v>1213</v>
      </c>
      <c r="D204" s="667" t="s">
        <v>1214</v>
      </c>
      <c r="E204" s="668" t="s">
        <v>271</v>
      </c>
      <c r="F204" s="753" t="s">
        <v>1875</v>
      </c>
      <c r="G204" s="129">
        <v>154194375</v>
      </c>
      <c r="H204" s="129">
        <v>0</v>
      </c>
      <c r="I204" s="129">
        <v>154194375</v>
      </c>
      <c r="J204" s="793">
        <v>49.9</v>
      </c>
      <c r="K204" s="129">
        <v>76942993</v>
      </c>
      <c r="L204" s="129">
        <v>0</v>
      </c>
      <c r="M204" s="129">
        <v>0</v>
      </c>
      <c r="N204" s="129">
        <v>0</v>
      </c>
      <c r="O204" s="129">
        <v>76942993</v>
      </c>
      <c r="P204" s="129">
        <v>0</v>
      </c>
      <c r="Q204" s="129">
        <v>76942993</v>
      </c>
      <c r="R204" s="129">
        <v>-482088</v>
      </c>
      <c r="S204" s="129">
        <v>0</v>
      </c>
      <c r="T204" s="129">
        <v>-482088</v>
      </c>
      <c r="U204" s="129">
        <v>61169</v>
      </c>
      <c r="V204" s="129">
        <v>0</v>
      </c>
      <c r="W204" s="129">
        <v>61169</v>
      </c>
      <c r="X204" s="129">
        <v>-420919</v>
      </c>
      <c r="Y204" s="129">
        <v>0</v>
      </c>
      <c r="Z204" s="129">
        <v>0</v>
      </c>
      <c r="AA204" s="129">
        <v>0</v>
      </c>
      <c r="AB204" s="129">
        <v>-420919</v>
      </c>
      <c r="AC204" s="129">
        <v>0</v>
      </c>
      <c r="AD204" s="129">
        <v>-420919</v>
      </c>
      <c r="AE204" s="129">
        <v>420919</v>
      </c>
      <c r="AF204" s="129">
        <v>0</v>
      </c>
      <c r="AG204" s="129">
        <v>420919</v>
      </c>
      <c r="AH204" s="129">
        <v>-8237549</v>
      </c>
      <c r="AI204" s="129">
        <v>0</v>
      </c>
      <c r="AJ204" s="129">
        <v>-8237549</v>
      </c>
      <c r="AK204" s="129">
        <v>-20182</v>
      </c>
      <c r="AL204" s="129">
        <v>0</v>
      </c>
      <c r="AM204" s="129">
        <v>-20182</v>
      </c>
      <c r="AN204" s="129">
        <v>1154788</v>
      </c>
      <c r="AO204" s="129">
        <v>0</v>
      </c>
      <c r="AP204" s="129">
        <v>1154788</v>
      </c>
      <c r="AQ204" s="129">
        <v>-7082761</v>
      </c>
      <c r="AR204" s="129">
        <v>0</v>
      </c>
      <c r="AS204" s="129">
        <v>-7082761</v>
      </c>
      <c r="AT204" s="129">
        <v>-6236288</v>
      </c>
      <c r="AU204" s="129">
        <v>0</v>
      </c>
      <c r="AV204" s="129">
        <v>-6236288</v>
      </c>
      <c r="AW204" s="129">
        <v>-136561</v>
      </c>
      <c r="AX204" s="129">
        <v>0</v>
      </c>
      <c r="AY204" s="129">
        <v>-136561</v>
      </c>
      <c r="AZ204" s="129">
        <v>0</v>
      </c>
      <c r="BA204" s="129">
        <v>0</v>
      </c>
      <c r="BB204" s="129">
        <v>0</v>
      </c>
      <c r="BC204" s="129">
        <v>0</v>
      </c>
      <c r="BD204" s="129">
        <v>0</v>
      </c>
      <c r="BE204" s="129">
        <v>0</v>
      </c>
      <c r="BF204" s="129">
        <v>-13455610</v>
      </c>
      <c r="BG204" s="129">
        <v>0</v>
      </c>
      <c r="BH204" s="129">
        <v>0</v>
      </c>
      <c r="BI204" s="129">
        <v>0</v>
      </c>
      <c r="BJ204" s="129">
        <v>-13455610</v>
      </c>
      <c r="BK204" s="129">
        <v>0</v>
      </c>
      <c r="BL204" s="129">
        <v>-13455610</v>
      </c>
      <c r="BM204" s="129">
        <v>0</v>
      </c>
      <c r="BN204" s="129">
        <v>0</v>
      </c>
      <c r="BO204" s="129">
        <v>0</v>
      </c>
      <c r="BP204" s="129">
        <v>-1288930</v>
      </c>
      <c r="BQ204" s="129">
        <v>0</v>
      </c>
      <c r="BR204" s="129">
        <v>-1288930</v>
      </c>
      <c r="BS204" s="129">
        <v>-1288930</v>
      </c>
      <c r="BT204" s="129">
        <v>0</v>
      </c>
      <c r="BU204" s="129">
        <v>0</v>
      </c>
      <c r="BV204" s="129">
        <v>0</v>
      </c>
      <c r="BW204" s="129">
        <v>-1288930</v>
      </c>
      <c r="BX204" s="129">
        <v>0</v>
      </c>
      <c r="BY204" s="129">
        <v>-1288930</v>
      </c>
      <c r="BZ204" s="129">
        <v>-186725</v>
      </c>
      <c r="CA204" s="129">
        <v>0</v>
      </c>
      <c r="CB204" s="129">
        <v>-186725</v>
      </c>
      <c r="CC204" s="129">
        <v>-14433</v>
      </c>
      <c r="CD204" s="129">
        <v>0</v>
      </c>
      <c r="CE204" s="129">
        <v>-14433</v>
      </c>
      <c r="CF204" s="129">
        <v>0</v>
      </c>
      <c r="CG204" s="129">
        <v>0</v>
      </c>
      <c r="CH204" s="129">
        <v>0</v>
      </c>
      <c r="CI204" s="129">
        <v>0</v>
      </c>
      <c r="CJ204" s="129">
        <v>0</v>
      </c>
      <c r="CK204" s="129">
        <v>0</v>
      </c>
      <c r="CL204" s="129">
        <v>0</v>
      </c>
      <c r="CM204" s="129">
        <v>0</v>
      </c>
      <c r="CN204" s="129">
        <v>0</v>
      </c>
      <c r="CO204" s="129">
        <v>0</v>
      </c>
      <c r="CP204" s="129">
        <v>0</v>
      </c>
      <c r="CQ204" s="129">
        <v>0</v>
      </c>
      <c r="CR204" s="129">
        <v>0</v>
      </c>
      <c r="CS204" s="129">
        <v>0</v>
      </c>
      <c r="CT204" s="129">
        <v>-201158</v>
      </c>
      <c r="CU204" s="129">
        <v>0</v>
      </c>
      <c r="CV204" s="129">
        <v>0</v>
      </c>
      <c r="CW204" s="129">
        <v>0</v>
      </c>
      <c r="CX204" s="129">
        <v>-201158</v>
      </c>
      <c r="CY204" s="129">
        <v>0</v>
      </c>
      <c r="CZ204" s="129">
        <v>-201158</v>
      </c>
      <c r="DA204" s="129">
        <v>0</v>
      </c>
      <c r="DB204" s="129">
        <v>0</v>
      </c>
      <c r="DC204" s="129">
        <v>0</v>
      </c>
      <c r="DD204" s="129">
        <v>-89374</v>
      </c>
      <c r="DE204" s="129">
        <v>0</v>
      </c>
      <c r="DF204" s="129">
        <v>-89374</v>
      </c>
      <c r="DG204" s="129">
        <v>0</v>
      </c>
      <c r="DH204" s="129">
        <v>0</v>
      </c>
      <c r="DI204" s="129">
        <v>0</v>
      </c>
      <c r="DJ204" s="129">
        <v>-89374</v>
      </c>
      <c r="DK204" s="129">
        <v>0</v>
      </c>
      <c r="DL204" s="129">
        <v>0</v>
      </c>
      <c r="DM204" s="129">
        <v>0</v>
      </c>
      <c r="DN204" s="129">
        <v>-89374</v>
      </c>
      <c r="DO204" s="129">
        <v>0</v>
      </c>
      <c r="DP204" s="129">
        <v>-89374</v>
      </c>
      <c r="DQ204" s="129">
        <v>61487002</v>
      </c>
      <c r="DR204" s="129">
        <v>0</v>
      </c>
      <c r="DS204" s="129">
        <v>61487002</v>
      </c>
      <c r="DT204" s="662" t="s">
        <v>271</v>
      </c>
      <c r="DU204" s="324" t="s">
        <v>576</v>
      </c>
      <c r="DV204" s="669" t="s">
        <v>485</v>
      </c>
      <c r="DW204" s="529" t="s">
        <v>1410</v>
      </c>
    </row>
    <row r="205" spans="1:127" ht="12.75" x14ac:dyDescent="0.2">
      <c r="A205" s="664">
        <v>198</v>
      </c>
      <c r="B205" s="665" t="s">
        <v>274</v>
      </c>
      <c r="C205" s="666" t="s">
        <v>486</v>
      </c>
      <c r="D205" s="667" t="s">
        <v>1283</v>
      </c>
      <c r="E205" s="668" t="s">
        <v>818</v>
      </c>
      <c r="F205" s="753" t="s">
        <v>1875</v>
      </c>
      <c r="G205" s="129">
        <v>93943616</v>
      </c>
      <c r="H205" s="129">
        <v>3668600</v>
      </c>
      <c r="I205" s="129">
        <v>97612216</v>
      </c>
      <c r="J205" s="793">
        <v>49.9</v>
      </c>
      <c r="K205" s="129">
        <v>46877864</v>
      </c>
      <c r="L205" s="129">
        <v>1830631</v>
      </c>
      <c r="M205" s="129">
        <v>0</v>
      </c>
      <c r="N205" s="129">
        <v>0</v>
      </c>
      <c r="O205" s="129">
        <v>46877864</v>
      </c>
      <c r="P205" s="129">
        <v>1830631</v>
      </c>
      <c r="Q205" s="129">
        <v>48708495</v>
      </c>
      <c r="R205" s="129">
        <v>-124677</v>
      </c>
      <c r="S205" s="129">
        <v>0</v>
      </c>
      <c r="T205" s="129">
        <v>-124677</v>
      </c>
      <c r="U205" s="129">
        <v>500462</v>
      </c>
      <c r="V205" s="129">
        <v>0</v>
      </c>
      <c r="W205" s="129">
        <v>500462</v>
      </c>
      <c r="X205" s="129">
        <v>375785</v>
      </c>
      <c r="Y205" s="129">
        <v>0</v>
      </c>
      <c r="Z205" s="129">
        <v>0</v>
      </c>
      <c r="AA205" s="129">
        <v>0</v>
      </c>
      <c r="AB205" s="129">
        <v>375785</v>
      </c>
      <c r="AC205" s="129">
        <v>0</v>
      </c>
      <c r="AD205" s="129">
        <v>375785</v>
      </c>
      <c r="AE205" s="129">
        <v>-375785</v>
      </c>
      <c r="AF205" s="129">
        <v>0</v>
      </c>
      <c r="AG205" s="129">
        <v>-375785</v>
      </c>
      <c r="AH205" s="129">
        <v>-4345363</v>
      </c>
      <c r="AI205" s="129">
        <v>0</v>
      </c>
      <c r="AJ205" s="129">
        <v>-4345363</v>
      </c>
      <c r="AK205" s="129">
        <v>-36026</v>
      </c>
      <c r="AL205" s="129">
        <v>0</v>
      </c>
      <c r="AM205" s="129">
        <v>-36026</v>
      </c>
      <c r="AN205" s="129">
        <v>892207</v>
      </c>
      <c r="AO205" s="129">
        <v>55510</v>
      </c>
      <c r="AP205" s="129">
        <v>947717</v>
      </c>
      <c r="AQ205" s="129">
        <v>-3453156</v>
      </c>
      <c r="AR205" s="129">
        <v>55510</v>
      </c>
      <c r="AS205" s="129">
        <v>-3397646</v>
      </c>
      <c r="AT205" s="129">
        <v>-3591146</v>
      </c>
      <c r="AU205" s="129">
        <v>0</v>
      </c>
      <c r="AV205" s="129">
        <v>-3591146</v>
      </c>
      <c r="AW205" s="129">
        <v>-57380</v>
      </c>
      <c r="AX205" s="129">
        <v>0</v>
      </c>
      <c r="AY205" s="129">
        <v>-57380</v>
      </c>
      <c r="AZ205" s="129">
        <v>-2831</v>
      </c>
      <c r="BA205" s="129">
        <v>0</v>
      </c>
      <c r="BB205" s="129">
        <v>-2831</v>
      </c>
      <c r="BC205" s="129">
        <v>0</v>
      </c>
      <c r="BD205" s="129">
        <v>0</v>
      </c>
      <c r="BE205" s="129">
        <v>0</v>
      </c>
      <c r="BF205" s="129">
        <v>-7104513</v>
      </c>
      <c r="BG205" s="129">
        <v>55510</v>
      </c>
      <c r="BH205" s="129">
        <v>0</v>
      </c>
      <c r="BI205" s="129">
        <v>0</v>
      </c>
      <c r="BJ205" s="129">
        <v>-7104513</v>
      </c>
      <c r="BK205" s="129">
        <v>55510</v>
      </c>
      <c r="BL205" s="129">
        <v>-7049003</v>
      </c>
      <c r="BM205" s="129">
        <v>0</v>
      </c>
      <c r="BN205" s="129">
        <v>0</v>
      </c>
      <c r="BO205" s="129">
        <v>0</v>
      </c>
      <c r="BP205" s="129">
        <v>-581811</v>
      </c>
      <c r="BQ205" s="129">
        <v>0</v>
      </c>
      <c r="BR205" s="129">
        <v>-581811</v>
      </c>
      <c r="BS205" s="129">
        <v>-581811</v>
      </c>
      <c r="BT205" s="129">
        <v>0</v>
      </c>
      <c r="BU205" s="129">
        <v>0</v>
      </c>
      <c r="BV205" s="129">
        <v>0</v>
      </c>
      <c r="BW205" s="129">
        <v>-581811</v>
      </c>
      <c r="BX205" s="129">
        <v>0</v>
      </c>
      <c r="BY205" s="129">
        <v>-581811</v>
      </c>
      <c r="BZ205" s="129">
        <v>-117421</v>
      </c>
      <c r="CA205" s="129">
        <v>0</v>
      </c>
      <c r="CB205" s="129">
        <v>-117421</v>
      </c>
      <c r="CC205" s="129">
        <v>-48335</v>
      </c>
      <c r="CD205" s="129">
        <v>0</v>
      </c>
      <c r="CE205" s="129">
        <v>-48335</v>
      </c>
      <c r="CF205" s="129">
        <v>0</v>
      </c>
      <c r="CG205" s="129">
        <v>0</v>
      </c>
      <c r="CH205" s="129">
        <v>0</v>
      </c>
      <c r="CI205" s="129">
        <v>-1221</v>
      </c>
      <c r="CJ205" s="129">
        <v>0</v>
      </c>
      <c r="CK205" s="129">
        <v>-1221</v>
      </c>
      <c r="CL205" s="129">
        <v>0</v>
      </c>
      <c r="CM205" s="129">
        <v>0</v>
      </c>
      <c r="CN205" s="129">
        <v>0</v>
      </c>
      <c r="CO205" s="129">
        <v>0</v>
      </c>
      <c r="CP205" s="129">
        <v>0</v>
      </c>
      <c r="CQ205" s="129">
        <v>0</v>
      </c>
      <c r="CR205" s="129">
        <v>0</v>
      </c>
      <c r="CS205" s="129">
        <v>0</v>
      </c>
      <c r="CT205" s="129">
        <v>-166977</v>
      </c>
      <c r="CU205" s="129">
        <v>0</v>
      </c>
      <c r="CV205" s="129">
        <v>0</v>
      </c>
      <c r="CW205" s="129">
        <v>0</v>
      </c>
      <c r="CX205" s="129">
        <v>-166977</v>
      </c>
      <c r="CY205" s="129">
        <v>0</v>
      </c>
      <c r="CZ205" s="129">
        <v>-166977</v>
      </c>
      <c r="DA205" s="129">
        <v>-1221</v>
      </c>
      <c r="DB205" s="129">
        <v>0</v>
      </c>
      <c r="DC205" s="129">
        <v>-1221</v>
      </c>
      <c r="DD205" s="129">
        <v>-14076</v>
      </c>
      <c r="DE205" s="129">
        <v>0</v>
      </c>
      <c r="DF205" s="129">
        <v>-14076</v>
      </c>
      <c r="DG205" s="129">
        <v>0</v>
      </c>
      <c r="DH205" s="129">
        <v>0</v>
      </c>
      <c r="DI205" s="129">
        <v>0</v>
      </c>
      <c r="DJ205" s="129">
        <v>-15297</v>
      </c>
      <c r="DK205" s="129">
        <v>0</v>
      </c>
      <c r="DL205" s="129">
        <v>0</v>
      </c>
      <c r="DM205" s="129">
        <v>0</v>
      </c>
      <c r="DN205" s="129">
        <v>-15297</v>
      </c>
      <c r="DO205" s="129">
        <v>0</v>
      </c>
      <c r="DP205" s="129">
        <v>-15297</v>
      </c>
      <c r="DQ205" s="129">
        <v>39385051</v>
      </c>
      <c r="DR205" s="129">
        <v>1886141</v>
      </c>
      <c r="DS205" s="129">
        <v>41271192</v>
      </c>
      <c r="DT205" s="662" t="s">
        <v>818</v>
      </c>
      <c r="DU205" s="324" t="s">
        <v>486</v>
      </c>
      <c r="DV205" s="663" t="s">
        <v>509</v>
      </c>
      <c r="DW205" s="529" t="s">
        <v>1411</v>
      </c>
    </row>
    <row r="206" spans="1:127" ht="12.75" x14ac:dyDescent="0.2">
      <c r="A206" s="664">
        <v>199</v>
      </c>
      <c r="B206" s="665" t="s">
        <v>276</v>
      </c>
      <c r="C206" s="666" t="s">
        <v>1201</v>
      </c>
      <c r="D206" s="667" t="s">
        <v>1228</v>
      </c>
      <c r="E206" s="668" t="s">
        <v>275</v>
      </c>
      <c r="F206" s="753" t="s">
        <v>1890</v>
      </c>
      <c r="G206" s="129">
        <v>80477259</v>
      </c>
      <c r="H206" s="129">
        <v>0</v>
      </c>
      <c r="I206" s="129">
        <v>80477259</v>
      </c>
      <c r="J206" s="793">
        <v>49.9</v>
      </c>
      <c r="K206" s="129">
        <v>40158152</v>
      </c>
      <c r="L206" s="129">
        <v>0</v>
      </c>
      <c r="M206" s="129">
        <v>0</v>
      </c>
      <c r="N206" s="129">
        <v>0</v>
      </c>
      <c r="O206" s="129">
        <v>40158152</v>
      </c>
      <c r="P206" s="129">
        <v>0</v>
      </c>
      <c r="Q206" s="129">
        <v>40158152</v>
      </c>
      <c r="R206" s="129">
        <v>-16229</v>
      </c>
      <c r="S206" s="129">
        <v>0</v>
      </c>
      <c r="T206" s="129">
        <v>-16229</v>
      </c>
      <c r="U206" s="129">
        <v>249613</v>
      </c>
      <c r="V206" s="129">
        <v>0</v>
      </c>
      <c r="W206" s="129">
        <v>249613</v>
      </c>
      <c r="X206" s="129">
        <v>233384</v>
      </c>
      <c r="Y206" s="129">
        <v>0</v>
      </c>
      <c r="Z206" s="129">
        <v>0</v>
      </c>
      <c r="AA206" s="129">
        <v>0</v>
      </c>
      <c r="AB206" s="129">
        <v>233384</v>
      </c>
      <c r="AC206" s="129">
        <v>0</v>
      </c>
      <c r="AD206" s="129">
        <v>233384</v>
      </c>
      <c r="AE206" s="129">
        <v>-233384</v>
      </c>
      <c r="AF206" s="129">
        <v>0</v>
      </c>
      <c r="AG206" s="129">
        <v>-233384</v>
      </c>
      <c r="AH206" s="129">
        <v>-2911577</v>
      </c>
      <c r="AI206" s="129">
        <v>0</v>
      </c>
      <c r="AJ206" s="129">
        <v>-2911577</v>
      </c>
      <c r="AK206" s="129">
        <v>0</v>
      </c>
      <c r="AL206" s="129">
        <v>0</v>
      </c>
      <c r="AM206" s="129">
        <v>0</v>
      </c>
      <c r="AN206" s="129">
        <v>753537</v>
      </c>
      <c r="AO206" s="129">
        <v>0</v>
      </c>
      <c r="AP206" s="129">
        <v>753537</v>
      </c>
      <c r="AQ206" s="129">
        <v>-2158040</v>
      </c>
      <c r="AR206" s="129">
        <v>0</v>
      </c>
      <c r="AS206" s="129">
        <v>-2158040</v>
      </c>
      <c r="AT206" s="129">
        <v>-1461591</v>
      </c>
      <c r="AU206" s="129">
        <v>0</v>
      </c>
      <c r="AV206" s="129">
        <v>-1461591</v>
      </c>
      <c r="AW206" s="129">
        <v>-14715</v>
      </c>
      <c r="AX206" s="129">
        <v>0</v>
      </c>
      <c r="AY206" s="129">
        <v>-14715</v>
      </c>
      <c r="AZ206" s="129">
        <v>-1690</v>
      </c>
      <c r="BA206" s="129">
        <v>0</v>
      </c>
      <c r="BB206" s="129">
        <v>-1690</v>
      </c>
      <c r="BC206" s="129">
        <v>0</v>
      </c>
      <c r="BD206" s="129">
        <v>0</v>
      </c>
      <c r="BE206" s="129">
        <v>0</v>
      </c>
      <c r="BF206" s="129">
        <v>-3636036</v>
      </c>
      <c r="BG206" s="129">
        <v>0</v>
      </c>
      <c r="BH206" s="129">
        <v>0</v>
      </c>
      <c r="BI206" s="129">
        <v>0</v>
      </c>
      <c r="BJ206" s="129">
        <v>-3636036</v>
      </c>
      <c r="BK206" s="129">
        <v>0</v>
      </c>
      <c r="BL206" s="129">
        <v>-3636036</v>
      </c>
      <c r="BM206" s="129">
        <v>0</v>
      </c>
      <c r="BN206" s="129">
        <v>0</v>
      </c>
      <c r="BO206" s="129">
        <v>0</v>
      </c>
      <c r="BP206" s="129">
        <v>-777790</v>
      </c>
      <c r="BQ206" s="129">
        <v>0</v>
      </c>
      <c r="BR206" s="129">
        <v>-777790</v>
      </c>
      <c r="BS206" s="129">
        <v>-777790</v>
      </c>
      <c r="BT206" s="129">
        <v>0</v>
      </c>
      <c r="BU206" s="129">
        <v>-507270</v>
      </c>
      <c r="BV206" s="129">
        <v>0</v>
      </c>
      <c r="BW206" s="129">
        <v>-1285060</v>
      </c>
      <c r="BX206" s="129">
        <v>0</v>
      </c>
      <c r="BY206" s="129">
        <v>-1285060</v>
      </c>
      <c r="BZ206" s="129">
        <v>-32156</v>
      </c>
      <c r="CA206" s="129">
        <v>0</v>
      </c>
      <c r="CB206" s="129">
        <v>-32156</v>
      </c>
      <c r="CC206" s="129">
        <v>-292820</v>
      </c>
      <c r="CD206" s="129">
        <v>0</v>
      </c>
      <c r="CE206" s="129">
        <v>-292820</v>
      </c>
      <c r="CF206" s="129">
        <v>0</v>
      </c>
      <c r="CG206" s="129">
        <v>0</v>
      </c>
      <c r="CH206" s="129">
        <v>0</v>
      </c>
      <c r="CI206" s="129">
        <v>0</v>
      </c>
      <c r="CJ206" s="129">
        <v>0</v>
      </c>
      <c r="CK206" s="129">
        <v>0</v>
      </c>
      <c r="CL206" s="129">
        <v>0</v>
      </c>
      <c r="CM206" s="129">
        <v>0</v>
      </c>
      <c r="CN206" s="129">
        <v>0</v>
      </c>
      <c r="CO206" s="129">
        <v>0</v>
      </c>
      <c r="CP206" s="129">
        <v>0</v>
      </c>
      <c r="CQ206" s="129">
        <v>0</v>
      </c>
      <c r="CR206" s="129">
        <v>0</v>
      </c>
      <c r="CS206" s="129">
        <v>0</v>
      </c>
      <c r="CT206" s="129">
        <v>-324976</v>
      </c>
      <c r="CU206" s="129">
        <v>0</v>
      </c>
      <c r="CV206" s="129">
        <v>0</v>
      </c>
      <c r="CW206" s="129">
        <v>0</v>
      </c>
      <c r="CX206" s="129">
        <v>-324976</v>
      </c>
      <c r="CY206" s="129">
        <v>0</v>
      </c>
      <c r="CZ206" s="129">
        <v>-324976</v>
      </c>
      <c r="DA206" s="129">
        <v>-1690</v>
      </c>
      <c r="DB206" s="129">
        <v>0</v>
      </c>
      <c r="DC206" s="129">
        <v>-1690</v>
      </c>
      <c r="DD206" s="129">
        <v>-3511</v>
      </c>
      <c r="DE206" s="129">
        <v>0</v>
      </c>
      <c r="DF206" s="129">
        <v>-3511</v>
      </c>
      <c r="DG206" s="129">
        <v>-1500</v>
      </c>
      <c r="DH206" s="129">
        <v>0</v>
      </c>
      <c r="DI206" s="129">
        <v>-1500</v>
      </c>
      <c r="DJ206" s="129">
        <v>-6701</v>
      </c>
      <c r="DK206" s="129">
        <v>0</v>
      </c>
      <c r="DL206" s="129">
        <v>0</v>
      </c>
      <c r="DM206" s="129">
        <v>0</v>
      </c>
      <c r="DN206" s="129">
        <v>-6701</v>
      </c>
      <c r="DO206" s="129">
        <v>0</v>
      </c>
      <c r="DP206" s="129">
        <v>-6701</v>
      </c>
      <c r="DQ206" s="129">
        <v>35138764</v>
      </c>
      <c r="DR206" s="129">
        <v>0</v>
      </c>
      <c r="DS206" s="129">
        <v>35138764</v>
      </c>
      <c r="DT206" s="662" t="s">
        <v>275</v>
      </c>
      <c r="DU206" s="324" t="s">
        <v>535</v>
      </c>
      <c r="DV206" s="663" t="s">
        <v>534</v>
      </c>
      <c r="DW206" s="529" t="s">
        <v>1412</v>
      </c>
    </row>
    <row r="207" spans="1:127" ht="12.75" x14ac:dyDescent="0.2">
      <c r="A207" s="664">
        <v>200</v>
      </c>
      <c r="B207" s="665" t="s">
        <v>278</v>
      </c>
      <c r="C207" s="666" t="s">
        <v>1201</v>
      </c>
      <c r="D207" s="667" t="s">
        <v>1202</v>
      </c>
      <c r="E207" s="668" t="s">
        <v>277</v>
      </c>
      <c r="F207" s="753" t="s">
        <v>1879</v>
      </c>
      <c r="G207" s="129">
        <v>132934906</v>
      </c>
      <c r="H207" s="129">
        <v>0</v>
      </c>
      <c r="I207" s="129">
        <v>132934906</v>
      </c>
      <c r="J207" s="793">
        <v>49.9</v>
      </c>
      <c r="K207" s="129">
        <v>66334518</v>
      </c>
      <c r="L207" s="129">
        <v>0</v>
      </c>
      <c r="M207" s="129">
        <v>-625000</v>
      </c>
      <c r="N207" s="129">
        <v>0</v>
      </c>
      <c r="O207" s="129">
        <v>65709518</v>
      </c>
      <c r="P207" s="129">
        <v>0</v>
      </c>
      <c r="Q207" s="129">
        <v>65709518</v>
      </c>
      <c r="R207" s="129">
        <v>-98559</v>
      </c>
      <c r="S207" s="129">
        <v>0</v>
      </c>
      <c r="T207" s="129">
        <v>-98559</v>
      </c>
      <c r="U207" s="129">
        <v>94149</v>
      </c>
      <c r="V207" s="129">
        <v>0</v>
      </c>
      <c r="W207" s="129">
        <v>94149</v>
      </c>
      <c r="X207" s="129">
        <v>-4410</v>
      </c>
      <c r="Y207" s="129">
        <v>0</v>
      </c>
      <c r="Z207" s="129">
        <v>0</v>
      </c>
      <c r="AA207" s="129">
        <v>0</v>
      </c>
      <c r="AB207" s="129">
        <v>-4410</v>
      </c>
      <c r="AC207" s="129">
        <v>0</v>
      </c>
      <c r="AD207" s="129">
        <v>-4410</v>
      </c>
      <c r="AE207" s="129">
        <v>4410</v>
      </c>
      <c r="AF207" s="129">
        <v>0</v>
      </c>
      <c r="AG207" s="129">
        <v>4410</v>
      </c>
      <c r="AH207" s="129">
        <v>-3727702</v>
      </c>
      <c r="AI207" s="129">
        <v>0</v>
      </c>
      <c r="AJ207" s="129">
        <v>-3727702</v>
      </c>
      <c r="AK207" s="129">
        <v>-6188</v>
      </c>
      <c r="AL207" s="129">
        <v>0</v>
      </c>
      <c r="AM207" s="129">
        <v>-6188</v>
      </c>
      <c r="AN207" s="129">
        <v>1285492</v>
      </c>
      <c r="AO207" s="129">
        <v>0</v>
      </c>
      <c r="AP207" s="129">
        <v>1285492</v>
      </c>
      <c r="AQ207" s="129">
        <v>-2442210</v>
      </c>
      <c r="AR207" s="129">
        <v>0</v>
      </c>
      <c r="AS207" s="129">
        <v>-2442210</v>
      </c>
      <c r="AT207" s="129">
        <v>-4299014</v>
      </c>
      <c r="AU207" s="129">
        <v>0</v>
      </c>
      <c r="AV207" s="129">
        <v>-4299014</v>
      </c>
      <c r="AW207" s="129">
        <v>-59546</v>
      </c>
      <c r="AX207" s="129">
        <v>0</v>
      </c>
      <c r="AY207" s="129">
        <v>-59546</v>
      </c>
      <c r="AZ207" s="129">
        <v>0</v>
      </c>
      <c r="BA207" s="129">
        <v>0</v>
      </c>
      <c r="BB207" s="129">
        <v>0</v>
      </c>
      <c r="BC207" s="129">
        <v>0</v>
      </c>
      <c r="BD207" s="129">
        <v>0</v>
      </c>
      <c r="BE207" s="129">
        <v>0</v>
      </c>
      <c r="BF207" s="129">
        <v>-6800770</v>
      </c>
      <c r="BG207" s="129">
        <v>0</v>
      </c>
      <c r="BH207" s="129">
        <v>0</v>
      </c>
      <c r="BI207" s="129">
        <v>0</v>
      </c>
      <c r="BJ207" s="129">
        <v>-6800770</v>
      </c>
      <c r="BK207" s="129">
        <v>0</v>
      </c>
      <c r="BL207" s="129">
        <v>-6800770</v>
      </c>
      <c r="BM207" s="129">
        <v>-100000</v>
      </c>
      <c r="BN207" s="129">
        <v>0</v>
      </c>
      <c r="BO207" s="129">
        <v>-100000</v>
      </c>
      <c r="BP207" s="129">
        <v>-2826115</v>
      </c>
      <c r="BQ207" s="129">
        <v>0</v>
      </c>
      <c r="BR207" s="129">
        <v>-2826115</v>
      </c>
      <c r="BS207" s="129">
        <v>-2926115</v>
      </c>
      <c r="BT207" s="129">
        <v>0</v>
      </c>
      <c r="BU207" s="129">
        <v>0</v>
      </c>
      <c r="BV207" s="129">
        <v>0</v>
      </c>
      <c r="BW207" s="129">
        <v>-2926115</v>
      </c>
      <c r="BX207" s="129">
        <v>0</v>
      </c>
      <c r="BY207" s="129">
        <v>-2926115</v>
      </c>
      <c r="BZ207" s="129">
        <v>-20000</v>
      </c>
      <c r="CA207" s="129">
        <v>0</v>
      </c>
      <c r="CB207" s="129">
        <v>-20000</v>
      </c>
      <c r="CC207" s="129">
        <v>-28000</v>
      </c>
      <c r="CD207" s="129">
        <v>0</v>
      </c>
      <c r="CE207" s="129">
        <v>-28000</v>
      </c>
      <c r="CF207" s="129">
        <v>-200</v>
      </c>
      <c r="CG207" s="129">
        <v>0</v>
      </c>
      <c r="CH207" s="129">
        <v>-200</v>
      </c>
      <c r="CI207" s="129">
        <v>0</v>
      </c>
      <c r="CJ207" s="129">
        <v>0</v>
      </c>
      <c r="CK207" s="129">
        <v>0</v>
      </c>
      <c r="CL207" s="129">
        <v>0</v>
      </c>
      <c r="CM207" s="129">
        <v>0</v>
      </c>
      <c r="CN207" s="129">
        <v>0</v>
      </c>
      <c r="CO207" s="129">
        <v>0</v>
      </c>
      <c r="CP207" s="129">
        <v>0</v>
      </c>
      <c r="CQ207" s="129">
        <v>0</v>
      </c>
      <c r="CR207" s="129">
        <v>0</v>
      </c>
      <c r="CS207" s="129">
        <v>0</v>
      </c>
      <c r="CT207" s="129">
        <v>-48200</v>
      </c>
      <c r="CU207" s="129">
        <v>0</v>
      </c>
      <c r="CV207" s="129">
        <v>0</v>
      </c>
      <c r="CW207" s="129">
        <v>0</v>
      </c>
      <c r="CX207" s="129">
        <v>-48200</v>
      </c>
      <c r="CY207" s="129">
        <v>0</v>
      </c>
      <c r="CZ207" s="129">
        <v>-48200</v>
      </c>
      <c r="DA207" s="129">
        <v>0</v>
      </c>
      <c r="DB207" s="129">
        <v>0</v>
      </c>
      <c r="DC207" s="129">
        <v>0</v>
      </c>
      <c r="DD207" s="129">
        <v>-15498</v>
      </c>
      <c r="DE207" s="129">
        <v>0</v>
      </c>
      <c r="DF207" s="129">
        <v>-15498</v>
      </c>
      <c r="DG207" s="129">
        <v>0</v>
      </c>
      <c r="DH207" s="129">
        <v>0</v>
      </c>
      <c r="DI207" s="129">
        <v>0</v>
      </c>
      <c r="DJ207" s="129">
        <v>-15498</v>
      </c>
      <c r="DK207" s="129">
        <v>0</v>
      </c>
      <c r="DL207" s="129">
        <v>0</v>
      </c>
      <c r="DM207" s="129">
        <v>0</v>
      </c>
      <c r="DN207" s="129">
        <v>-15498</v>
      </c>
      <c r="DO207" s="129">
        <v>0</v>
      </c>
      <c r="DP207" s="129">
        <v>-15498</v>
      </c>
      <c r="DQ207" s="129">
        <v>55914525</v>
      </c>
      <c r="DR207" s="129">
        <v>0</v>
      </c>
      <c r="DS207" s="129">
        <v>55914525</v>
      </c>
      <c r="DT207" s="662" t="s">
        <v>277</v>
      </c>
      <c r="DU207" s="324" t="s">
        <v>566</v>
      </c>
      <c r="DV207" s="663" t="s">
        <v>512</v>
      </c>
      <c r="DW207" s="529" t="s">
        <v>1413</v>
      </c>
    </row>
    <row r="208" spans="1:127" ht="12.75" x14ac:dyDescent="0.2">
      <c r="A208" s="664">
        <v>201</v>
      </c>
      <c r="B208" s="665" t="s">
        <v>280</v>
      </c>
      <c r="C208" s="666" t="s">
        <v>1201</v>
      </c>
      <c r="D208" s="667" t="s">
        <v>1204</v>
      </c>
      <c r="E208" s="668" t="s">
        <v>279</v>
      </c>
      <c r="F208" s="753" t="s">
        <v>1893</v>
      </c>
      <c r="G208" s="129">
        <v>38581730</v>
      </c>
      <c r="H208" s="129">
        <v>4360000</v>
      </c>
      <c r="I208" s="129">
        <v>42941730</v>
      </c>
      <c r="J208" s="793">
        <v>49.9</v>
      </c>
      <c r="K208" s="129">
        <v>19252283</v>
      </c>
      <c r="L208" s="129">
        <v>2175640</v>
      </c>
      <c r="M208" s="129">
        <v>0</v>
      </c>
      <c r="N208" s="129">
        <v>0</v>
      </c>
      <c r="O208" s="129">
        <v>19252283</v>
      </c>
      <c r="P208" s="129">
        <v>2175640</v>
      </c>
      <c r="Q208" s="129">
        <v>21427923</v>
      </c>
      <c r="R208" s="129">
        <v>-62930</v>
      </c>
      <c r="S208" s="129">
        <v>0</v>
      </c>
      <c r="T208" s="129">
        <v>-62930</v>
      </c>
      <c r="U208" s="129">
        <v>4359</v>
      </c>
      <c r="V208" s="129">
        <v>0</v>
      </c>
      <c r="W208" s="129">
        <v>4359</v>
      </c>
      <c r="X208" s="129">
        <v>-58571</v>
      </c>
      <c r="Y208" s="129">
        <v>0</v>
      </c>
      <c r="Z208" s="129">
        <v>0</v>
      </c>
      <c r="AA208" s="129">
        <v>0</v>
      </c>
      <c r="AB208" s="129">
        <v>-58571</v>
      </c>
      <c r="AC208" s="129">
        <v>0</v>
      </c>
      <c r="AD208" s="129">
        <v>-58571</v>
      </c>
      <c r="AE208" s="129">
        <v>58571</v>
      </c>
      <c r="AF208" s="129">
        <v>0</v>
      </c>
      <c r="AG208" s="129">
        <v>58571</v>
      </c>
      <c r="AH208" s="129">
        <v>-3750822</v>
      </c>
      <c r="AI208" s="129">
        <v>0</v>
      </c>
      <c r="AJ208" s="129">
        <v>-3750822</v>
      </c>
      <c r="AK208" s="129">
        <v>-17904</v>
      </c>
      <c r="AL208" s="129">
        <v>0</v>
      </c>
      <c r="AM208" s="129">
        <v>-17904</v>
      </c>
      <c r="AN208" s="129">
        <v>284294</v>
      </c>
      <c r="AO208" s="129">
        <v>56680</v>
      </c>
      <c r="AP208" s="129">
        <v>340974</v>
      </c>
      <c r="AQ208" s="129">
        <v>-3466528</v>
      </c>
      <c r="AR208" s="129">
        <v>56680</v>
      </c>
      <c r="AS208" s="129">
        <v>-3409848</v>
      </c>
      <c r="AT208" s="129">
        <v>-1150585</v>
      </c>
      <c r="AU208" s="129">
        <v>0</v>
      </c>
      <c r="AV208" s="129">
        <v>-1150585</v>
      </c>
      <c r="AW208" s="129">
        <v>-52828</v>
      </c>
      <c r="AX208" s="129">
        <v>0</v>
      </c>
      <c r="AY208" s="129">
        <v>-52828</v>
      </c>
      <c r="AZ208" s="129">
        <v>-21573</v>
      </c>
      <c r="BA208" s="129">
        <v>0</v>
      </c>
      <c r="BB208" s="129">
        <v>-21573</v>
      </c>
      <c r="BC208" s="129">
        <v>0</v>
      </c>
      <c r="BD208" s="129">
        <v>0</v>
      </c>
      <c r="BE208" s="129">
        <v>0</v>
      </c>
      <c r="BF208" s="129">
        <v>-4691514</v>
      </c>
      <c r="BG208" s="129">
        <v>56680</v>
      </c>
      <c r="BH208" s="129">
        <v>0</v>
      </c>
      <c r="BI208" s="129">
        <v>0</v>
      </c>
      <c r="BJ208" s="129">
        <v>-4691514</v>
      </c>
      <c r="BK208" s="129">
        <v>56680</v>
      </c>
      <c r="BL208" s="129">
        <v>-4634834</v>
      </c>
      <c r="BM208" s="129">
        <v>0</v>
      </c>
      <c r="BN208" s="129">
        <v>0</v>
      </c>
      <c r="BO208" s="129">
        <v>0</v>
      </c>
      <c r="BP208" s="129">
        <v>-371827</v>
      </c>
      <c r="BQ208" s="129">
        <v>0</v>
      </c>
      <c r="BR208" s="129">
        <v>-371827</v>
      </c>
      <c r="BS208" s="129">
        <v>-371827</v>
      </c>
      <c r="BT208" s="129">
        <v>0</v>
      </c>
      <c r="BU208" s="129">
        <v>0</v>
      </c>
      <c r="BV208" s="129">
        <v>0</v>
      </c>
      <c r="BW208" s="129">
        <v>-371827</v>
      </c>
      <c r="BX208" s="129">
        <v>0</v>
      </c>
      <c r="BY208" s="129">
        <v>-371827</v>
      </c>
      <c r="BZ208" s="129">
        <v>-34160</v>
      </c>
      <c r="CA208" s="129">
        <v>0</v>
      </c>
      <c r="CB208" s="129">
        <v>-34160</v>
      </c>
      <c r="CC208" s="129">
        <v>-162</v>
      </c>
      <c r="CD208" s="129">
        <v>0</v>
      </c>
      <c r="CE208" s="129">
        <v>-162</v>
      </c>
      <c r="CF208" s="129">
        <v>0</v>
      </c>
      <c r="CG208" s="129">
        <v>0</v>
      </c>
      <c r="CH208" s="129">
        <v>0</v>
      </c>
      <c r="CI208" s="129">
        <v>0</v>
      </c>
      <c r="CJ208" s="129">
        <v>0</v>
      </c>
      <c r="CK208" s="129">
        <v>0</v>
      </c>
      <c r="CL208" s="129">
        <v>-1996</v>
      </c>
      <c r="CM208" s="129">
        <v>0</v>
      </c>
      <c r="CN208" s="129">
        <v>-1996</v>
      </c>
      <c r="CO208" s="129">
        <v>0</v>
      </c>
      <c r="CP208" s="129">
        <v>0</v>
      </c>
      <c r="CQ208" s="129">
        <v>0</v>
      </c>
      <c r="CR208" s="129">
        <v>0</v>
      </c>
      <c r="CS208" s="129">
        <v>0</v>
      </c>
      <c r="CT208" s="129">
        <v>-36318</v>
      </c>
      <c r="CU208" s="129">
        <v>0</v>
      </c>
      <c r="CV208" s="129">
        <v>0</v>
      </c>
      <c r="CW208" s="129">
        <v>0</v>
      </c>
      <c r="CX208" s="129">
        <v>-36318</v>
      </c>
      <c r="CY208" s="129">
        <v>0</v>
      </c>
      <c r="CZ208" s="129">
        <v>-36318</v>
      </c>
      <c r="DA208" s="129">
        <v>-21572</v>
      </c>
      <c r="DB208" s="129">
        <v>0</v>
      </c>
      <c r="DC208" s="129">
        <v>-21572</v>
      </c>
      <c r="DD208" s="129">
        <v>-13801</v>
      </c>
      <c r="DE208" s="129">
        <v>0</v>
      </c>
      <c r="DF208" s="129">
        <v>-13801</v>
      </c>
      <c r="DG208" s="129">
        <v>0</v>
      </c>
      <c r="DH208" s="129">
        <v>0</v>
      </c>
      <c r="DI208" s="129">
        <v>0</v>
      </c>
      <c r="DJ208" s="129">
        <v>-35373</v>
      </c>
      <c r="DK208" s="129">
        <v>0</v>
      </c>
      <c r="DL208" s="129">
        <v>0</v>
      </c>
      <c r="DM208" s="129">
        <v>0</v>
      </c>
      <c r="DN208" s="129">
        <v>-35373</v>
      </c>
      <c r="DO208" s="129">
        <v>0</v>
      </c>
      <c r="DP208" s="129">
        <v>-35373</v>
      </c>
      <c r="DQ208" s="129">
        <v>14058680</v>
      </c>
      <c r="DR208" s="129">
        <v>2232320</v>
      </c>
      <c r="DS208" s="129">
        <v>16291000</v>
      </c>
      <c r="DT208" s="662" t="s">
        <v>279</v>
      </c>
      <c r="DU208" s="324" t="s">
        <v>547</v>
      </c>
      <c r="DV208" s="663" t="s">
        <v>545</v>
      </c>
      <c r="DW208" s="529" t="s">
        <v>1414</v>
      </c>
    </row>
    <row r="209" spans="1:127" ht="12.75" x14ac:dyDescent="0.2">
      <c r="A209" s="664">
        <v>202</v>
      </c>
      <c r="B209" s="665" t="s">
        <v>282</v>
      </c>
      <c r="C209" s="666" t="s">
        <v>1213</v>
      </c>
      <c r="D209" s="667" t="s">
        <v>1214</v>
      </c>
      <c r="E209" s="668" t="s">
        <v>281</v>
      </c>
      <c r="F209" s="753" t="s">
        <v>1893</v>
      </c>
      <c r="G209" s="129">
        <v>220165127</v>
      </c>
      <c r="H209" s="129">
        <v>0</v>
      </c>
      <c r="I209" s="129">
        <v>220165127</v>
      </c>
      <c r="J209" s="793">
        <v>49.9</v>
      </c>
      <c r="K209" s="129">
        <v>109862398</v>
      </c>
      <c r="L209" s="129">
        <v>0</v>
      </c>
      <c r="M209" s="129">
        <v>0</v>
      </c>
      <c r="N209" s="129">
        <v>0</v>
      </c>
      <c r="O209" s="129">
        <v>109862398</v>
      </c>
      <c r="P209" s="129">
        <v>0</v>
      </c>
      <c r="Q209" s="129">
        <v>109862398</v>
      </c>
      <c r="R209" s="129">
        <v>-117450</v>
      </c>
      <c r="S209" s="129">
        <v>0</v>
      </c>
      <c r="T209" s="129">
        <v>-117450</v>
      </c>
      <c r="U209" s="129">
        <v>92313</v>
      </c>
      <c r="V209" s="129">
        <v>0</v>
      </c>
      <c r="W209" s="129">
        <v>92313</v>
      </c>
      <c r="X209" s="129">
        <v>-25137</v>
      </c>
      <c r="Y209" s="129">
        <v>0</v>
      </c>
      <c r="Z209" s="129">
        <v>0</v>
      </c>
      <c r="AA209" s="129">
        <v>0</v>
      </c>
      <c r="AB209" s="129">
        <v>-25137</v>
      </c>
      <c r="AC209" s="129">
        <v>0</v>
      </c>
      <c r="AD209" s="129">
        <v>-25137</v>
      </c>
      <c r="AE209" s="129">
        <v>25137</v>
      </c>
      <c r="AF209" s="129">
        <v>0</v>
      </c>
      <c r="AG209" s="129">
        <v>25137</v>
      </c>
      <c r="AH209" s="129">
        <v>-5413378</v>
      </c>
      <c r="AI209" s="129">
        <v>0</v>
      </c>
      <c r="AJ209" s="129">
        <v>-5413378</v>
      </c>
      <c r="AK209" s="129">
        <v>0</v>
      </c>
      <c r="AL209" s="129">
        <v>0</v>
      </c>
      <c r="AM209" s="129">
        <v>0</v>
      </c>
      <c r="AN209" s="129">
        <v>2070462</v>
      </c>
      <c r="AO209" s="129">
        <v>0</v>
      </c>
      <c r="AP209" s="129">
        <v>2070462</v>
      </c>
      <c r="AQ209" s="129">
        <v>-3342916</v>
      </c>
      <c r="AR209" s="129">
        <v>0</v>
      </c>
      <c r="AS209" s="129">
        <v>-3342916</v>
      </c>
      <c r="AT209" s="129">
        <v>-11425740</v>
      </c>
      <c r="AU209" s="129">
        <v>0</v>
      </c>
      <c r="AV209" s="129">
        <v>-11425740</v>
      </c>
      <c r="AW209" s="129">
        <v>-71223</v>
      </c>
      <c r="AX209" s="129">
        <v>0</v>
      </c>
      <c r="AY209" s="129">
        <v>-71223</v>
      </c>
      <c r="AZ209" s="129">
        <v>0</v>
      </c>
      <c r="BA209" s="129">
        <v>0</v>
      </c>
      <c r="BB209" s="129">
        <v>0</v>
      </c>
      <c r="BC209" s="129">
        <v>0</v>
      </c>
      <c r="BD209" s="129">
        <v>0</v>
      </c>
      <c r="BE209" s="129">
        <v>0</v>
      </c>
      <c r="BF209" s="129">
        <v>-14839879</v>
      </c>
      <c r="BG209" s="129">
        <v>0</v>
      </c>
      <c r="BH209" s="129">
        <v>0</v>
      </c>
      <c r="BI209" s="129">
        <v>0</v>
      </c>
      <c r="BJ209" s="129">
        <v>-14839879</v>
      </c>
      <c r="BK209" s="129">
        <v>0</v>
      </c>
      <c r="BL209" s="129">
        <v>-14839879</v>
      </c>
      <c r="BM209" s="129">
        <v>0</v>
      </c>
      <c r="BN209" s="129">
        <v>0</v>
      </c>
      <c r="BO209" s="129">
        <v>0</v>
      </c>
      <c r="BP209" s="129">
        <v>-1832515</v>
      </c>
      <c r="BQ209" s="129">
        <v>0</v>
      </c>
      <c r="BR209" s="129">
        <v>-1832515</v>
      </c>
      <c r="BS209" s="129">
        <v>-1832515</v>
      </c>
      <c r="BT209" s="129">
        <v>0</v>
      </c>
      <c r="BU209" s="129">
        <v>0</v>
      </c>
      <c r="BV209" s="129">
        <v>0</v>
      </c>
      <c r="BW209" s="129">
        <v>-1832515</v>
      </c>
      <c r="BX209" s="129">
        <v>0</v>
      </c>
      <c r="BY209" s="129">
        <v>-1832515</v>
      </c>
      <c r="BZ209" s="129">
        <v>-125554</v>
      </c>
      <c r="CA209" s="129">
        <v>0</v>
      </c>
      <c r="CB209" s="129">
        <v>-125554</v>
      </c>
      <c r="CC209" s="129">
        <v>-42437</v>
      </c>
      <c r="CD209" s="129">
        <v>0</v>
      </c>
      <c r="CE209" s="129">
        <v>-42437</v>
      </c>
      <c r="CF209" s="129">
        <v>-7544</v>
      </c>
      <c r="CG209" s="129">
        <v>0</v>
      </c>
      <c r="CH209" s="129">
        <v>-7544</v>
      </c>
      <c r="CI209" s="129">
        <v>0</v>
      </c>
      <c r="CJ209" s="129">
        <v>0</v>
      </c>
      <c r="CK209" s="129">
        <v>0</v>
      </c>
      <c r="CL209" s="129">
        <v>0</v>
      </c>
      <c r="CM209" s="129">
        <v>0</v>
      </c>
      <c r="CN209" s="129">
        <v>0</v>
      </c>
      <c r="CO209" s="129">
        <v>0</v>
      </c>
      <c r="CP209" s="129">
        <v>0</v>
      </c>
      <c r="CQ209" s="129">
        <v>0</v>
      </c>
      <c r="CR209" s="129">
        <v>0</v>
      </c>
      <c r="CS209" s="129">
        <v>0</v>
      </c>
      <c r="CT209" s="129">
        <v>-175535</v>
      </c>
      <c r="CU209" s="129">
        <v>0</v>
      </c>
      <c r="CV209" s="129">
        <v>0</v>
      </c>
      <c r="CW209" s="129">
        <v>0</v>
      </c>
      <c r="CX209" s="129">
        <v>-175535</v>
      </c>
      <c r="CY209" s="129">
        <v>0</v>
      </c>
      <c r="CZ209" s="129">
        <v>-175535</v>
      </c>
      <c r="DA209" s="129">
        <v>0</v>
      </c>
      <c r="DB209" s="129">
        <v>0</v>
      </c>
      <c r="DC209" s="129">
        <v>0</v>
      </c>
      <c r="DD209" s="129">
        <v>-1979</v>
      </c>
      <c r="DE209" s="129">
        <v>0</v>
      </c>
      <c r="DF209" s="129">
        <v>-1979</v>
      </c>
      <c r="DG209" s="129">
        <v>0</v>
      </c>
      <c r="DH209" s="129">
        <v>0</v>
      </c>
      <c r="DI209" s="129">
        <v>0</v>
      </c>
      <c r="DJ209" s="129">
        <v>-1979</v>
      </c>
      <c r="DK209" s="129">
        <v>0</v>
      </c>
      <c r="DL209" s="129">
        <v>0</v>
      </c>
      <c r="DM209" s="129">
        <v>0</v>
      </c>
      <c r="DN209" s="129">
        <v>-1979</v>
      </c>
      <c r="DO209" s="129">
        <v>0</v>
      </c>
      <c r="DP209" s="129">
        <v>-1979</v>
      </c>
      <c r="DQ209" s="129">
        <v>92987353</v>
      </c>
      <c r="DR209" s="129">
        <v>0</v>
      </c>
      <c r="DS209" s="129">
        <v>92987353</v>
      </c>
      <c r="DT209" s="662" t="s">
        <v>281</v>
      </c>
      <c r="DU209" s="324" t="s">
        <v>576</v>
      </c>
      <c r="DV209" s="669" t="s">
        <v>485</v>
      </c>
      <c r="DW209" s="529" t="s">
        <v>1415</v>
      </c>
    </row>
    <row r="210" spans="1:127" ht="12.75" x14ac:dyDescent="0.2">
      <c r="A210" s="664">
        <v>203</v>
      </c>
      <c r="B210" s="665" t="s">
        <v>284</v>
      </c>
      <c r="C210" s="666" t="s">
        <v>1201</v>
      </c>
      <c r="D210" s="667" t="s">
        <v>1218</v>
      </c>
      <c r="E210" s="668" t="s">
        <v>283</v>
      </c>
      <c r="F210" s="753" t="s">
        <v>1882</v>
      </c>
      <c r="G210" s="129">
        <v>38480134</v>
      </c>
      <c r="H210" s="129">
        <v>0</v>
      </c>
      <c r="I210" s="129">
        <v>38480134</v>
      </c>
      <c r="J210" s="793">
        <v>49.9</v>
      </c>
      <c r="K210" s="129">
        <v>19201587</v>
      </c>
      <c r="L210" s="129">
        <v>0</v>
      </c>
      <c r="M210" s="129">
        <v>0</v>
      </c>
      <c r="N210" s="129">
        <v>0</v>
      </c>
      <c r="O210" s="129">
        <v>19201587</v>
      </c>
      <c r="P210" s="129">
        <v>0</v>
      </c>
      <c r="Q210" s="129">
        <v>19201587</v>
      </c>
      <c r="R210" s="129">
        <v>-171179</v>
      </c>
      <c r="S210" s="129">
        <v>0</v>
      </c>
      <c r="T210" s="129">
        <v>-171179</v>
      </c>
      <c r="U210" s="129">
        <v>38788</v>
      </c>
      <c r="V210" s="129">
        <v>0</v>
      </c>
      <c r="W210" s="129">
        <v>38788</v>
      </c>
      <c r="X210" s="129">
        <v>-132391</v>
      </c>
      <c r="Y210" s="129">
        <v>0</v>
      </c>
      <c r="Z210" s="129">
        <v>0</v>
      </c>
      <c r="AA210" s="129">
        <v>0</v>
      </c>
      <c r="AB210" s="129">
        <v>-132391</v>
      </c>
      <c r="AC210" s="129">
        <v>0</v>
      </c>
      <c r="AD210" s="129">
        <v>-132391</v>
      </c>
      <c r="AE210" s="129">
        <v>132391</v>
      </c>
      <c r="AF210" s="129">
        <v>0</v>
      </c>
      <c r="AG210" s="129">
        <v>132391</v>
      </c>
      <c r="AH210" s="129">
        <v>-3628099</v>
      </c>
      <c r="AI210" s="129">
        <v>0</v>
      </c>
      <c r="AJ210" s="129">
        <v>-3628099</v>
      </c>
      <c r="AK210" s="129">
        <v>-108148</v>
      </c>
      <c r="AL210" s="129">
        <v>0</v>
      </c>
      <c r="AM210" s="129">
        <v>-108148</v>
      </c>
      <c r="AN210" s="129">
        <v>260521</v>
      </c>
      <c r="AO210" s="129">
        <v>0</v>
      </c>
      <c r="AP210" s="129">
        <v>260521</v>
      </c>
      <c r="AQ210" s="129">
        <v>-3367578</v>
      </c>
      <c r="AR210" s="129">
        <v>0</v>
      </c>
      <c r="AS210" s="129">
        <v>-3367578</v>
      </c>
      <c r="AT210" s="129">
        <v>-947154</v>
      </c>
      <c r="AU210" s="129">
        <v>0</v>
      </c>
      <c r="AV210" s="129">
        <v>-947154</v>
      </c>
      <c r="AW210" s="129">
        <v>-48865</v>
      </c>
      <c r="AX210" s="129">
        <v>0</v>
      </c>
      <c r="AY210" s="129">
        <v>-48865</v>
      </c>
      <c r="AZ210" s="129">
        <v>-41084</v>
      </c>
      <c r="BA210" s="129">
        <v>0</v>
      </c>
      <c r="BB210" s="129">
        <v>-41084</v>
      </c>
      <c r="BC210" s="129">
        <v>-13000</v>
      </c>
      <c r="BD210" s="129">
        <v>0</v>
      </c>
      <c r="BE210" s="129">
        <v>-13000</v>
      </c>
      <c r="BF210" s="129">
        <v>-4417681</v>
      </c>
      <c r="BG210" s="129">
        <v>0</v>
      </c>
      <c r="BH210" s="129">
        <v>0</v>
      </c>
      <c r="BI210" s="129">
        <v>0</v>
      </c>
      <c r="BJ210" s="129">
        <v>-4417681</v>
      </c>
      <c r="BK210" s="129">
        <v>0</v>
      </c>
      <c r="BL210" s="129">
        <v>-4417681</v>
      </c>
      <c r="BM210" s="129">
        <v>0</v>
      </c>
      <c r="BN210" s="129">
        <v>0</v>
      </c>
      <c r="BO210" s="129">
        <v>0</v>
      </c>
      <c r="BP210" s="129">
        <v>-170280</v>
      </c>
      <c r="BQ210" s="129">
        <v>0</v>
      </c>
      <c r="BR210" s="129">
        <v>-170280</v>
      </c>
      <c r="BS210" s="129">
        <v>-170280</v>
      </c>
      <c r="BT210" s="129">
        <v>0</v>
      </c>
      <c r="BU210" s="129">
        <v>-170000</v>
      </c>
      <c r="BV210" s="129">
        <v>0</v>
      </c>
      <c r="BW210" s="129">
        <v>-340280</v>
      </c>
      <c r="BX210" s="129">
        <v>0</v>
      </c>
      <c r="BY210" s="129">
        <v>-340280</v>
      </c>
      <c r="BZ210" s="129">
        <v>-68067</v>
      </c>
      <c r="CA210" s="129">
        <v>0</v>
      </c>
      <c r="CB210" s="129">
        <v>-68067</v>
      </c>
      <c r="CC210" s="129">
        <v>-41084</v>
      </c>
      <c r="CD210" s="129">
        <v>0</v>
      </c>
      <c r="CE210" s="129">
        <v>-41084</v>
      </c>
      <c r="CF210" s="129">
        <v>-1408</v>
      </c>
      <c r="CG210" s="129">
        <v>0</v>
      </c>
      <c r="CH210" s="129">
        <v>-1408</v>
      </c>
      <c r="CI210" s="129">
        <v>-42721</v>
      </c>
      <c r="CJ210" s="129">
        <v>0</v>
      </c>
      <c r="CK210" s="129">
        <v>-42721</v>
      </c>
      <c r="CL210" s="129">
        <v>0</v>
      </c>
      <c r="CM210" s="129">
        <v>0</v>
      </c>
      <c r="CN210" s="129">
        <v>0</v>
      </c>
      <c r="CO210" s="129">
        <v>-74000</v>
      </c>
      <c r="CP210" s="129">
        <v>0</v>
      </c>
      <c r="CQ210" s="129">
        <v>-74000</v>
      </c>
      <c r="CR210" s="129">
        <v>0</v>
      </c>
      <c r="CS210" s="129">
        <v>0</v>
      </c>
      <c r="CT210" s="129">
        <v>-227280</v>
      </c>
      <c r="CU210" s="129">
        <v>0</v>
      </c>
      <c r="CV210" s="129">
        <v>0</v>
      </c>
      <c r="CW210" s="129">
        <v>0</v>
      </c>
      <c r="CX210" s="129">
        <v>-227280</v>
      </c>
      <c r="CY210" s="129">
        <v>0</v>
      </c>
      <c r="CZ210" s="129">
        <v>-227280</v>
      </c>
      <c r="DA210" s="129">
        <v>-41084</v>
      </c>
      <c r="DB210" s="129">
        <v>0</v>
      </c>
      <c r="DC210" s="129">
        <v>-41084</v>
      </c>
      <c r="DD210" s="129">
        <v>-29945</v>
      </c>
      <c r="DE210" s="129">
        <v>0</v>
      </c>
      <c r="DF210" s="129">
        <v>-29945</v>
      </c>
      <c r="DG210" s="129">
        <v>0</v>
      </c>
      <c r="DH210" s="129">
        <v>0</v>
      </c>
      <c r="DI210" s="129">
        <v>0</v>
      </c>
      <c r="DJ210" s="129">
        <v>-71029</v>
      </c>
      <c r="DK210" s="129">
        <v>0</v>
      </c>
      <c r="DL210" s="129">
        <v>0</v>
      </c>
      <c r="DM210" s="129">
        <v>0</v>
      </c>
      <c r="DN210" s="129">
        <v>-71029</v>
      </c>
      <c r="DO210" s="129">
        <v>0</v>
      </c>
      <c r="DP210" s="129">
        <v>-71029</v>
      </c>
      <c r="DQ210" s="129">
        <v>14012926</v>
      </c>
      <c r="DR210" s="129">
        <v>0</v>
      </c>
      <c r="DS210" s="129">
        <v>14012926</v>
      </c>
      <c r="DT210" s="662" t="s">
        <v>283</v>
      </c>
      <c r="DU210" s="324" t="s">
        <v>556</v>
      </c>
      <c r="DV210" s="663" t="s">
        <v>555</v>
      </c>
      <c r="DW210" s="529" t="s">
        <v>1416</v>
      </c>
    </row>
    <row r="211" spans="1:127" ht="12.75" x14ac:dyDescent="0.2">
      <c r="A211" s="664">
        <v>204</v>
      </c>
      <c r="B211" s="665" t="s">
        <v>286</v>
      </c>
      <c r="C211" s="666" t="s">
        <v>1217</v>
      </c>
      <c r="D211" s="667" t="s">
        <v>1204</v>
      </c>
      <c r="E211" s="668" t="s">
        <v>285</v>
      </c>
      <c r="F211" s="753" t="s">
        <v>1873</v>
      </c>
      <c r="G211" s="129">
        <v>171251840</v>
      </c>
      <c r="H211" s="129">
        <v>0</v>
      </c>
      <c r="I211" s="129">
        <v>171251840</v>
      </c>
      <c r="J211" s="793">
        <v>49.9</v>
      </c>
      <c r="K211" s="129">
        <v>85454668</v>
      </c>
      <c r="L211" s="129">
        <v>0</v>
      </c>
      <c r="M211" s="129">
        <v>1408781</v>
      </c>
      <c r="N211" s="129">
        <v>0</v>
      </c>
      <c r="O211" s="129">
        <v>86863449</v>
      </c>
      <c r="P211" s="129">
        <v>0</v>
      </c>
      <c r="Q211" s="129">
        <v>86863449</v>
      </c>
      <c r="R211" s="129">
        <v>-112404</v>
      </c>
      <c r="S211" s="129">
        <v>0</v>
      </c>
      <c r="T211" s="129">
        <v>-112404</v>
      </c>
      <c r="U211" s="129">
        <v>193358</v>
      </c>
      <c r="V211" s="129">
        <v>0</v>
      </c>
      <c r="W211" s="129">
        <v>193358</v>
      </c>
      <c r="X211" s="129">
        <v>80954</v>
      </c>
      <c r="Y211" s="129">
        <v>0</v>
      </c>
      <c r="Z211" s="129">
        <v>0</v>
      </c>
      <c r="AA211" s="129">
        <v>0</v>
      </c>
      <c r="AB211" s="129">
        <v>80954</v>
      </c>
      <c r="AC211" s="129">
        <v>0</v>
      </c>
      <c r="AD211" s="129">
        <v>80954</v>
      </c>
      <c r="AE211" s="129">
        <v>-80954</v>
      </c>
      <c r="AF211" s="129">
        <v>0</v>
      </c>
      <c r="AG211" s="129">
        <v>-80954</v>
      </c>
      <c r="AH211" s="129">
        <v>-9584707</v>
      </c>
      <c r="AI211" s="129">
        <v>0</v>
      </c>
      <c r="AJ211" s="129">
        <v>-9584707</v>
      </c>
      <c r="AK211" s="129">
        <v>0</v>
      </c>
      <c r="AL211" s="129">
        <v>0</v>
      </c>
      <c r="AM211" s="129">
        <v>0</v>
      </c>
      <c r="AN211" s="129">
        <v>1612242</v>
      </c>
      <c r="AO211" s="129">
        <v>0</v>
      </c>
      <c r="AP211" s="129">
        <v>1612242</v>
      </c>
      <c r="AQ211" s="129">
        <v>-7972465</v>
      </c>
      <c r="AR211" s="129">
        <v>0</v>
      </c>
      <c r="AS211" s="129">
        <v>-7972465</v>
      </c>
      <c r="AT211" s="129">
        <v>-4167784</v>
      </c>
      <c r="AU211" s="129">
        <v>0</v>
      </c>
      <c r="AV211" s="129">
        <v>-4167784</v>
      </c>
      <c r="AW211" s="129">
        <v>-61624</v>
      </c>
      <c r="AX211" s="129">
        <v>0</v>
      </c>
      <c r="AY211" s="129">
        <v>-61624</v>
      </c>
      <c r="AZ211" s="129">
        <v>0</v>
      </c>
      <c r="BA211" s="129">
        <v>0</v>
      </c>
      <c r="BB211" s="129">
        <v>0</v>
      </c>
      <c r="BC211" s="129">
        <v>0</v>
      </c>
      <c r="BD211" s="129">
        <v>0</v>
      </c>
      <c r="BE211" s="129">
        <v>0</v>
      </c>
      <c r="BF211" s="129">
        <v>-12201873</v>
      </c>
      <c r="BG211" s="129">
        <v>0</v>
      </c>
      <c r="BH211" s="129">
        <v>-137200</v>
      </c>
      <c r="BI211" s="129">
        <v>0</v>
      </c>
      <c r="BJ211" s="129">
        <v>-12339073</v>
      </c>
      <c r="BK211" s="129">
        <v>0</v>
      </c>
      <c r="BL211" s="129">
        <v>-12339073</v>
      </c>
      <c r="BM211" s="129">
        <v>0</v>
      </c>
      <c r="BN211" s="129">
        <v>0</v>
      </c>
      <c r="BO211" s="129">
        <v>0</v>
      </c>
      <c r="BP211" s="129">
        <v>-4500000</v>
      </c>
      <c r="BQ211" s="129">
        <v>0</v>
      </c>
      <c r="BR211" s="129">
        <v>-4500000</v>
      </c>
      <c r="BS211" s="129">
        <v>-4500000</v>
      </c>
      <c r="BT211" s="129">
        <v>0</v>
      </c>
      <c r="BU211" s="129">
        <v>0</v>
      </c>
      <c r="BV211" s="129">
        <v>0</v>
      </c>
      <c r="BW211" s="129">
        <v>-4500000</v>
      </c>
      <c r="BX211" s="129">
        <v>0</v>
      </c>
      <c r="BY211" s="129">
        <v>-4500000</v>
      </c>
      <c r="BZ211" s="129">
        <v>-49618</v>
      </c>
      <c r="CA211" s="129">
        <v>0</v>
      </c>
      <c r="CB211" s="129">
        <v>-49618</v>
      </c>
      <c r="CC211" s="129">
        <v>-23298</v>
      </c>
      <c r="CD211" s="129">
        <v>0</v>
      </c>
      <c r="CE211" s="129">
        <v>-23298</v>
      </c>
      <c r="CF211" s="129">
        <v>-3855</v>
      </c>
      <c r="CG211" s="129">
        <v>0</v>
      </c>
      <c r="CH211" s="129">
        <v>-3855</v>
      </c>
      <c r="CI211" s="129">
        <v>0</v>
      </c>
      <c r="CJ211" s="129">
        <v>0</v>
      </c>
      <c r="CK211" s="129">
        <v>0</v>
      </c>
      <c r="CL211" s="129">
        <v>0</v>
      </c>
      <c r="CM211" s="129">
        <v>0</v>
      </c>
      <c r="CN211" s="129">
        <v>0</v>
      </c>
      <c r="CO211" s="129">
        <v>-500000</v>
      </c>
      <c r="CP211" s="129">
        <v>0</v>
      </c>
      <c r="CQ211" s="129">
        <v>-500000</v>
      </c>
      <c r="CR211" s="129">
        <v>0</v>
      </c>
      <c r="CS211" s="129">
        <v>0</v>
      </c>
      <c r="CT211" s="129">
        <v>-576771</v>
      </c>
      <c r="CU211" s="129">
        <v>0</v>
      </c>
      <c r="CV211" s="129">
        <v>0</v>
      </c>
      <c r="CW211" s="129">
        <v>0</v>
      </c>
      <c r="CX211" s="129">
        <v>-576771</v>
      </c>
      <c r="CY211" s="129">
        <v>0</v>
      </c>
      <c r="CZ211" s="129">
        <v>-576771</v>
      </c>
      <c r="DA211" s="129">
        <v>0</v>
      </c>
      <c r="DB211" s="129">
        <v>0</v>
      </c>
      <c r="DC211" s="129">
        <v>0</v>
      </c>
      <c r="DD211" s="129">
        <v>-31668</v>
      </c>
      <c r="DE211" s="129">
        <v>0</v>
      </c>
      <c r="DF211" s="129">
        <v>-31668</v>
      </c>
      <c r="DG211" s="129">
        <v>0</v>
      </c>
      <c r="DH211" s="129">
        <v>0</v>
      </c>
      <c r="DI211" s="129">
        <v>0</v>
      </c>
      <c r="DJ211" s="129">
        <v>-31668</v>
      </c>
      <c r="DK211" s="129">
        <v>0</v>
      </c>
      <c r="DL211" s="129">
        <v>0</v>
      </c>
      <c r="DM211" s="129">
        <v>0</v>
      </c>
      <c r="DN211" s="129">
        <v>-31668</v>
      </c>
      <c r="DO211" s="129">
        <v>0</v>
      </c>
      <c r="DP211" s="129">
        <v>-31668</v>
      </c>
      <c r="DQ211" s="129">
        <v>69496891</v>
      </c>
      <c r="DR211" s="129">
        <v>0</v>
      </c>
      <c r="DS211" s="129">
        <v>69496891</v>
      </c>
      <c r="DT211" s="662" t="s">
        <v>285</v>
      </c>
      <c r="DU211" s="324" t="s">
        <v>570</v>
      </c>
      <c r="DV211" s="663" t="s">
        <v>1915</v>
      </c>
      <c r="DW211" s="529" t="s">
        <v>1417</v>
      </c>
    </row>
    <row r="212" spans="1:127" ht="12.75" x14ac:dyDescent="0.2">
      <c r="A212" s="664">
        <v>205</v>
      </c>
      <c r="B212" s="665" t="s">
        <v>288</v>
      </c>
      <c r="C212" s="666" t="s">
        <v>1201</v>
      </c>
      <c r="D212" s="667" t="s">
        <v>1211</v>
      </c>
      <c r="E212" s="668" t="s">
        <v>287</v>
      </c>
      <c r="F212" s="753"/>
      <c r="G212" s="129">
        <v>46508426</v>
      </c>
      <c r="H212" s="129">
        <v>0</v>
      </c>
      <c r="I212" s="129">
        <v>46508426</v>
      </c>
      <c r="J212" s="793">
        <v>49.9</v>
      </c>
      <c r="K212" s="129">
        <v>23207705</v>
      </c>
      <c r="L212" s="129">
        <v>0</v>
      </c>
      <c r="M212" s="129">
        <v>0</v>
      </c>
      <c r="N212" s="129">
        <v>0</v>
      </c>
      <c r="O212" s="129">
        <v>23207705</v>
      </c>
      <c r="P212" s="129">
        <v>0</v>
      </c>
      <c r="Q212" s="129">
        <v>23207705</v>
      </c>
      <c r="R212" s="129">
        <v>-34199</v>
      </c>
      <c r="S212" s="129">
        <v>0</v>
      </c>
      <c r="T212" s="129">
        <v>-34199</v>
      </c>
      <c r="U212" s="129">
        <v>3891</v>
      </c>
      <c r="V212" s="129">
        <v>0</v>
      </c>
      <c r="W212" s="129">
        <v>3891</v>
      </c>
      <c r="X212" s="129">
        <v>-30308</v>
      </c>
      <c r="Y212" s="129">
        <v>0</v>
      </c>
      <c r="Z212" s="129">
        <v>0</v>
      </c>
      <c r="AA212" s="129">
        <v>0</v>
      </c>
      <c r="AB212" s="129">
        <v>-30308</v>
      </c>
      <c r="AC212" s="129">
        <v>0</v>
      </c>
      <c r="AD212" s="129">
        <v>-30308</v>
      </c>
      <c r="AE212" s="129">
        <v>30308</v>
      </c>
      <c r="AF212" s="129">
        <v>0</v>
      </c>
      <c r="AG212" s="129">
        <v>30308</v>
      </c>
      <c r="AH212" s="129">
        <v>-3808795</v>
      </c>
      <c r="AI212" s="129">
        <v>0</v>
      </c>
      <c r="AJ212" s="129">
        <v>-3808795</v>
      </c>
      <c r="AK212" s="129">
        <v>-7069</v>
      </c>
      <c r="AL212" s="129">
        <v>0</v>
      </c>
      <c r="AM212" s="129">
        <v>-7069</v>
      </c>
      <c r="AN212" s="129">
        <v>328744</v>
      </c>
      <c r="AO212" s="129">
        <v>0</v>
      </c>
      <c r="AP212" s="129">
        <v>328744</v>
      </c>
      <c r="AQ212" s="129">
        <v>-3480051</v>
      </c>
      <c r="AR212" s="129">
        <v>0</v>
      </c>
      <c r="AS212" s="129">
        <v>-3480051</v>
      </c>
      <c r="AT212" s="129">
        <v>-1613645</v>
      </c>
      <c r="AU212" s="129">
        <v>0</v>
      </c>
      <c r="AV212" s="129">
        <v>-1613645</v>
      </c>
      <c r="AW212" s="129">
        <v>-7066</v>
      </c>
      <c r="AX212" s="129">
        <v>0</v>
      </c>
      <c r="AY212" s="129">
        <v>-7066</v>
      </c>
      <c r="AZ212" s="129">
        <v>0</v>
      </c>
      <c r="BA212" s="129">
        <v>0</v>
      </c>
      <c r="BB212" s="129">
        <v>0</v>
      </c>
      <c r="BC212" s="129">
        <v>0</v>
      </c>
      <c r="BD212" s="129">
        <v>0</v>
      </c>
      <c r="BE212" s="129">
        <v>0</v>
      </c>
      <c r="BF212" s="129">
        <v>-5100762</v>
      </c>
      <c r="BG212" s="129">
        <v>0</v>
      </c>
      <c r="BH212" s="129">
        <v>0</v>
      </c>
      <c r="BI212" s="129">
        <v>0</v>
      </c>
      <c r="BJ212" s="129">
        <v>-5100762</v>
      </c>
      <c r="BK212" s="129">
        <v>0</v>
      </c>
      <c r="BL212" s="129">
        <v>-5100762</v>
      </c>
      <c r="BM212" s="129">
        <v>0</v>
      </c>
      <c r="BN212" s="129">
        <v>0</v>
      </c>
      <c r="BO212" s="129">
        <v>0</v>
      </c>
      <c r="BP212" s="129">
        <v>-404629</v>
      </c>
      <c r="BQ212" s="129">
        <v>0</v>
      </c>
      <c r="BR212" s="129">
        <v>-404629</v>
      </c>
      <c r="BS212" s="129">
        <v>-404629</v>
      </c>
      <c r="BT212" s="129">
        <v>0</v>
      </c>
      <c r="BU212" s="129">
        <v>0</v>
      </c>
      <c r="BV212" s="129">
        <v>0</v>
      </c>
      <c r="BW212" s="129">
        <v>-404629</v>
      </c>
      <c r="BX212" s="129">
        <v>0</v>
      </c>
      <c r="BY212" s="129">
        <v>-404629</v>
      </c>
      <c r="BZ212" s="129">
        <v>-6442</v>
      </c>
      <c r="CA212" s="129">
        <v>0</v>
      </c>
      <c r="CB212" s="129">
        <v>-6442</v>
      </c>
      <c r="CC212" s="129">
        <v>0</v>
      </c>
      <c r="CD212" s="129">
        <v>0</v>
      </c>
      <c r="CE212" s="129">
        <v>0</v>
      </c>
      <c r="CF212" s="129">
        <v>0</v>
      </c>
      <c r="CG212" s="129">
        <v>0</v>
      </c>
      <c r="CH212" s="129">
        <v>0</v>
      </c>
      <c r="CI212" s="129">
        <v>0</v>
      </c>
      <c r="CJ212" s="129">
        <v>0</v>
      </c>
      <c r="CK212" s="129">
        <v>0</v>
      </c>
      <c r="CL212" s="129">
        <v>0</v>
      </c>
      <c r="CM212" s="129">
        <v>0</v>
      </c>
      <c r="CN212" s="129">
        <v>0</v>
      </c>
      <c r="CO212" s="129">
        <v>0</v>
      </c>
      <c r="CP212" s="129">
        <v>0</v>
      </c>
      <c r="CQ212" s="129">
        <v>0</v>
      </c>
      <c r="CR212" s="129">
        <v>0</v>
      </c>
      <c r="CS212" s="129">
        <v>0</v>
      </c>
      <c r="CT212" s="129">
        <v>-6442</v>
      </c>
      <c r="CU212" s="129">
        <v>0</v>
      </c>
      <c r="CV212" s="129">
        <v>0</v>
      </c>
      <c r="CW212" s="129">
        <v>0</v>
      </c>
      <c r="CX212" s="129">
        <v>-6442</v>
      </c>
      <c r="CY212" s="129">
        <v>0</v>
      </c>
      <c r="CZ212" s="129">
        <v>-6442</v>
      </c>
      <c r="DA212" s="129">
        <v>0</v>
      </c>
      <c r="DB212" s="129">
        <v>0</v>
      </c>
      <c r="DC212" s="129">
        <v>0</v>
      </c>
      <c r="DD212" s="129">
        <v>-3577</v>
      </c>
      <c r="DE212" s="129">
        <v>0</v>
      </c>
      <c r="DF212" s="129">
        <v>-3577</v>
      </c>
      <c r="DG212" s="129">
        <v>0</v>
      </c>
      <c r="DH212" s="129">
        <v>0</v>
      </c>
      <c r="DI212" s="129">
        <v>0</v>
      </c>
      <c r="DJ212" s="129">
        <v>-3577</v>
      </c>
      <c r="DK212" s="129">
        <v>0</v>
      </c>
      <c r="DL212" s="129">
        <v>0</v>
      </c>
      <c r="DM212" s="129">
        <v>0</v>
      </c>
      <c r="DN212" s="129">
        <v>-3577</v>
      </c>
      <c r="DO212" s="129">
        <v>0</v>
      </c>
      <c r="DP212" s="129">
        <v>-3577</v>
      </c>
      <c r="DQ212" s="129">
        <v>17661987</v>
      </c>
      <c r="DR212" s="129">
        <v>0</v>
      </c>
      <c r="DS212" s="129">
        <v>17661987</v>
      </c>
      <c r="DT212" s="662" t="s">
        <v>287</v>
      </c>
      <c r="DU212" s="324" t="s">
        <v>528</v>
      </c>
      <c r="DV212" s="663" t="s">
        <v>1913</v>
      </c>
      <c r="DW212" s="529" t="s">
        <v>1418</v>
      </c>
    </row>
    <row r="213" spans="1:127" ht="12.75" x14ac:dyDescent="0.2">
      <c r="A213" s="664">
        <v>206</v>
      </c>
      <c r="B213" s="665" t="s">
        <v>290</v>
      </c>
      <c r="C213" s="666" t="s">
        <v>1201</v>
      </c>
      <c r="D213" s="667" t="s">
        <v>1204</v>
      </c>
      <c r="E213" s="668" t="s">
        <v>289</v>
      </c>
      <c r="F213" s="753" t="s">
        <v>1895</v>
      </c>
      <c r="G213" s="129">
        <v>36037321</v>
      </c>
      <c r="H213" s="129">
        <v>0</v>
      </c>
      <c r="I213" s="129">
        <v>36037321</v>
      </c>
      <c r="J213" s="793">
        <v>49.9</v>
      </c>
      <c r="K213" s="129">
        <v>17982623</v>
      </c>
      <c r="L213" s="129">
        <v>0</v>
      </c>
      <c r="M213" s="129">
        <v>0</v>
      </c>
      <c r="N213" s="129">
        <v>0</v>
      </c>
      <c r="O213" s="129">
        <v>17982623</v>
      </c>
      <c r="P213" s="129">
        <v>0</v>
      </c>
      <c r="Q213" s="129">
        <v>17982623</v>
      </c>
      <c r="R213" s="129">
        <v>-48922</v>
      </c>
      <c r="S213" s="129">
        <v>0</v>
      </c>
      <c r="T213" s="129">
        <v>-48922</v>
      </c>
      <c r="U213" s="129">
        <v>43538</v>
      </c>
      <c r="V213" s="129">
        <v>0</v>
      </c>
      <c r="W213" s="129">
        <v>43538</v>
      </c>
      <c r="X213" s="129">
        <v>-5384</v>
      </c>
      <c r="Y213" s="129">
        <v>0</v>
      </c>
      <c r="Z213" s="129">
        <v>0</v>
      </c>
      <c r="AA213" s="129">
        <v>0</v>
      </c>
      <c r="AB213" s="129">
        <v>-5384</v>
      </c>
      <c r="AC213" s="129">
        <v>0</v>
      </c>
      <c r="AD213" s="129">
        <v>-5384</v>
      </c>
      <c r="AE213" s="129">
        <v>5384</v>
      </c>
      <c r="AF213" s="129">
        <v>0</v>
      </c>
      <c r="AG213" s="129">
        <v>5384</v>
      </c>
      <c r="AH213" s="129">
        <v>-3542659</v>
      </c>
      <c r="AI213" s="129">
        <v>0</v>
      </c>
      <c r="AJ213" s="129">
        <v>-3542659</v>
      </c>
      <c r="AK213" s="129">
        <v>-1821</v>
      </c>
      <c r="AL213" s="129">
        <v>0</v>
      </c>
      <c r="AM213" s="129">
        <v>-1821</v>
      </c>
      <c r="AN213" s="129">
        <v>258416</v>
      </c>
      <c r="AO213" s="129">
        <v>0</v>
      </c>
      <c r="AP213" s="129">
        <v>258416</v>
      </c>
      <c r="AQ213" s="129">
        <v>-3284243</v>
      </c>
      <c r="AR213" s="129">
        <v>0</v>
      </c>
      <c r="AS213" s="129">
        <v>-3284243</v>
      </c>
      <c r="AT213" s="129">
        <v>-645523</v>
      </c>
      <c r="AU213" s="129">
        <v>0</v>
      </c>
      <c r="AV213" s="129">
        <v>-645523</v>
      </c>
      <c r="AW213" s="129">
        <v>-48892</v>
      </c>
      <c r="AX213" s="129">
        <v>0</v>
      </c>
      <c r="AY213" s="129">
        <v>-48892</v>
      </c>
      <c r="AZ213" s="129">
        <v>-1050</v>
      </c>
      <c r="BA213" s="129">
        <v>0</v>
      </c>
      <c r="BB213" s="129">
        <v>-1050</v>
      </c>
      <c r="BC213" s="129">
        <v>0</v>
      </c>
      <c r="BD213" s="129">
        <v>0</v>
      </c>
      <c r="BE213" s="129">
        <v>0</v>
      </c>
      <c r="BF213" s="129">
        <v>-3979708</v>
      </c>
      <c r="BG213" s="129">
        <v>0</v>
      </c>
      <c r="BH213" s="129">
        <v>0</v>
      </c>
      <c r="BI213" s="129">
        <v>0</v>
      </c>
      <c r="BJ213" s="129">
        <v>-3979708</v>
      </c>
      <c r="BK213" s="129">
        <v>0</v>
      </c>
      <c r="BL213" s="129">
        <v>-3979708</v>
      </c>
      <c r="BM213" s="129">
        <v>0</v>
      </c>
      <c r="BN213" s="129">
        <v>0</v>
      </c>
      <c r="BO213" s="129">
        <v>0</v>
      </c>
      <c r="BP213" s="129">
        <v>-593350</v>
      </c>
      <c r="BQ213" s="129">
        <v>0</v>
      </c>
      <c r="BR213" s="129">
        <v>-593350</v>
      </c>
      <c r="BS213" s="129">
        <v>-593350</v>
      </c>
      <c r="BT213" s="129">
        <v>0</v>
      </c>
      <c r="BU213" s="129">
        <v>0</v>
      </c>
      <c r="BV213" s="129">
        <v>0</v>
      </c>
      <c r="BW213" s="129">
        <v>-593350</v>
      </c>
      <c r="BX213" s="129">
        <v>0</v>
      </c>
      <c r="BY213" s="129">
        <v>-593350</v>
      </c>
      <c r="BZ213" s="129">
        <v>-61325</v>
      </c>
      <c r="CA213" s="129">
        <v>0</v>
      </c>
      <c r="CB213" s="129">
        <v>-61325</v>
      </c>
      <c r="CC213" s="129">
        <v>-8608</v>
      </c>
      <c r="CD213" s="129">
        <v>0</v>
      </c>
      <c r="CE213" s="129">
        <v>-8608</v>
      </c>
      <c r="CF213" s="129">
        <v>-2826</v>
      </c>
      <c r="CG213" s="129">
        <v>0</v>
      </c>
      <c r="CH213" s="129">
        <v>-2826</v>
      </c>
      <c r="CI213" s="129">
        <v>-1050</v>
      </c>
      <c r="CJ213" s="129">
        <v>0</v>
      </c>
      <c r="CK213" s="129">
        <v>-1050</v>
      </c>
      <c r="CL213" s="129">
        <v>0</v>
      </c>
      <c r="CM213" s="129">
        <v>0</v>
      </c>
      <c r="CN213" s="129">
        <v>0</v>
      </c>
      <c r="CO213" s="129">
        <v>0</v>
      </c>
      <c r="CP213" s="129">
        <v>0</v>
      </c>
      <c r="CQ213" s="129">
        <v>0</v>
      </c>
      <c r="CR213" s="129">
        <v>0</v>
      </c>
      <c r="CS213" s="129">
        <v>0</v>
      </c>
      <c r="CT213" s="129">
        <v>-73809</v>
      </c>
      <c r="CU213" s="129">
        <v>0</v>
      </c>
      <c r="CV213" s="129">
        <v>0</v>
      </c>
      <c r="CW213" s="129">
        <v>0</v>
      </c>
      <c r="CX213" s="129">
        <v>-73809</v>
      </c>
      <c r="CY213" s="129">
        <v>0</v>
      </c>
      <c r="CZ213" s="129">
        <v>-73809</v>
      </c>
      <c r="DA213" s="129">
        <v>0</v>
      </c>
      <c r="DB213" s="129">
        <v>0</v>
      </c>
      <c r="DC213" s="129">
        <v>0</v>
      </c>
      <c r="DD213" s="129">
        <v>-5466</v>
      </c>
      <c r="DE213" s="129">
        <v>0</v>
      </c>
      <c r="DF213" s="129">
        <v>-5466</v>
      </c>
      <c r="DG213" s="129">
        <v>0</v>
      </c>
      <c r="DH213" s="129">
        <v>0</v>
      </c>
      <c r="DI213" s="129">
        <v>0</v>
      </c>
      <c r="DJ213" s="129">
        <v>-5466</v>
      </c>
      <c r="DK213" s="129">
        <v>0</v>
      </c>
      <c r="DL213" s="129">
        <v>0</v>
      </c>
      <c r="DM213" s="129">
        <v>0</v>
      </c>
      <c r="DN213" s="129">
        <v>-5466</v>
      </c>
      <c r="DO213" s="129">
        <v>0</v>
      </c>
      <c r="DP213" s="129">
        <v>-5466</v>
      </c>
      <c r="DQ213" s="129">
        <v>13324906</v>
      </c>
      <c r="DR213" s="129">
        <v>0</v>
      </c>
      <c r="DS213" s="129">
        <v>13324906</v>
      </c>
      <c r="DT213" s="662" t="s">
        <v>289</v>
      </c>
      <c r="DU213" s="324" t="s">
        <v>547</v>
      </c>
      <c r="DV213" s="663" t="s">
        <v>545</v>
      </c>
      <c r="DW213" s="529" t="s">
        <v>1419</v>
      </c>
    </row>
    <row r="214" spans="1:127" ht="12.75" x14ac:dyDescent="0.2">
      <c r="A214" s="664">
        <v>207</v>
      </c>
      <c r="B214" s="665" t="s">
        <v>292</v>
      </c>
      <c r="C214" s="666" t="s">
        <v>1201</v>
      </c>
      <c r="D214" s="667" t="s">
        <v>1202</v>
      </c>
      <c r="E214" s="668" t="s">
        <v>291</v>
      </c>
      <c r="F214" s="753" t="s">
        <v>1875</v>
      </c>
      <c r="G214" s="129">
        <v>56304958</v>
      </c>
      <c r="H214" s="129">
        <v>0</v>
      </c>
      <c r="I214" s="129">
        <v>56304958</v>
      </c>
      <c r="J214" s="793">
        <v>49.9</v>
      </c>
      <c r="K214" s="129">
        <v>28096174</v>
      </c>
      <c r="L214" s="129">
        <v>0</v>
      </c>
      <c r="M214" s="129">
        <v>0</v>
      </c>
      <c r="N214" s="129">
        <v>0</v>
      </c>
      <c r="O214" s="129">
        <v>28096174</v>
      </c>
      <c r="P214" s="129">
        <v>0</v>
      </c>
      <c r="Q214" s="129">
        <v>28096174</v>
      </c>
      <c r="R214" s="129">
        <v>-157237</v>
      </c>
      <c r="S214" s="129">
        <v>0</v>
      </c>
      <c r="T214" s="129">
        <v>-157237</v>
      </c>
      <c r="U214" s="129">
        <v>63958</v>
      </c>
      <c r="V214" s="129">
        <v>0</v>
      </c>
      <c r="W214" s="129">
        <v>63958</v>
      </c>
      <c r="X214" s="129">
        <v>-93279</v>
      </c>
      <c r="Y214" s="129">
        <v>0</v>
      </c>
      <c r="Z214" s="129">
        <v>0</v>
      </c>
      <c r="AA214" s="129">
        <v>0</v>
      </c>
      <c r="AB214" s="129">
        <v>-93279</v>
      </c>
      <c r="AC214" s="129">
        <v>0</v>
      </c>
      <c r="AD214" s="129">
        <v>-93279</v>
      </c>
      <c r="AE214" s="129">
        <v>93279</v>
      </c>
      <c r="AF214" s="129">
        <v>0</v>
      </c>
      <c r="AG214" s="129">
        <v>93279</v>
      </c>
      <c r="AH214" s="129">
        <v>-5272419</v>
      </c>
      <c r="AI214" s="129">
        <v>0</v>
      </c>
      <c r="AJ214" s="129">
        <v>-5272419</v>
      </c>
      <c r="AK214" s="129">
        <v>0</v>
      </c>
      <c r="AL214" s="129">
        <v>0</v>
      </c>
      <c r="AM214" s="129">
        <v>0</v>
      </c>
      <c r="AN214" s="129">
        <v>389571</v>
      </c>
      <c r="AO214" s="129">
        <v>0</v>
      </c>
      <c r="AP214" s="129">
        <v>389571</v>
      </c>
      <c r="AQ214" s="129">
        <v>-4882848</v>
      </c>
      <c r="AR214" s="129">
        <v>0</v>
      </c>
      <c r="AS214" s="129">
        <v>-4882848</v>
      </c>
      <c r="AT214" s="129">
        <v>-2538299</v>
      </c>
      <c r="AU214" s="129">
        <v>0</v>
      </c>
      <c r="AV214" s="129">
        <v>-2538299</v>
      </c>
      <c r="AW214" s="129">
        <v>-74230</v>
      </c>
      <c r="AX214" s="129">
        <v>0</v>
      </c>
      <c r="AY214" s="129">
        <v>-74230</v>
      </c>
      <c r="AZ214" s="129">
        <v>-30847</v>
      </c>
      <c r="BA214" s="129">
        <v>0</v>
      </c>
      <c r="BB214" s="129">
        <v>-30847</v>
      </c>
      <c r="BC214" s="129">
        <v>0</v>
      </c>
      <c r="BD214" s="129">
        <v>0</v>
      </c>
      <c r="BE214" s="129">
        <v>0</v>
      </c>
      <c r="BF214" s="129">
        <v>-7526224</v>
      </c>
      <c r="BG214" s="129">
        <v>0</v>
      </c>
      <c r="BH214" s="129">
        <v>0</v>
      </c>
      <c r="BI214" s="129">
        <v>0</v>
      </c>
      <c r="BJ214" s="129">
        <v>-7526224</v>
      </c>
      <c r="BK214" s="129">
        <v>0</v>
      </c>
      <c r="BL214" s="129">
        <v>-7526224</v>
      </c>
      <c r="BM214" s="129">
        <v>0</v>
      </c>
      <c r="BN214" s="129">
        <v>0</v>
      </c>
      <c r="BO214" s="129">
        <v>0</v>
      </c>
      <c r="BP214" s="129">
        <v>-446416</v>
      </c>
      <c r="BQ214" s="129">
        <v>0</v>
      </c>
      <c r="BR214" s="129">
        <v>-446416</v>
      </c>
      <c r="BS214" s="129">
        <v>-446416</v>
      </c>
      <c r="BT214" s="129">
        <v>0</v>
      </c>
      <c r="BU214" s="129">
        <v>0</v>
      </c>
      <c r="BV214" s="129">
        <v>0</v>
      </c>
      <c r="BW214" s="129">
        <v>-446416</v>
      </c>
      <c r="BX214" s="129">
        <v>0</v>
      </c>
      <c r="BY214" s="129">
        <v>-446416</v>
      </c>
      <c r="BZ214" s="129">
        <v>-48000</v>
      </c>
      <c r="CA214" s="129">
        <v>0</v>
      </c>
      <c r="CB214" s="129">
        <v>-48000</v>
      </c>
      <c r="CC214" s="129">
        <v>0</v>
      </c>
      <c r="CD214" s="129">
        <v>0</v>
      </c>
      <c r="CE214" s="129">
        <v>0</v>
      </c>
      <c r="CF214" s="129">
        <v>-6000</v>
      </c>
      <c r="CG214" s="129">
        <v>0</v>
      </c>
      <c r="CH214" s="129">
        <v>-6000</v>
      </c>
      <c r="CI214" s="129">
        <v>0</v>
      </c>
      <c r="CJ214" s="129">
        <v>0</v>
      </c>
      <c r="CK214" s="129">
        <v>0</v>
      </c>
      <c r="CL214" s="129">
        <v>0</v>
      </c>
      <c r="CM214" s="129">
        <v>0</v>
      </c>
      <c r="CN214" s="129">
        <v>0</v>
      </c>
      <c r="CO214" s="129">
        <v>0</v>
      </c>
      <c r="CP214" s="129">
        <v>0</v>
      </c>
      <c r="CQ214" s="129">
        <v>0</v>
      </c>
      <c r="CR214" s="129">
        <v>0</v>
      </c>
      <c r="CS214" s="129">
        <v>0</v>
      </c>
      <c r="CT214" s="129">
        <v>-54000</v>
      </c>
      <c r="CU214" s="129">
        <v>0</v>
      </c>
      <c r="CV214" s="129">
        <v>0</v>
      </c>
      <c r="CW214" s="129">
        <v>0</v>
      </c>
      <c r="CX214" s="129">
        <v>-54000</v>
      </c>
      <c r="CY214" s="129">
        <v>0</v>
      </c>
      <c r="CZ214" s="129">
        <v>-54000</v>
      </c>
      <c r="DA214" s="129">
        <v>-30847</v>
      </c>
      <c r="DB214" s="129">
        <v>0</v>
      </c>
      <c r="DC214" s="129">
        <v>-30847</v>
      </c>
      <c r="DD214" s="129">
        <v>-44101</v>
      </c>
      <c r="DE214" s="129">
        <v>0</v>
      </c>
      <c r="DF214" s="129">
        <v>-44101</v>
      </c>
      <c r="DG214" s="129">
        <v>0</v>
      </c>
      <c r="DH214" s="129">
        <v>0</v>
      </c>
      <c r="DI214" s="129">
        <v>0</v>
      </c>
      <c r="DJ214" s="129">
        <v>-74948</v>
      </c>
      <c r="DK214" s="129">
        <v>0</v>
      </c>
      <c r="DL214" s="129">
        <v>0</v>
      </c>
      <c r="DM214" s="129">
        <v>0</v>
      </c>
      <c r="DN214" s="129">
        <v>-74948</v>
      </c>
      <c r="DO214" s="129">
        <v>0</v>
      </c>
      <c r="DP214" s="129">
        <v>-74948</v>
      </c>
      <c r="DQ214" s="129">
        <v>19901307</v>
      </c>
      <c r="DR214" s="129">
        <v>0</v>
      </c>
      <c r="DS214" s="129">
        <v>19901307</v>
      </c>
      <c r="DT214" s="662" t="s">
        <v>291</v>
      </c>
      <c r="DU214" s="324" t="s">
        <v>525</v>
      </c>
      <c r="DV214" s="663" t="s">
        <v>524</v>
      </c>
      <c r="DW214" s="529" t="s">
        <v>1420</v>
      </c>
    </row>
    <row r="215" spans="1:127" ht="12.75" x14ac:dyDescent="0.2">
      <c r="A215" s="664">
        <v>208</v>
      </c>
      <c r="B215" s="665" t="s">
        <v>294</v>
      </c>
      <c r="C215" s="666" t="s">
        <v>1217</v>
      </c>
      <c r="D215" s="667" t="s">
        <v>1218</v>
      </c>
      <c r="E215" s="668" t="s">
        <v>293</v>
      </c>
      <c r="F215" s="753" t="s">
        <v>1879</v>
      </c>
      <c r="G215" s="129">
        <v>191006590</v>
      </c>
      <c r="H215" s="129">
        <v>2475175</v>
      </c>
      <c r="I215" s="129">
        <v>193481765</v>
      </c>
      <c r="J215" s="793">
        <v>49.9</v>
      </c>
      <c r="K215" s="129">
        <v>95312288</v>
      </c>
      <c r="L215" s="129">
        <v>1235112</v>
      </c>
      <c r="M215" s="129">
        <v>-4000000</v>
      </c>
      <c r="N215" s="129">
        <v>0</v>
      </c>
      <c r="O215" s="129">
        <v>91312288</v>
      </c>
      <c r="P215" s="129">
        <v>1235112</v>
      </c>
      <c r="Q215" s="129">
        <v>92547400</v>
      </c>
      <c r="R215" s="129">
        <v>-164854</v>
      </c>
      <c r="S215" s="129">
        <v>0</v>
      </c>
      <c r="T215" s="129">
        <v>-164854</v>
      </c>
      <c r="U215" s="129">
        <v>1146407</v>
      </c>
      <c r="V215" s="129">
        <v>0</v>
      </c>
      <c r="W215" s="129">
        <v>1146407</v>
      </c>
      <c r="X215" s="129">
        <v>981553</v>
      </c>
      <c r="Y215" s="129">
        <v>0</v>
      </c>
      <c r="Z215" s="129">
        <v>0</v>
      </c>
      <c r="AA215" s="129">
        <v>0</v>
      </c>
      <c r="AB215" s="129">
        <v>981553</v>
      </c>
      <c r="AC215" s="129">
        <v>0</v>
      </c>
      <c r="AD215" s="129">
        <v>981553</v>
      </c>
      <c r="AE215" s="129">
        <v>-981553</v>
      </c>
      <c r="AF215" s="129">
        <v>0</v>
      </c>
      <c r="AG215" s="129">
        <v>-981553</v>
      </c>
      <c r="AH215" s="129">
        <v>-9537867</v>
      </c>
      <c r="AI215" s="129">
        <v>-26049</v>
      </c>
      <c r="AJ215" s="129">
        <v>-9563916</v>
      </c>
      <c r="AK215" s="129">
        <v>-25175</v>
      </c>
      <c r="AL215" s="129">
        <v>0</v>
      </c>
      <c r="AM215" s="129">
        <v>-25175</v>
      </c>
      <c r="AN215" s="129">
        <v>1781164</v>
      </c>
      <c r="AO215" s="129">
        <v>19115</v>
      </c>
      <c r="AP215" s="129">
        <v>1800279</v>
      </c>
      <c r="AQ215" s="129">
        <v>-7756703</v>
      </c>
      <c r="AR215" s="129">
        <v>-6934</v>
      </c>
      <c r="AS215" s="129">
        <v>-7763637</v>
      </c>
      <c r="AT215" s="129">
        <v>-5720206</v>
      </c>
      <c r="AU215" s="129">
        <v>-121856</v>
      </c>
      <c r="AV215" s="129">
        <v>-5842062</v>
      </c>
      <c r="AW215" s="129">
        <v>-15575</v>
      </c>
      <c r="AX215" s="129">
        <v>0</v>
      </c>
      <c r="AY215" s="129">
        <v>-15575</v>
      </c>
      <c r="AZ215" s="129">
        <v>-10165</v>
      </c>
      <c r="BA215" s="129">
        <v>0</v>
      </c>
      <c r="BB215" s="129">
        <v>-10165</v>
      </c>
      <c r="BC215" s="129">
        <v>0</v>
      </c>
      <c r="BD215" s="129">
        <v>0</v>
      </c>
      <c r="BE215" s="129">
        <v>0</v>
      </c>
      <c r="BF215" s="129">
        <v>-13502649</v>
      </c>
      <c r="BG215" s="129">
        <v>-128790</v>
      </c>
      <c r="BH215" s="129">
        <v>0</v>
      </c>
      <c r="BI215" s="129">
        <v>0</v>
      </c>
      <c r="BJ215" s="129">
        <v>-13502649</v>
      </c>
      <c r="BK215" s="129">
        <v>-128790</v>
      </c>
      <c r="BL215" s="129">
        <v>-13631439</v>
      </c>
      <c r="BM215" s="129">
        <v>0</v>
      </c>
      <c r="BN215" s="129">
        <v>0</v>
      </c>
      <c r="BO215" s="129">
        <v>0</v>
      </c>
      <c r="BP215" s="129">
        <v>-1566382</v>
      </c>
      <c r="BQ215" s="129">
        <v>-40738</v>
      </c>
      <c r="BR215" s="129">
        <v>-1607120</v>
      </c>
      <c r="BS215" s="129">
        <v>-1566382</v>
      </c>
      <c r="BT215" s="129">
        <v>-40738</v>
      </c>
      <c r="BU215" s="129">
        <v>0</v>
      </c>
      <c r="BV215" s="129">
        <v>0</v>
      </c>
      <c r="BW215" s="129">
        <v>-1566382</v>
      </c>
      <c r="BX215" s="129">
        <v>-40738</v>
      </c>
      <c r="BY215" s="129">
        <v>-1607120</v>
      </c>
      <c r="BZ215" s="129">
        <v>-124000</v>
      </c>
      <c r="CA215" s="129">
        <v>0</v>
      </c>
      <c r="CB215" s="129">
        <v>-124000</v>
      </c>
      <c r="CC215" s="129">
        <v>-650000</v>
      </c>
      <c r="CD215" s="129">
        <v>0</v>
      </c>
      <c r="CE215" s="129">
        <v>-650000</v>
      </c>
      <c r="CF215" s="129">
        <v>-3653</v>
      </c>
      <c r="CG215" s="129">
        <v>0</v>
      </c>
      <c r="CH215" s="129">
        <v>-3653</v>
      </c>
      <c r="CI215" s="129">
        <v>0</v>
      </c>
      <c r="CJ215" s="129">
        <v>0</v>
      </c>
      <c r="CK215" s="129">
        <v>0</v>
      </c>
      <c r="CL215" s="129">
        <v>0</v>
      </c>
      <c r="CM215" s="129">
        <v>0</v>
      </c>
      <c r="CN215" s="129">
        <v>0</v>
      </c>
      <c r="CO215" s="129">
        <v>0</v>
      </c>
      <c r="CP215" s="129">
        <v>-104809</v>
      </c>
      <c r="CQ215" s="129">
        <v>-104809</v>
      </c>
      <c r="CR215" s="129">
        <v>-104809</v>
      </c>
      <c r="CS215" s="129">
        <v>0</v>
      </c>
      <c r="CT215" s="129">
        <v>-777653</v>
      </c>
      <c r="CU215" s="129">
        <v>-104809</v>
      </c>
      <c r="CV215" s="129">
        <v>0</v>
      </c>
      <c r="CW215" s="129">
        <v>0</v>
      </c>
      <c r="CX215" s="129">
        <v>-777653</v>
      </c>
      <c r="CY215" s="129">
        <v>-104809</v>
      </c>
      <c r="CZ215" s="129">
        <v>-882462</v>
      </c>
      <c r="DA215" s="129">
        <v>-10165</v>
      </c>
      <c r="DB215" s="129">
        <v>0</v>
      </c>
      <c r="DC215" s="129">
        <v>-10165</v>
      </c>
      <c r="DD215" s="129">
        <v>-21440</v>
      </c>
      <c r="DE215" s="129">
        <v>0</v>
      </c>
      <c r="DF215" s="129">
        <v>-21440</v>
      </c>
      <c r="DG215" s="129">
        <v>0</v>
      </c>
      <c r="DH215" s="129">
        <v>0</v>
      </c>
      <c r="DI215" s="129">
        <v>0</v>
      </c>
      <c r="DJ215" s="129">
        <v>-31605</v>
      </c>
      <c r="DK215" s="129">
        <v>0</v>
      </c>
      <c r="DL215" s="129">
        <v>0</v>
      </c>
      <c r="DM215" s="129">
        <v>0</v>
      </c>
      <c r="DN215" s="129">
        <v>-31605</v>
      </c>
      <c r="DO215" s="129">
        <v>0</v>
      </c>
      <c r="DP215" s="129">
        <v>-31605</v>
      </c>
      <c r="DQ215" s="129">
        <v>76415552</v>
      </c>
      <c r="DR215" s="129">
        <v>960775</v>
      </c>
      <c r="DS215" s="129">
        <v>77376327</v>
      </c>
      <c r="DT215" s="662" t="s">
        <v>293</v>
      </c>
      <c r="DU215" s="324" t="s">
        <v>570</v>
      </c>
      <c r="DV215" s="663" t="s">
        <v>572</v>
      </c>
      <c r="DW215" s="529" t="s">
        <v>1421</v>
      </c>
    </row>
    <row r="216" spans="1:127" ht="12.75" x14ac:dyDescent="0.2">
      <c r="A216" s="664">
        <v>209</v>
      </c>
      <c r="B216" s="665" t="s">
        <v>296</v>
      </c>
      <c r="C216" s="666" t="s">
        <v>1201</v>
      </c>
      <c r="D216" s="667" t="s">
        <v>1228</v>
      </c>
      <c r="E216" s="668" t="s">
        <v>295</v>
      </c>
      <c r="F216" s="753" t="s">
        <v>1885</v>
      </c>
      <c r="G216" s="129">
        <v>124663175</v>
      </c>
      <c r="H216" s="129">
        <v>0</v>
      </c>
      <c r="I216" s="129">
        <v>124663175</v>
      </c>
      <c r="J216" s="793">
        <v>49.9</v>
      </c>
      <c r="K216" s="129">
        <v>62206924</v>
      </c>
      <c r="L216" s="129">
        <v>0</v>
      </c>
      <c r="M216" s="129">
        <v>2219933</v>
      </c>
      <c r="N216" s="129">
        <v>0</v>
      </c>
      <c r="O216" s="129">
        <v>64426857</v>
      </c>
      <c r="P216" s="129">
        <v>0</v>
      </c>
      <c r="Q216" s="129">
        <v>64426857</v>
      </c>
      <c r="R216" s="129">
        <v>-59158</v>
      </c>
      <c r="S216" s="129">
        <v>0</v>
      </c>
      <c r="T216" s="129">
        <v>-59158</v>
      </c>
      <c r="U216" s="129">
        <v>193090</v>
      </c>
      <c r="V216" s="129">
        <v>0</v>
      </c>
      <c r="W216" s="129">
        <v>193090</v>
      </c>
      <c r="X216" s="129">
        <v>133932</v>
      </c>
      <c r="Y216" s="129">
        <v>0</v>
      </c>
      <c r="Z216" s="129">
        <v>0</v>
      </c>
      <c r="AA216" s="129">
        <v>0</v>
      </c>
      <c r="AB216" s="129">
        <v>133932</v>
      </c>
      <c r="AC216" s="129">
        <v>0</v>
      </c>
      <c r="AD216" s="129">
        <v>133932</v>
      </c>
      <c r="AE216" s="129">
        <v>-133932</v>
      </c>
      <c r="AF216" s="129">
        <v>0</v>
      </c>
      <c r="AG216" s="129">
        <v>-133932</v>
      </c>
      <c r="AH216" s="129">
        <v>-3423748</v>
      </c>
      <c r="AI216" s="129">
        <v>0</v>
      </c>
      <c r="AJ216" s="129">
        <v>-3423748</v>
      </c>
      <c r="AK216" s="129">
        <v>0</v>
      </c>
      <c r="AL216" s="129">
        <v>0</v>
      </c>
      <c r="AM216" s="129">
        <v>0</v>
      </c>
      <c r="AN216" s="129">
        <v>1292174</v>
      </c>
      <c r="AO216" s="129">
        <v>0</v>
      </c>
      <c r="AP216" s="129">
        <v>1292174</v>
      </c>
      <c r="AQ216" s="129">
        <v>-2131574</v>
      </c>
      <c r="AR216" s="129">
        <v>0</v>
      </c>
      <c r="AS216" s="129">
        <v>-2131574</v>
      </c>
      <c r="AT216" s="129">
        <v>-3600942</v>
      </c>
      <c r="AU216" s="129">
        <v>0</v>
      </c>
      <c r="AV216" s="129">
        <v>-3600942</v>
      </c>
      <c r="AW216" s="129">
        <v>-75817</v>
      </c>
      <c r="AX216" s="129">
        <v>0</v>
      </c>
      <c r="AY216" s="129">
        <v>-75817</v>
      </c>
      <c r="AZ216" s="129">
        <v>-7667</v>
      </c>
      <c r="BA216" s="129">
        <v>0</v>
      </c>
      <c r="BB216" s="129">
        <v>-7667</v>
      </c>
      <c r="BC216" s="129">
        <v>0</v>
      </c>
      <c r="BD216" s="129">
        <v>0</v>
      </c>
      <c r="BE216" s="129">
        <v>0</v>
      </c>
      <c r="BF216" s="129">
        <v>-5816000</v>
      </c>
      <c r="BG216" s="129">
        <v>0</v>
      </c>
      <c r="BH216" s="129">
        <v>0</v>
      </c>
      <c r="BI216" s="129">
        <v>0</v>
      </c>
      <c r="BJ216" s="129">
        <v>-5816000</v>
      </c>
      <c r="BK216" s="129">
        <v>0</v>
      </c>
      <c r="BL216" s="129">
        <v>-5816000</v>
      </c>
      <c r="BM216" s="129">
        <v>-200000</v>
      </c>
      <c r="BN216" s="129">
        <v>0</v>
      </c>
      <c r="BO216" s="129">
        <v>-200000</v>
      </c>
      <c r="BP216" s="129">
        <v>-1631601</v>
      </c>
      <c r="BQ216" s="129">
        <v>0</v>
      </c>
      <c r="BR216" s="129">
        <v>-1631601</v>
      </c>
      <c r="BS216" s="129">
        <v>-1831601</v>
      </c>
      <c r="BT216" s="129">
        <v>0</v>
      </c>
      <c r="BU216" s="129">
        <v>0</v>
      </c>
      <c r="BV216" s="129">
        <v>0</v>
      </c>
      <c r="BW216" s="129">
        <v>-1831601</v>
      </c>
      <c r="BX216" s="129">
        <v>0</v>
      </c>
      <c r="BY216" s="129">
        <v>-1831601</v>
      </c>
      <c r="BZ216" s="129">
        <v>-113120</v>
      </c>
      <c r="CA216" s="129">
        <v>0</v>
      </c>
      <c r="CB216" s="129">
        <v>-113120</v>
      </c>
      <c r="CC216" s="129">
        <v>-7667</v>
      </c>
      <c r="CD216" s="129">
        <v>0</v>
      </c>
      <c r="CE216" s="129">
        <v>-7667</v>
      </c>
      <c r="CF216" s="129">
        <v>0</v>
      </c>
      <c r="CG216" s="129">
        <v>0</v>
      </c>
      <c r="CH216" s="129">
        <v>0</v>
      </c>
      <c r="CI216" s="129">
        <v>0</v>
      </c>
      <c r="CJ216" s="129">
        <v>0</v>
      </c>
      <c r="CK216" s="129">
        <v>0</v>
      </c>
      <c r="CL216" s="129">
        <v>0</v>
      </c>
      <c r="CM216" s="129">
        <v>0</v>
      </c>
      <c r="CN216" s="129">
        <v>0</v>
      </c>
      <c r="CO216" s="129">
        <v>0</v>
      </c>
      <c r="CP216" s="129">
        <v>0</v>
      </c>
      <c r="CQ216" s="129">
        <v>0</v>
      </c>
      <c r="CR216" s="129">
        <v>0</v>
      </c>
      <c r="CS216" s="129">
        <v>0</v>
      </c>
      <c r="CT216" s="129">
        <v>-120787</v>
      </c>
      <c r="CU216" s="129">
        <v>0</v>
      </c>
      <c r="CV216" s="129">
        <v>0</v>
      </c>
      <c r="CW216" s="129">
        <v>0</v>
      </c>
      <c r="CX216" s="129">
        <v>-120787</v>
      </c>
      <c r="CY216" s="129">
        <v>0</v>
      </c>
      <c r="CZ216" s="129">
        <v>-120787</v>
      </c>
      <c r="DA216" s="129">
        <v>0</v>
      </c>
      <c r="DB216" s="129">
        <v>0</v>
      </c>
      <c r="DC216" s="129">
        <v>0</v>
      </c>
      <c r="DD216" s="129">
        <v>-28444</v>
      </c>
      <c r="DE216" s="129">
        <v>0</v>
      </c>
      <c r="DF216" s="129">
        <v>-28444</v>
      </c>
      <c r="DG216" s="129">
        <v>0</v>
      </c>
      <c r="DH216" s="129">
        <v>0</v>
      </c>
      <c r="DI216" s="129">
        <v>0</v>
      </c>
      <c r="DJ216" s="129">
        <v>-28444</v>
      </c>
      <c r="DK216" s="129">
        <v>0</v>
      </c>
      <c r="DL216" s="129">
        <v>0</v>
      </c>
      <c r="DM216" s="129">
        <v>0</v>
      </c>
      <c r="DN216" s="129">
        <v>-28444</v>
      </c>
      <c r="DO216" s="129">
        <v>0</v>
      </c>
      <c r="DP216" s="129">
        <v>-28444</v>
      </c>
      <c r="DQ216" s="129">
        <v>56763957</v>
      </c>
      <c r="DR216" s="129">
        <v>0</v>
      </c>
      <c r="DS216" s="129">
        <v>56763957</v>
      </c>
      <c r="DT216" s="662" t="s">
        <v>295</v>
      </c>
      <c r="DU216" s="324" t="s">
        <v>567</v>
      </c>
      <c r="DV216" s="663" t="s">
        <v>512</v>
      </c>
      <c r="DW216" s="529" t="s">
        <v>1422</v>
      </c>
    </row>
    <row r="217" spans="1:127" ht="14.25" x14ac:dyDescent="0.2">
      <c r="A217" s="664">
        <v>210</v>
      </c>
      <c r="B217" s="665" t="s">
        <v>298</v>
      </c>
      <c r="C217" s="666" t="s">
        <v>1201</v>
      </c>
      <c r="D217" s="667" t="s">
        <v>1202</v>
      </c>
      <c r="E217" s="668" t="s">
        <v>1869</v>
      </c>
      <c r="F217" s="753" t="s">
        <v>1879</v>
      </c>
      <c r="G217" s="129">
        <v>137550585</v>
      </c>
      <c r="H217" s="129">
        <v>1507000</v>
      </c>
      <c r="I217" s="129">
        <v>139057585</v>
      </c>
      <c r="J217" s="793">
        <v>49.9</v>
      </c>
      <c r="K217" s="129">
        <v>68637742</v>
      </c>
      <c r="L217" s="129">
        <v>751993</v>
      </c>
      <c r="M217" s="129">
        <v>0</v>
      </c>
      <c r="N217" s="129">
        <v>0</v>
      </c>
      <c r="O217" s="129">
        <v>68637742</v>
      </c>
      <c r="P217" s="129">
        <v>751993</v>
      </c>
      <c r="Q217" s="129">
        <v>69389735</v>
      </c>
      <c r="R217" s="129">
        <v>-188134</v>
      </c>
      <c r="S217" s="129">
        <v>0</v>
      </c>
      <c r="T217" s="129">
        <v>-188134</v>
      </c>
      <c r="U217" s="129">
        <v>597</v>
      </c>
      <c r="V217" s="129">
        <v>0</v>
      </c>
      <c r="W217" s="129">
        <v>597</v>
      </c>
      <c r="X217" s="129">
        <v>-187537</v>
      </c>
      <c r="Y217" s="129">
        <v>0</v>
      </c>
      <c r="Z217" s="129">
        <v>0</v>
      </c>
      <c r="AA217" s="129">
        <v>0</v>
      </c>
      <c r="AB217" s="129">
        <v>-187537</v>
      </c>
      <c r="AC217" s="129">
        <v>0</v>
      </c>
      <c r="AD217" s="129">
        <v>-187537</v>
      </c>
      <c r="AE217" s="129">
        <v>187537</v>
      </c>
      <c r="AF217" s="129">
        <v>0</v>
      </c>
      <c r="AG217" s="129">
        <v>187537</v>
      </c>
      <c r="AH217" s="129">
        <v>-2680246</v>
      </c>
      <c r="AI217" s="129">
        <v>0</v>
      </c>
      <c r="AJ217" s="129">
        <v>-2680246</v>
      </c>
      <c r="AK217" s="129">
        <v>0</v>
      </c>
      <c r="AL217" s="129">
        <v>0</v>
      </c>
      <c r="AM217" s="129">
        <v>0</v>
      </c>
      <c r="AN217" s="129">
        <v>1495947</v>
      </c>
      <c r="AO217" s="129">
        <v>0</v>
      </c>
      <c r="AP217" s="129">
        <v>1495947</v>
      </c>
      <c r="AQ217" s="129">
        <v>-1184299</v>
      </c>
      <c r="AR217" s="129">
        <v>0</v>
      </c>
      <c r="AS217" s="129">
        <v>-1184299</v>
      </c>
      <c r="AT217" s="129">
        <v>-4641946</v>
      </c>
      <c r="AU217" s="129">
        <v>0</v>
      </c>
      <c r="AV217" s="129">
        <v>-4641946</v>
      </c>
      <c r="AW217" s="129">
        <v>-38403</v>
      </c>
      <c r="AX217" s="129">
        <v>0</v>
      </c>
      <c r="AY217" s="129">
        <v>-38403</v>
      </c>
      <c r="AZ217" s="129">
        <v>0</v>
      </c>
      <c r="BA217" s="129">
        <v>0</v>
      </c>
      <c r="BB217" s="129">
        <v>0</v>
      </c>
      <c r="BC217" s="129">
        <v>0</v>
      </c>
      <c r="BD217" s="129">
        <v>0</v>
      </c>
      <c r="BE217" s="129">
        <v>0</v>
      </c>
      <c r="BF217" s="129">
        <v>-5864648</v>
      </c>
      <c r="BG217" s="129">
        <v>0</v>
      </c>
      <c r="BH217" s="129">
        <v>0</v>
      </c>
      <c r="BI217" s="129">
        <v>0</v>
      </c>
      <c r="BJ217" s="129">
        <v>-5864648</v>
      </c>
      <c r="BK217" s="129">
        <v>0</v>
      </c>
      <c r="BL217" s="129">
        <v>-5864648</v>
      </c>
      <c r="BM217" s="129">
        <v>0</v>
      </c>
      <c r="BN217" s="129">
        <v>0</v>
      </c>
      <c r="BO217" s="129">
        <v>0</v>
      </c>
      <c r="BP217" s="129">
        <v>-1583573</v>
      </c>
      <c r="BQ217" s="129">
        <v>0</v>
      </c>
      <c r="BR217" s="129">
        <v>-1583573</v>
      </c>
      <c r="BS217" s="129">
        <v>-1583573</v>
      </c>
      <c r="BT217" s="129">
        <v>0</v>
      </c>
      <c r="BU217" s="129">
        <v>0</v>
      </c>
      <c r="BV217" s="129">
        <v>0</v>
      </c>
      <c r="BW217" s="129">
        <v>-1583573</v>
      </c>
      <c r="BX217" s="129">
        <v>0</v>
      </c>
      <c r="BY217" s="129">
        <v>-1583573</v>
      </c>
      <c r="BZ217" s="129">
        <v>-21256</v>
      </c>
      <c r="CA217" s="129">
        <v>0</v>
      </c>
      <c r="CB217" s="129">
        <v>-21256</v>
      </c>
      <c r="CC217" s="129">
        <v>0</v>
      </c>
      <c r="CD217" s="129">
        <v>0</v>
      </c>
      <c r="CE217" s="129">
        <v>0</v>
      </c>
      <c r="CF217" s="129">
        <v>0</v>
      </c>
      <c r="CG217" s="129">
        <v>0</v>
      </c>
      <c r="CH217" s="129">
        <v>0</v>
      </c>
      <c r="CI217" s="129">
        <v>0</v>
      </c>
      <c r="CJ217" s="129">
        <v>0</v>
      </c>
      <c r="CK217" s="129">
        <v>0</v>
      </c>
      <c r="CL217" s="129">
        <v>0</v>
      </c>
      <c r="CM217" s="129">
        <v>0</v>
      </c>
      <c r="CN217" s="129">
        <v>0</v>
      </c>
      <c r="CO217" s="129">
        <v>0</v>
      </c>
      <c r="CP217" s="129">
        <v>0</v>
      </c>
      <c r="CQ217" s="129">
        <v>0</v>
      </c>
      <c r="CR217" s="129">
        <v>0</v>
      </c>
      <c r="CS217" s="129">
        <v>0</v>
      </c>
      <c r="CT217" s="129">
        <v>-21256</v>
      </c>
      <c r="CU217" s="129">
        <v>0</v>
      </c>
      <c r="CV217" s="129">
        <v>0</v>
      </c>
      <c r="CW217" s="129">
        <v>0</v>
      </c>
      <c r="CX217" s="129">
        <v>-21256</v>
      </c>
      <c r="CY217" s="129">
        <v>0</v>
      </c>
      <c r="CZ217" s="129">
        <v>-21256</v>
      </c>
      <c r="DA217" s="129">
        <v>0</v>
      </c>
      <c r="DB217" s="129">
        <v>0</v>
      </c>
      <c r="DC217" s="129">
        <v>0</v>
      </c>
      <c r="DD217" s="129">
        <v>-27003</v>
      </c>
      <c r="DE217" s="129">
        <v>0</v>
      </c>
      <c r="DF217" s="129">
        <v>-27003</v>
      </c>
      <c r="DG217" s="129">
        <v>0</v>
      </c>
      <c r="DH217" s="129">
        <v>0</v>
      </c>
      <c r="DI217" s="129">
        <v>0</v>
      </c>
      <c r="DJ217" s="129">
        <v>-27003</v>
      </c>
      <c r="DK217" s="129">
        <v>0</v>
      </c>
      <c r="DL217" s="129">
        <v>0</v>
      </c>
      <c r="DM217" s="129">
        <v>0</v>
      </c>
      <c r="DN217" s="129">
        <v>-27003</v>
      </c>
      <c r="DO217" s="129">
        <v>0</v>
      </c>
      <c r="DP217" s="129">
        <v>-27003</v>
      </c>
      <c r="DQ217" s="129">
        <v>60953725</v>
      </c>
      <c r="DR217" s="129">
        <v>751993</v>
      </c>
      <c r="DS217" s="129">
        <v>61705718</v>
      </c>
      <c r="DT217" s="662" t="s">
        <v>297</v>
      </c>
      <c r="DU217" s="324" t="s">
        <v>566</v>
      </c>
      <c r="DV217" s="663" t="s">
        <v>512</v>
      </c>
      <c r="DW217" s="529" t="s">
        <v>1423</v>
      </c>
    </row>
    <row r="218" spans="1:127" ht="12.75" x14ac:dyDescent="0.2">
      <c r="A218" s="664">
        <v>211</v>
      </c>
      <c r="B218" s="665" t="s">
        <v>300</v>
      </c>
      <c r="C218" s="666" t="s">
        <v>1201</v>
      </c>
      <c r="D218" s="667" t="s">
        <v>1206</v>
      </c>
      <c r="E218" s="668" t="s">
        <v>299</v>
      </c>
      <c r="F218" s="753" t="s">
        <v>1875</v>
      </c>
      <c r="G218" s="129">
        <v>73790961</v>
      </c>
      <c r="H218" s="129">
        <v>0</v>
      </c>
      <c r="I218" s="129">
        <v>73790961</v>
      </c>
      <c r="J218" s="793">
        <v>49.9</v>
      </c>
      <c r="K218" s="129">
        <v>36821690</v>
      </c>
      <c r="L218" s="129">
        <v>0</v>
      </c>
      <c r="M218" s="129">
        <v>0</v>
      </c>
      <c r="N218" s="129">
        <v>0</v>
      </c>
      <c r="O218" s="129">
        <v>36821690</v>
      </c>
      <c r="P218" s="129">
        <v>0</v>
      </c>
      <c r="Q218" s="129">
        <v>36821690</v>
      </c>
      <c r="R218" s="129">
        <v>-98129</v>
      </c>
      <c r="S218" s="129">
        <v>0</v>
      </c>
      <c r="T218" s="129">
        <v>-98129</v>
      </c>
      <c r="U218" s="129">
        <v>2343085</v>
      </c>
      <c r="V218" s="129">
        <v>0</v>
      </c>
      <c r="W218" s="129">
        <v>2343085</v>
      </c>
      <c r="X218" s="129">
        <v>2244956</v>
      </c>
      <c r="Y218" s="129">
        <v>0</v>
      </c>
      <c r="Z218" s="129">
        <v>0</v>
      </c>
      <c r="AA218" s="129">
        <v>0</v>
      </c>
      <c r="AB218" s="129">
        <v>2244956</v>
      </c>
      <c r="AC218" s="129">
        <v>0</v>
      </c>
      <c r="AD218" s="129">
        <v>2244956</v>
      </c>
      <c r="AE218" s="129">
        <v>-2244956</v>
      </c>
      <c r="AF218" s="129">
        <v>0</v>
      </c>
      <c r="AG218" s="129">
        <v>-2244956</v>
      </c>
      <c r="AH218" s="129">
        <v>-3582078</v>
      </c>
      <c r="AI218" s="129">
        <v>0</v>
      </c>
      <c r="AJ218" s="129">
        <v>-3582078</v>
      </c>
      <c r="AK218" s="129">
        <v>-16048</v>
      </c>
      <c r="AL218" s="129">
        <v>0</v>
      </c>
      <c r="AM218" s="129">
        <v>-16048</v>
      </c>
      <c r="AN218" s="129">
        <v>660193</v>
      </c>
      <c r="AO218" s="129">
        <v>0</v>
      </c>
      <c r="AP218" s="129">
        <v>660193</v>
      </c>
      <c r="AQ218" s="129">
        <v>-2921885</v>
      </c>
      <c r="AR218" s="129">
        <v>0</v>
      </c>
      <c r="AS218" s="129">
        <v>-2921885</v>
      </c>
      <c r="AT218" s="129">
        <v>-2341884</v>
      </c>
      <c r="AU218" s="129">
        <v>0</v>
      </c>
      <c r="AV218" s="129">
        <v>-2341884</v>
      </c>
      <c r="AW218" s="129">
        <v>-84847</v>
      </c>
      <c r="AX218" s="129">
        <v>0</v>
      </c>
      <c r="AY218" s="129">
        <v>-84847</v>
      </c>
      <c r="AZ218" s="129">
        <v>-7997</v>
      </c>
      <c r="BA218" s="129">
        <v>0</v>
      </c>
      <c r="BB218" s="129">
        <v>-7997</v>
      </c>
      <c r="BC218" s="129">
        <v>0</v>
      </c>
      <c r="BD218" s="129">
        <v>0</v>
      </c>
      <c r="BE218" s="129">
        <v>0</v>
      </c>
      <c r="BF218" s="129">
        <v>-5356613</v>
      </c>
      <c r="BG218" s="129">
        <v>0</v>
      </c>
      <c r="BH218" s="129">
        <v>0</v>
      </c>
      <c r="BI218" s="129">
        <v>0</v>
      </c>
      <c r="BJ218" s="129">
        <v>-5356613</v>
      </c>
      <c r="BK218" s="129">
        <v>0</v>
      </c>
      <c r="BL218" s="129">
        <v>-5356613</v>
      </c>
      <c r="BM218" s="129">
        <v>0</v>
      </c>
      <c r="BN218" s="129">
        <v>0</v>
      </c>
      <c r="BO218" s="129">
        <v>0</v>
      </c>
      <c r="BP218" s="129">
        <v>-212619</v>
      </c>
      <c r="BQ218" s="129">
        <v>0</v>
      </c>
      <c r="BR218" s="129">
        <v>-212619</v>
      </c>
      <c r="BS218" s="129">
        <v>-212619</v>
      </c>
      <c r="BT218" s="129">
        <v>0</v>
      </c>
      <c r="BU218" s="129">
        <v>0</v>
      </c>
      <c r="BV218" s="129">
        <v>0</v>
      </c>
      <c r="BW218" s="129">
        <v>-212619</v>
      </c>
      <c r="BX218" s="129">
        <v>0</v>
      </c>
      <c r="BY218" s="129">
        <v>-212619</v>
      </c>
      <c r="BZ218" s="129">
        <v>-16233</v>
      </c>
      <c r="CA218" s="129">
        <v>0</v>
      </c>
      <c r="CB218" s="129">
        <v>-16233</v>
      </c>
      <c r="CC218" s="129">
        <v>-334464</v>
      </c>
      <c r="CD218" s="129">
        <v>0</v>
      </c>
      <c r="CE218" s="129">
        <v>-334464</v>
      </c>
      <c r="CF218" s="129">
        <v>0</v>
      </c>
      <c r="CG218" s="129">
        <v>0</v>
      </c>
      <c r="CH218" s="129">
        <v>0</v>
      </c>
      <c r="CI218" s="129">
        <v>0</v>
      </c>
      <c r="CJ218" s="129">
        <v>0</v>
      </c>
      <c r="CK218" s="129">
        <v>0</v>
      </c>
      <c r="CL218" s="129">
        <v>0</v>
      </c>
      <c r="CM218" s="129">
        <v>0</v>
      </c>
      <c r="CN218" s="129">
        <v>0</v>
      </c>
      <c r="CO218" s="129">
        <v>0</v>
      </c>
      <c r="CP218" s="129">
        <v>0</v>
      </c>
      <c r="CQ218" s="129">
        <v>0</v>
      </c>
      <c r="CR218" s="129">
        <v>0</v>
      </c>
      <c r="CS218" s="129">
        <v>0</v>
      </c>
      <c r="CT218" s="129">
        <v>-350697</v>
      </c>
      <c r="CU218" s="129">
        <v>0</v>
      </c>
      <c r="CV218" s="129">
        <v>0</v>
      </c>
      <c r="CW218" s="129">
        <v>0</v>
      </c>
      <c r="CX218" s="129">
        <v>-350697</v>
      </c>
      <c r="CY218" s="129">
        <v>0</v>
      </c>
      <c r="CZ218" s="129">
        <v>-350697</v>
      </c>
      <c r="DA218" s="129">
        <v>-7997</v>
      </c>
      <c r="DB218" s="129">
        <v>0</v>
      </c>
      <c r="DC218" s="129">
        <v>-7997</v>
      </c>
      <c r="DD218" s="129">
        <v>-27200</v>
      </c>
      <c r="DE218" s="129">
        <v>0</v>
      </c>
      <c r="DF218" s="129">
        <v>-27200</v>
      </c>
      <c r="DG218" s="129">
        <v>0</v>
      </c>
      <c r="DH218" s="129">
        <v>0</v>
      </c>
      <c r="DI218" s="129">
        <v>0</v>
      </c>
      <c r="DJ218" s="129">
        <v>-35197</v>
      </c>
      <c r="DK218" s="129">
        <v>0</v>
      </c>
      <c r="DL218" s="129">
        <v>0</v>
      </c>
      <c r="DM218" s="129">
        <v>0</v>
      </c>
      <c r="DN218" s="129">
        <v>-35197</v>
      </c>
      <c r="DO218" s="129">
        <v>0</v>
      </c>
      <c r="DP218" s="129">
        <v>-35197</v>
      </c>
      <c r="DQ218" s="129">
        <v>33111520</v>
      </c>
      <c r="DR218" s="129">
        <v>0</v>
      </c>
      <c r="DS218" s="129">
        <v>33111520</v>
      </c>
      <c r="DT218" s="662" t="s">
        <v>299</v>
      </c>
      <c r="DU218" s="324" t="s">
        <v>559</v>
      </c>
      <c r="DV218" s="663" t="s">
        <v>558</v>
      </c>
      <c r="DW218" s="529" t="s">
        <v>1424</v>
      </c>
    </row>
    <row r="219" spans="1:127" ht="12.75" x14ac:dyDescent="0.2">
      <c r="A219" s="664">
        <v>212</v>
      </c>
      <c r="B219" s="665" t="s">
        <v>302</v>
      </c>
      <c r="C219" s="666" t="s">
        <v>1201</v>
      </c>
      <c r="D219" s="667" t="s">
        <v>1202</v>
      </c>
      <c r="E219" s="668" t="s">
        <v>301</v>
      </c>
      <c r="F219" s="753" t="s">
        <v>1875</v>
      </c>
      <c r="G219" s="129">
        <v>119501009</v>
      </c>
      <c r="H219" s="129">
        <v>0</v>
      </c>
      <c r="I219" s="129">
        <v>119501009</v>
      </c>
      <c r="J219" s="793">
        <v>49.9</v>
      </c>
      <c r="K219" s="129">
        <v>59631003</v>
      </c>
      <c r="L219" s="129">
        <v>0</v>
      </c>
      <c r="M219" s="129">
        <v>-347613</v>
      </c>
      <c r="N219" s="129">
        <v>0</v>
      </c>
      <c r="O219" s="129">
        <v>59283390</v>
      </c>
      <c r="P219" s="129">
        <v>0</v>
      </c>
      <c r="Q219" s="129">
        <v>59283390</v>
      </c>
      <c r="R219" s="129">
        <v>-157607</v>
      </c>
      <c r="S219" s="129">
        <v>0</v>
      </c>
      <c r="T219" s="129">
        <v>-157607</v>
      </c>
      <c r="U219" s="129">
        <v>244110</v>
      </c>
      <c r="V219" s="129">
        <v>0</v>
      </c>
      <c r="W219" s="129">
        <v>244110</v>
      </c>
      <c r="X219" s="129">
        <v>86503</v>
      </c>
      <c r="Y219" s="129">
        <v>0</v>
      </c>
      <c r="Z219" s="129">
        <v>0</v>
      </c>
      <c r="AA219" s="129">
        <v>0</v>
      </c>
      <c r="AB219" s="129">
        <v>86503</v>
      </c>
      <c r="AC219" s="129">
        <v>0</v>
      </c>
      <c r="AD219" s="129">
        <v>86503</v>
      </c>
      <c r="AE219" s="129">
        <v>-86503</v>
      </c>
      <c r="AF219" s="129">
        <v>0</v>
      </c>
      <c r="AG219" s="129">
        <v>-86503</v>
      </c>
      <c r="AH219" s="129">
        <v>-2520954</v>
      </c>
      <c r="AI219" s="129">
        <v>0</v>
      </c>
      <c r="AJ219" s="129">
        <v>-2520954</v>
      </c>
      <c r="AK219" s="129">
        <v>-5029</v>
      </c>
      <c r="AL219" s="129">
        <v>0</v>
      </c>
      <c r="AM219" s="129">
        <v>-5029</v>
      </c>
      <c r="AN219" s="129">
        <v>1242239</v>
      </c>
      <c r="AO219" s="129">
        <v>0</v>
      </c>
      <c r="AP219" s="129">
        <v>1242239</v>
      </c>
      <c r="AQ219" s="129">
        <v>-1278715</v>
      </c>
      <c r="AR219" s="129">
        <v>0</v>
      </c>
      <c r="AS219" s="129">
        <v>-1278715</v>
      </c>
      <c r="AT219" s="129">
        <v>-1998443</v>
      </c>
      <c r="AU219" s="129">
        <v>0</v>
      </c>
      <c r="AV219" s="129">
        <v>-1998443</v>
      </c>
      <c r="AW219" s="129">
        <v>-21381</v>
      </c>
      <c r="AX219" s="129">
        <v>0</v>
      </c>
      <c r="AY219" s="129">
        <v>-21381</v>
      </c>
      <c r="AZ219" s="129">
        <v>0</v>
      </c>
      <c r="BA219" s="129">
        <v>0</v>
      </c>
      <c r="BB219" s="129">
        <v>0</v>
      </c>
      <c r="BC219" s="129">
        <v>0</v>
      </c>
      <c r="BD219" s="129">
        <v>0</v>
      </c>
      <c r="BE219" s="129">
        <v>0</v>
      </c>
      <c r="BF219" s="129">
        <v>-3298539</v>
      </c>
      <c r="BG219" s="129">
        <v>0</v>
      </c>
      <c r="BH219" s="129">
        <v>0</v>
      </c>
      <c r="BI219" s="129">
        <v>0</v>
      </c>
      <c r="BJ219" s="129">
        <v>-3298539</v>
      </c>
      <c r="BK219" s="129">
        <v>0</v>
      </c>
      <c r="BL219" s="129">
        <v>-3298539</v>
      </c>
      <c r="BM219" s="129">
        <v>-400000</v>
      </c>
      <c r="BN219" s="129">
        <v>0</v>
      </c>
      <c r="BO219" s="129">
        <v>-400000</v>
      </c>
      <c r="BP219" s="129">
        <v>-1513743</v>
      </c>
      <c r="BQ219" s="129">
        <v>0</v>
      </c>
      <c r="BR219" s="129">
        <v>-1513743</v>
      </c>
      <c r="BS219" s="129">
        <v>-1913743</v>
      </c>
      <c r="BT219" s="129">
        <v>0</v>
      </c>
      <c r="BU219" s="129">
        <v>-680000</v>
      </c>
      <c r="BV219" s="129">
        <v>0</v>
      </c>
      <c r="BW219" s="129">
        <v>-2593743</v>
      </c>
      <c r="BX219" s="129">
        <v>0</v>
      </c>
      <c r="BY219" s="129">
        <v>-2593743</v>
      </c>
      <c r="BZ219" s="129">
        <v>-55026</v>
      </c>
      <c r="CA219" s="129">
        <v>0</v>
      </c>
      <c r="CB219" s="129">
        <v>-55026</v>
      </c>
      <c r="CC219" s="129">
        <v>-318687</v>
      </c>
      <c r="CD219" s="129">
        <v>0</v>
      </c>
      <c r="CE219" s="129">
        <v>-318687</v>
      </c>
      <c r="CF219" s="129">
        <v>-5345</v>
      </c>
      <c r="CG219" s="129">
        <v>0</v>
      </c>
      <c r="CH219" s="129">
        <v>-5345</v>
      </c>
      <c r="CI219" s="129">
        <v>0</v>
      </c>
      <c r="CJ219" s="129">
        <v>0</v>
      </c>
      <c r="CK219" s="129">
        <v>0</v>
      </c>
      <c r="CL219" s="129">
        <v>0</v>
      </c>
      <c r="CM219" s="129">
        <v>0</v>
      </c>
      <c r="CN219" s="129">
        <v>0</v>
      </c>
      <c r="CO219" s="129">
        <v>-62000</v>
      </c>
      <c r="CP219" s="129">
        <v>0</v>
      </c>
      <c r="CQ219" s="129">
        <v>-62000</v>
      </c>
      <c r="CR219" s="129">
        <v>0</v>
      </c>
      <c r="CS219" s="129">
        <v>0</v>
      </c>
      <c r="CT219" s="129">
        <v>-441058</v>
      </c>
      <c r="CU219" s="129">
        <v>0</v>
      </c>
      <c r="CV219" s="129">
        <v>-44000</v>
      </c>
      <c r="CW219" s="129">
        <v>0</v>
      </c>
      <c r="CX219" s="129">
        <v>-485058</v>
      </c>
      <c r="CY219" s="129">
        <v>0</v>
      </c>
      <c r="CZ219" s="129">
        <v>-485058</v>
      </c>
      <c r="DA219" s="129">
        <v>0</v>
      </c>
      <c r="DB219" s="129">
        <v>0</v>
      </c>
      <c r="DC219" s="129">
        <v>0</v>
      </c>
      <c r="DD219" s="129">
        <v>-30031</v>
      </c>
      <c r="DE219" s="129">
        <v>0</v>
      </c>
      <c r="DF219" s="129">
        <v>-30031</v>
      </c>
      <c r="DG219" s="129">
        <v>0</v>
      </c>
      <c r="DH219" s="129">
        <v>0</v>
      </c>
      <c r="DI219" s="129">
        <v>0</v>
      </c>
      <c r="DJ219" s="129">
        <v>-30031</v>
      </c>
      <c r="DK219" s="129">
        <v>0</v>
      </c>
      <c r="DL219" s="129">
        <v>0</v>
      </c>
      <c r="DM219" s="129">
        <v>0</v>
      </c>
      <c r="DN219" s="129">
        <v>-30031</v>
      </c>
      <c r="DO219" s="129">
        <v>0</v>
      </c>
      <c r="DP219" s="129">
        <v>-30031</v>
      </c>
      <c r="DQ219" s="129">
        <v>52962522</v>
      </c>
      <c r="DR219" s="129">
        <v>0</v>
      </c>
      <c r="DS219" s="129">
        <v>52962522</v>
      </c>
      <c r="DT219" s="662" t="s">
        <v>301</v>
      </c>
      <c r="DU219" s="324" t="s">
        <v>532</v>
      </c>
      <c r="DV219" s="663" t="s">
        <v>1914</v>
      </c>
      <c r="DW219" s="529" t="s">
        <v>1425</v>
      </c>
    </row>
    <row r="220" spans="1:127" ht="12.75" x14ac:dyDescent="0.2">
      <c r="A220" s="664">
        <v>213</v>
      </c>
      <c r="B220" s="665" t="s">
        <v>303</v>
      </c>
      <c r="C220" s="666" t="s">
        <v>486</v>
      </c>
      <c r="D220" s="667" t="s">
        <v>1206</v>
      </c>
      <c r="E220" s="668" t="s">
        <v>550</v>
      </c>
      <c r="F220" s="753" t="s">
        <v>1877</v>
      </c>
      <c r="G220" s="129">
        <v>32847230</v>
      </c>
      <c r="H220" s="129">
        <v>0</v>
      </c>
      <c r="I220" s="129">
        <v>32847230</v>
      </c>
      <c r="J220" s="793">
        <v>49.9</v>
      </c>
      <c r="K220" s="129">
        <v>16390768</v>
      </c>
      <c r="L220" s="129">
        <v>0</v>
      </c>
      <c r="M220" s="129">
        <v>0</v>
      </c>
      <c r="N220" s="129">
        <v>0</v>
      </c>
      <c r="O220" s="129">
        <v>16390768</v>
      </c>
      <c r="P220" s="129">
        <v>0</v>
      </c>
      <c r="Q220" s="129">
        <v>16390768</v>
      </c>
      <c r="R220" s="129">
        <v>-152156</v>
      </c>
      <c r="S220" s="129">
        <v>0</v>
      </c>
      <c r="T220" s="129">
        <v>-152156</v>
      </c>
      <c r="U220" s="129">
        <v>0</v>
      </c>
      <c r="V220" s="129">
        <v>0</v>
      </c>
      <c r="W220" s="129">
        <v>0</v>
      </c>
      <c r="X220" s="129">
        <v>-152156</v>
      </c>
      <c r="Y220" s="129">
        <v>0</v>
      </c>
      <c r="Z220" s="129">
        <v>0</v>
      </c>
      <c r="AA220" s="129">
        <v>0</v>
      </c>
      <c r="AB220" s="129">
        <v>-152156</v>
      </c>
      <c r="AC220" s="129">
        <v>0</v>
      </c>
      <c r="AD220" s="129">
        <v>-152156</v>
      </c>
      <c r="AE220" s="129">
        <v>152156</v>
      </c>
      <c r="AF220" s="129">
        <v>0</v>
      </c>
      <c r="AG220" s="129">
        <v>152156</v>
      </c>
      <c r="AH220" s="129">
        <v>-2091383</v>
      </c>
      <c r="AI220" s="129">
        <v>0</v>
      </c>
      <c r="AJ220" s="129">
        <v>-2091383</v>
      </c>
      <c r="AK220" s="129">
        <v>-7643</v>
      </c>
      <c r="AL220" s="129">
        <v>0</v>
      </c>
      <c r="AM220" s="129">
        <v>-7643</v>
      </c>
      <c r="AN220" s="129">
        <v>269718</v>
      </c>
      <c r="AO220" s="129">
        <v>0</v>
      </c>
      <c r="AP220" s="129">
        <v>269718</v>
      </c>
      <c r="AQ220" s="129">
        <v>-1821665</v>
      </c>
      <c r="AR220" s="129">
        <v>0</v>
      </c>
      <c r="AS220" s="129">
        <v>-1821665</v>
      </c>
      <c r="AT220" s="129">
        <v>-1744399</v>
      </c>
      <c r="AU220" s="129">
        <v>0</v>
      </c>
      <c r="AV220" s="129">
        <v>-1744399</v>
      </c>
      <c r="AW220" s="129">
        <v>-27487</v>
      </c>
      <c r="AX220" s="129">
        <v>0</v>
      </c>
      <c r="AY220" s="129">
        <v>-27487</v>
      </c>
      <c r="AZ220" s="129">
        <v>-1262</v>
      </c>
      <c r="BA220" s="129">
        <v>0</v>
      </c>
      <c r="BB220" s="129">
        <v>-1262</v>
      </c>
      <c r="BC220" s="129">
        <v>0</v>
      </c>
      <c r="BD220" s="129">
        <v>0</v>
      </c>
      <c r="BE220" s="129">
        <v>0</v>
      </c>
      <c r="BF220" s="129">
        <v>-3594813</v>
      </c>
      <c r="BG220" s="129">
        <v>0</v>
      </c>
      <c r="BH220" s="129">
        <v>0</v>
      </c>
      <c r="BI220" s="129">
        <v>0</v>
      </c>
      <c r="BJ220" s="129">
        <v>-3594813</v>
      </c>
      <c r="BK220" s="129">
        <v>0</v>
      </c>
      <c r="BL220" s="129">
        <v>-3594813</v>
      </c>
      <c r="BM220" s="129">
        <v>0</v>
      </c>
      <c r="BN220" s="129">
        <v>0</v>
      </c>
      <c r="BO220" s="129">
        <v>0</v>
      </c>
      <c r="BP220" s="129">
        <v>-197893</v>
      </c>
      <c r="BQ220" s="129">
        <v>0</v>
      </c>
      <c r="BR220" s="129">
        <v>-197893</v>
      </c>
      <c r="BS220" s="129">
        <v>-197893</v>
      </c>
      <c r="BT220" s="129">
        <v>0</v>
      </c>
      <c r="BU220" s="129">
        <v>-197893</v>
      </c>
      <c r="BV220" s="129">
        <v>0</v>
      </c>
      <c r="BW220" s="129">
        <v>-395786</v>
      </c>
      <c r="BX220" s="129">
        <v>0</v>
      </c>
      <c r="BY220" s="129">
        <v>-395786</v>
      </c>
      <c r="BZ220" s="129">
        <v>-43870</v>
      </c>
      <c r="CA220" s="129">
        <v>0</v>
      </c>
      <c r="CB220" s="129">
        <v>-43870</v>
      </c>
      <c r="CC220" s="129">
        <v>-15605</v>
      </c>
      <c r="CD220" s="129">
        <v>0</v>
      </c>
      <c r="CE220" s="129">
        <v>-15605</v>
      </c>
      <c r="CF220" s="129">
        <v>-1700</v>
      </c>
      <c r="CG220" s="129">
        <v>0</v>
      </c>
      <c r="CH220" s="129">
        <v>-1700</v>
      </c>
      <c r="CI220" s="129">
        <v>0</v>
      </c>
      <c r="CJ220" s="129">
        <v>0</v>
      </c>
      <c r="CK220" s="129">
        <v>0</v>
      </c>
      <c r="CL220" s="129">
        <v>0</v>
      </c>
      <c r="CM220" s="129">
        <v>0</v>
      </c>
      <c r="CN220" s="129">
        <v>0</v>
      </c>
      <c r="CO220" s="129">
        <v>0</v>
      </c>
      <c r="CP220" s="129">
        <v>0</v>
      </c>
      <c r="CQ220" s="129">
        <v>0</v>
      </c>
      <c r="CR220" s="129">
        <v>0</v>
      </c>
      <c r="CS220" s="129">
        <v>0</v>
      </c>
      <c r="CT220" s="129">
        <v>-61175</v>
      </c>
      <c r="CU220" s="129">
        <v>0</v>
      </c>
      <c r="CV220" s="129">
        <v>0</v>
      </c>
      <c r="CW220" s="129">
        <v>0</v>
      </c>
      <c r="CX220" s="129">
        <v>-61175</v>
      </c>
      <c r="CY220" s="129">
        <v>0</v>
      </c>
      <c r="CZ220" s="129">
        <v>-61175</v>
      </c>
      <c r="DA220" s="129">
        <v>-883</v>
      </c>
      <c r="DB220" s="129">
        <v>0</v>
      </c>
      <c r="DC220" s="129">
        <v>-883</v>
      </c>
      <c r="DD220" s="129">
        <v>-3403</v>
      </c>
      <c r="DE220" s="129">
        <v>0</v>
      </c>
      <c r="DF220" s="129">
        <v>-3403</v>
      </c>
      <c r="DG220" s="129">
        <v>0</v>
      </c>
      <c r="DH220" s="129">
        <v>0</v>
      </c>
      <c r="DI220" s="129">
        <v>0</v>
      </c>
      <c r="DJ220" s="129">
        <v>-4286</v>
      </c>
      <c r="DK220" s="129">
        <v>0</v>
      </c>
      <c r="DL220" s="129">
        <v>0</v>
      </c>
      <c r="DM220" s="129">
        <v>0</v>
      </c>
      <c r="DN220" s="129">
        <v>-4286</v>
      </c>
      <c r="DO220" s="129">
        <v>0</v>
      </c>
      <c r="DP220" s="129">
        <v>-4286</v>
      </c>
      <c r="DQ220" s="129">
        <v>12182552</v>
      </c>
      <c r="DR220" s="129">
        <v>0</v>
      </c>
      <c r="DS220" s="129">
        <v>12182552</v>
      </c>
      <c r="DT220" s="662" t="s">
        <v>550</v>
      </c>
      <c r="DU220" s="324" t="s">
        <v>486</v>
      </c>
      <c r="DV220" s="663" t="s">
        <v>549</v>
      </c>
      <c r="DW220" s="529" t="s">
        <v>1426</v>
      </c>
    </row>
    <row r="221" spans="1:127" ht="12.75" x14ac:dyDescent="0.2">
      <c r="A221" s="664">
        <v>214</v>
      </c>
      <c r="B221" s="665" t="s">
        <v>305</v>
      </c>
      <c r="C221" s="666" t="s">
        <v>1201</v>
      </c>
      <c r="D221" s="667" t="s">
        <v>1218</v>
      </c>
      <c r="E221" s="668" t="s">
        <v>304</v>
      </c>
      <c r="F221" s="753" t="s">
        <v>1886</v>
      </c>
      <c r="G221" s="129">
        <v>49221188</v>
      </c>
      <c r="H221" s="129">
        <v>0</v>
      </c>
      <c r="I221" s="129">
        <v>49221188</v>
      </c>
      <c r="J221" s="793">
        <v>49.9</v>
      </c>
      <c r="K221" s="129">
        <v>24561373</v>
      </c>
      <c r="L221" s="129">
        <v>0</v>
      </c>
      <c r="M221" s="129">
        <v>120000</v>
      </c>
      <c r="N221" s="129">
        <v>0</v>
      </c>
      <c r="O221" s="129">
        <v>24681373</v>
      </c>
      <c r="P221" s="129">
        <v>0</v>
      </c>
      <c r="Q221" s="129">
        <v>24681373</v>
      </c>
      <c r="R221" s="129">
        <v>-177000</v>
      </c>
      <c r="S221" s="129">
        <v>0</v>
      </c>
      <c r="T221" s="129">
        <v>-177000</v>
      </c>
      <c r="U221" s="129">
        <v>10000</v>
      </c>
      <c r="V221" s="129">
        <v>0</v>
      </c>
      <c r="W221" s="129">
        <v>10000</v>
      </c>
      <c r="X221" s="129">
        <v>-167000</v>
      </c>
      <c r="Y221" s="129">
        <v>0</v>
      </c>
      <c r="Z221" s="129">
        <v>0</v>
      </c>
      <c r="AA221" s="129">
        <v>0</v>
      </c>
      <c r="AB221" s="129">
        <v>-167000</v>
      </c>
      <c r="AC221" s="129">
        <v>0</v>
      </c>
      <c r="AD221" s="129">
        <v>-167000</v>
      </c>
      <c r="AE221" s="129">
        <v>167000</v>
      </c>
      <c r="AF221" s="129">
        <v>0</v>
      </c>
      <c r="AG221" s="129">
        <v>167000</v>
      </c>
      <c r="AH221" s="129">
        <v>-3960000</v>
      </c>
      <c r="AI221" s="129">
        <v>0</v>
      </c>
      <c r="AJ221" s="129">
        <v>-3960000</v>
      </c>
      <c r="AK221" s="129">
        <v>-7600</v>
      </c>
      <c r="AL221" s="129">
        <v>0</v>
      </c>
      <c r="AM221" s="129">
        <v>-7600</v>
      </c>
      <c r="AN221" s="129">
        <v>325362</v>
      </c>
      <c r="AO221" s="129">
        <v>0</v>
      </c>
      <c r="AP221" s="129">
        <v>325362</v>
      </c>
      <c r="AQ221" s="129">
        <v>-3634638</v>
      </c>
      <c r="AR221" s="129">
        <v>0</v>
      </c>
      <c r="AS221" s="129">
        <v>-3634638</v>
      </c>
      <c r="AT221" s="129">
        <v>-1136000</v>
      </c>
      <c r="AU221" s="129">
        <v>0</v>
      </c>
      <c r="AV221" s="129">
        <v>-1136000</v>
      </c>
      <c r="AW221" s="129">
        <v>-13413</v>
      </c>
      <c r="AX221" s="129">
        <v>0</v>
      </c>
      <c r="AY221" s="129">
        <v>-13413</v>
      </c>
      <c r="AZ221" s="129">
        <v>-26383</v>
      </c>
      <c r="BA221" s="129">
        <v>0</v>
      </c>
      <c r="BB221" s="129">
        <v>-26383</v>
      </c>
      <c r="BC221" s="129">
        <v>0</v>
      </c>
      <c r="BD221" s="129">
        <v>0</v>
      </c>
      <c r="BE221" s="129">
        <v>0</v>
      </c>
      <c r="BF221" s="129">
        <v>-4810434</v>
      </c>
      <c r="BG221" s="129">
        <v>0</v>
      </c>
      <c r="BH221" s="129">
        <v>0</v>
      </c>
      <c r="BI221" s="129">
        <v>0</v>
      </c>
      <c r="BJ221" s="129">
        <v>-4810434</v>
      </c>
      <c r="BK221" s="129">
        <v>0</v>
      </c>
      <c r="BL221" s="129">
        <v>-4810434</v>
      </c>
      <c r="BM221" s="129">
        <v>-20000</v>
      </c>
      <c r="BN221" s="129">
        <v>0</v>
      </c>
      <c r="BO221" s="129">
        <v>-20000</v>
      </c>
      <c r="BP221" s="129">
        <v>-259025</v>
      </c>
      <c r="BQ221" s="129">
        <v>0</v>
      </c>
      <c r="BR221" s="129">
        <v>-259025</v>
      </c>
      <c r="BS221" s="129">
        <v>-279025</v>
      </c>
      <c r="BT221" s="129">
        <v>0</v>
      </c>
      <c r="BU221" s="129">
        <v>0</v>
      </c>
      <c r="BV221" s="129">
        <v>0</v>
      </c>
      <c r="BW221" s="129">
        <v>-279025</v>
      </c>
      <c r="BX221" s="129">
        <v>0</v>
      </c>
      <c r="BY221" s="129">
        <v>-279025</v>
      </c>
      <c r="BZ221" s="129">
        <v>-108292</v>
      </c>
      <c r="CA221" s="129">
        <v>0</v>
      </c>
      <c r="CB221" s="129">
        <v>-108292</v>
      </c>
      <c r="CC221" s="129">
        <v>-55898</v>
      </c>
      <c r="CD221" s="129">
        <v>0</v>
      </c>
      <c r="CE221" s="129">
        <v>-55898</v>
      </c>
      <c r="CF221" s="129">
        <v>-3353</v>
      </c>
      <c r="CG221" s="129">
        <v>0</v>
      </c>
      <c r="CH221" s="129">
        <v>-3353</v>
      </c>
      <c r="CI221" s="129">
        <v>0</v>
      </c>
      <c r="CJ221" s="129">
        <v>0</v>
      </c>
      <c r="CK221" s="129">
        <v>0</v>
      </c>
      <c r="CL221" s="129">
        <v>0</v>
      </c>
      <c r="CM221" s="129">
        <v>0</v>
      </c>
      <c r="CN221" s="129">
        <v>0</v>
      </c>
      <c r="CO221" s="129">
        <v>0</v>
      </c>
      <c r="CP221" s="129">
        <v>0</v>
      </c>
      <c r="CQ221" s="129">
        <v>0</v>
      </c>
      <c r="CR221" s="129">
        <v>0</v>
      </c>
      <c r="CS221" s="129">
        <v>0</v>
      </c>
      <c r="CT221" s="129">
        <v>-167543</v>
      </c>
      <c r="CU221" s="129">
        <v>0</v>
      </c>
      <c r="CV221" s="129">
        <v>0</v>
      </c>
      <c r="CW221" s="129">
        <v>0</v>
      </c>
      <c r="CX221" s="129">
        <v>-167543</v>
      </c>
      <c r="CY221" s="129">
        <v>0</v>
      </c>
      <c r="CZ221" s="129">
        <v>-167543</v>
      </c>
      <c r="DA221" s="129">
        <v>-25436</v>
      </c>
      <c r="DB221" s="129">
        <v>0</v>
      </c>
      <c r="DC221" s="129">
        <v>-25436</v>
      </c>
      <c r="DD221" s="129">
        <v>-32649</v>
      </c>
      <c r="DE221" s="129">
        <v>0</v>
      </c>
      <c r="DF221" s="129">
        <v>-32649</v>
      </c>
      <c r="DG221" s="129">
        <v>-1500</v>
      </c>
      <c r="DH221" s="129">
        <v>0</v>
      </c>
      <c r="DI221" s="129">
        <v>-1500</v>
      </c>
      <c r="DJ221" s="129">
        <v>-59585</v>
      </c>
      <c r="DK221" s="129">
        <v>0</v>
      </c>
      <c r="DL221" s="129">
        <v>0</v>
      </c>
      <c r="DM221" s="129">
        <v>0</v>
      </c>
      <c r="DN221" s="129">
        <v>-59585</v>
      </c>
      <c r="DO221" s="129">
        <v>0</v>
      </c>
      <c r="DP221" s="129">
        <v>-59585</v>
      </c>
      <c r="DQ221" s="129">
        <v>19197786</v>
      </c>
      <c r="DR221" s="129">
        <v>0</v>
      </c>
      <c r="DS221" s="129">
        <v>19197786</v>
      </c>
      <c r="DT221" s="662" t="s">
        <v>304</v>
      </c>
      <c r="DU221" s="324" t="s">
        <v>556</v>
      </c>
      <c r="DV221" s="663" t="s">
        <v>555</v>
      </c>
      <c r="DW221" s="529" t="s">
        <v>1427</v>
      </c>
    </row>
    <row r="222" spans="1:127" ht="12.75" x14ac:dyDescent="0.2">
      <c r="A222" s="664">
        <v>215</v>
      </c>
      <c r="B222" s="665" t="s">
        <v>307</v>
      </c>
      <c r="C222" s="666" t="s">
        <v>1217</v>
      </c>
      <c r="D222" s="667" t="s">
        <v>1204</v>
      </c>
      <c r="E222" s="668" t="s">
        <v>306</v>
      </c>
      <c r="F222" s="753" t="s">
        <v>1880</v>
      </c>
      <c r="G222" s="129">
        <v>243234462</v>
      </c>
      <c r="H222" s="129">
        <v>0</v>
      </c>
      <c r="I222" s="129">
        <v>243234462</v>
      </c>
      <c r="J222" s="793">
        <v>49.9</v>
      </c>
      <c r="K222" s="129">
        <v>121373997</v>
      </c>
      <c r="L222" s="129">
        <v>0</v>
      </c>
      <c r="M222" s="129">
        <v>3534154</v>
      </c>
      <c r="N222" s="129">
        <v>0</v>
      </c>
      <c r="O222" s="129">
        <v>124908151</v>
      </c>
      <c r="P222" s="129">
        <v>0</v>
      </c>
      <c r="Q222" s="129">
        <v>124908151</v>
      </c>
      <c r="R222" s="129">
        <v>-661960</v>
      </c>
      <c r="S222" s="129">
        <v>0</v>
      </c>
      <c r="T222" s="129">
        <v>-661960</v>
      </c>
      <c r="U222" s="129">
        <v>639826</v>
      </c>
      <c r="V222" s="129">
        <v>0</v>
      </c>
      <c r="W222" s="129">
        <v>639826</v>
      </c>
      <c r="X222" s="129">
        <v>-22134</v>
      </c>
      <c r="Y222" s="129">
        <v>0</v>
      </c>
      <c r="Z222" s="129">
        <v>0</v>
      </c>
      <c r="AA222" s="129">
        <v>0</v>
      </c>
      <c r="AB222" s="129">
        <v>-22134</v>
      </c>
      <c r="AC222" s="129">
        <v>0</v>
      </c>
      <c r="AD222" s="129">
        <v>-22134</v>
      </c>
      <c r="AE222" s="129">
        <v>22134</v>
      </c>
      <c r="AF222" s="129">
        <v>0</v>
      </c>
      <c r="AG222" s="129">
        <v>22134</v>
      </c>
      <c r="AH222" s="129">
        <v>-9614190</v>
      </c>
      <c r="AI222" s="129">
        <v>0</v>
      </c>
      <c r="AJ222" s="129">
        <v>-9614190</v>
      </c>
      <c r="AK222" s="129">
        <v>-10679</v>
      </c>
      <c r="AL222" s="129">
        <v>0</v>
      </c>
      <c r="AM222" s="129">
        <v>-10679</v>
      </c>
      <c r="AN222" s="129">
        <v>2302134</v>
      </c>
      <c r="AO222" s="129">
        <v>0</v>
      </c>
      <c r="AP222" s="129">
        <v>2302134</v>
      </c>
      <c r="AQ222" s="129">
        <v>-7312056</v>
      </c>
      <c r="AR222" s="129">
        <v>0</v>
      </c>
      <c r="AS222" s="129">
        <v>-7312056</v>
      </c>
      <c r="AT222" s="129">
        <v>-8820169</v>
      </c>
      <c r="AU222" s="129">
        <v>0</v>
      </c>
      <c r="AV222" s="129">
        <v>-8820169</v>
      </c>
      <c r="AW222" s="129">
        <v>-127521</v>
      </c>
      <c r="AX222" s="129">
        <v>0</v>
      </c>
      <c r="AY222" s="129">
        <v>-127521</v>
      </c>
      <c r="AZ222" s="129">
        <v>0</v>
      </c>
      <c r="BA222" s="129">
        <v>0</v>
      </c>
      <c r="BB222" s="129">
        <v>0</v>
      </c>
      <c r="BC222" s="129">
        <v>0</v>
      </c>
      <c r="BD222" s="129">
        <v>0</v>
      </c>
      <c r="BE222" s="129">
        <v>0</v>
      </c>
      <c r="BF222" s="129">
        <v>-16259746</v>
      </c>
      <c r="BG222" s="129">
        <v>0</v>
      </c>
      <c r="BH222" s="129">
        <v>-154624</v>
      </c>
      <c r="BI222" s="129">
        <v>0</v>
      </c>
      <c r="BJ222" s="129">
        <v>-16414370</v>
      </c>
      <c r="BK222" s="129">
        <v>0</v>
      </c>
      <c r="BL222" s="129">
        <v>-16414370</v>
      </c>
      <c r="BM222" s="129">
        <v>0</v>
      </c>
      <c r="BN222" s="129">
        <v>0</v>
      </c>
      <c r="BO222" s="129">
        <v>0</v>
      </c>
      <c r="BP222" s="129">
        <v>-6345000</v>
      </c>
      <c r="BQ222" s="129">
        <v>0</v>
      </c>
      <c r="BR222" s="129">
        <v>-6345000</v>
      </c>
      <c r="BS222" s="129">
        <v>-6345000</v>
      </c>
      <c r="BT222" s="129">
        <v>0</v>
      </c>
      <c r="BU222" s="129">
        <v>0</v>
      </c>
      <c r="BV222" s="129">
        <v>0</v>
      </c>
      <c r="BW222" s="129">
        <v>-6345000</v>
      </c>
      <c r="BX222" s="129">
        <v>0</v>
      </c>
      <c r="BY222" s="129">
        <v>-6345000</v>
      </c>
      <c r="BZ222" s="129">
        <v>-241300</v>
      </c>
      <c r="CA222" s="129">
        <v>0</v>
      </c>
      <c r="CB222" s="129">
        <v>-241300</v>
      </c>
      <c r="CC222" s="129">
        <v>0</v>
      </c>
      <c r="CD222" s="129">
        <v>0</v>
      </c>
      <c r="CE222" s="129">
        <v>0</v>
      </c>
      <c r="CF222" s="129">
        <v>0</v>
      </c>
      <c r="CG222" s="129">
        <v>0</v>
      </c>
      <c r="CH222" s="129">
        <v>0</v>
      </c>
      <c r="CI222" s="129">
        <v>0</v>
      </c>
      <c r="CJ222" s="129">
        <v>0</v>
      </c>
      <c r="CK222" s="129">
        <v>0</v>
      </c>
      <c r="CL222" s="129">
        <v>0</v>
      </c>
      <c r="CM222" s="129">
        <v>0</v>
      </c>
      <c r="CN222" s="129">
        <v>0</v>
      </c>
      <c r="CO222" s="129">
        <v>0</v>
      </c>
      <c r="CP222" s="129">
        <v>0</v>
      </c>
      <c r="CQ222" s="129">
        <v>0</v>
      </c>
      <c r="CR222" s="129">
        <v>0</v>
      </c>
      <c r="CS222" s="129">
        <v>0</v>
      </c>
      <c r="CT222" s="129">
        <v>-241300</v>
      </c>
      <c r="CU222" s="129">
        <v>0</v>
      </c>
      <c r="CV222" s="129">
        <v>0</v>
      </c>
      <c r="CW222" s="129">
        <v>0</v>
      </c>
      <c r="CX222" s="129">
        <v>-241300</v>
      </c>
      <c r="CY222" s="129">
        <v>0</v>
      </c>
      <c r="CZ222" s="129">
        <v>-241300</v>
      </c>
      <c r="DA222" s="129">
        <v>0</v>
      </c>
      <c r="DB222" s="129">
        <v>0</v>
      </c>
      <c r="DC222" s="129">
        <v>0</v>
      </c>
      <c r="DD222" s="129">
        <v>-3581</v>
      </c>
      <c r="DE222" s="129">
        <v>0</v>
      </c>
      <c r="DF222" s="129">
        <v>-3581</v>
      </c>
      <c r="DG222" s="129">
        <v>0</v>
      </c>
      <c r="DH222" s="129">
        <v>0</v>
      </c>
      <c r="DI222" s="129">
        <v>0</v>
      </c>
      <c r="DJ222" s="129">
        <v>-3581</v>
      </c>
      <c r="DK222" s="129">
        <v>0</v>
      </c>
      <c r="DL222" s="129">
        <v>0</v>
      </c>
      <c r="DM222" s="129">
        <v>0</v>
      </c>
      <c r="DN222" s="129">
        <v>-3581</v>
      </c>
      <c r="DO222" s="129">
        <v>0</v>
      </c>
      <c r="DP222" s="129">
        <v>-3581</v>
      </c>
      <c r="DQ222" s="129">
        <v>101881766</v>
      </c>
      <c r="DR222" s="129">
        <v>0</v>
      </c>
      <c r="DS222" s="129">
        <v>101881766</v>
      </c>
      <c r="DT222" s="662" t="s">
        <v>306</v>
      </c>
      <c r="DU222" s="324" t="s">
        <v>570</v>
      </c>
      <c r="DV222" s="663" t="s">
        <v>1915</v>
      </c>
      <c r="DW222" s="529" t="s">
        <v>1428</v>
      </c>
    </row>
    <row r="223" spans="1:127" ht="12.75" x14ac:dyDescent="0.2">
      <c r="A223" s="664">
        <v>216</v>
      </c>
      <c r="B223" s="665" t="s">
        <v>309</v>
      </c>
      <c r="C223" s="666" t="s">
        <v>1217</v>
      </c>
      <c r="D223" s="667" t="s">
        <v>1228</v>
      </c>
      <c r="E223" s="668" t="s">
        <v>308</v>
      </c>
      <c r="F223" s="753" t="s">
        <v>1875</v>
      </c>
      <c r="G223" s="129">
        <v>257682559</v>
      </c>
      <c r="H223" s="129">
        <v>0</v>
      </c>
      <c r="I223" s="129">
        <v>257682559</v>
      </c>
      <c r="J223" s="793">
        <v>49.9</v>
      </c>
      <c r="K223" s="129">
        <v>128583597</v>
      </c>
      <c r="L223" s="129">
        <v>0</v>
      </c>
      <c r="M223" s="129">
        <v>0</v>
      </c>
      <c r="N223" s="129">
        <v>0</v>
      </c>
      <c r="O223" s="129">
        <v>128583597</v>
      </c>
      <c r="P223" s="129">
        <v>0</v>
      </c>
      <c r="Q223" s="129">
        <v>128583597</v>
      </c>
      <c r="R223" s="129">
        <v>-150000</v>
      </c>
      <c r="S223" s="129">
        <v>0</v>
      </c>
      <c r="T223" s="129">
        <v>-150000</v>
      </c>
      <c r="U223" s="129">
        <v>280000</v>
      </c>
      <c r="V223" s="129">
        <v>0</v>
      </c>
      <c r="W223" s="129">
        <v>280000</v>
      </c>
      <c r="X223" s="129">
        <v>130000</v>
      </c>
      <c r="Y223" s="129">
        <v>0</v>
      </c>
      <c r="Z223" s="129">
        <v>0</v>
      </c>
      <c r="AA223" s="129">
        <v>0</v>
      </c>
      <c r="AB223" s="129">
        <v>130000</v>
      </c>
      <c r="AC223" s="129">
        <v>0</v>
      </c>
      <c r="AD223" s="129">
        <v>130000</v>
      </c>
      <c r="AE223" s="129">
        <v>-130000</v>
      </c>
      <c r="AF223" s="129">
        <v>0</v>
      </c>
      <c r="AG223" s="129">
        <v>-130000</v>
      </c>
      <c r="AH223" s="129">
        <v>-14500000</v>
      </c>
      <c r="AI223" s="129">
        <v>0</v>
      </c>
      <c r="AJ223" s="129">
        <v>-14500000</v>
      </c>
      <c r="AK223" s="129">
        <v>-100000</v>
      </c>
      <c r="AL223" s="129">
        <v>0</v>
      </c>
      <c r="AM223" s="129">
        <v>-100000</v>
      </c>
      <c r="AN223" s="129">
        <v>2254550</v>
      </c>
      <c r="AO223" s="129">
        <v>0</v>
      </c>
      <c r="AP223" s="129">
        <v>2254550</v>
      </c>
      <c r="AQ223" s="129">
        <v>-12245450</v>
      </c>
      <c r="AR223" s="129">
        <v>0</v>
      </c>
      <c r="AS223" s="129">
        <v>-12245450</v>
      </c>
      <c r="AT223" s="129">
        <v>-6500000</v>
      </c>
      <c r="AU223" s="129">
        <v>0</v>
      </c>
      <c r="AV223" s="129">
        <v>-6500000</v>
      </c>
      <c r="AW223" s="129">
        <v>-83600</v>
      </c>
      <c r="AX223" s="129">
        <v>0</v>
      </c>
      <c r="AY223" s="129">
        <v>-83600</v>
      </c>
      <c r="AZ223" s="129">
        <v>0</v>
      </c>
      <c r="BA223" s="129">
        <v>0</v>
      </c>
      <c r="BB223" s="129">
        <v>0</v>
      </c>
      <c r="BC223" s="129">
        <v>0</v>
      </c>
      <c r="BD223" s="129">
        <v>0</v>
      </c>
      <c r="BE223" s="129">
        <v>0</v>
      </c>
      <c r="BF223" s="129">
        <v>-18829050</v>
      </c>
      <c r="BG223" s="129">
        <v>0</v>
      </c>
      <c r="BH223" s="129">
        <v>0</v>
      </c>
      <c r="BI223" s="129">
        <v>0</v>
      </c>
      <c r="BJ223" s="129">
        <v>-18829050</v>
      </c>
      <c r="BK223" s="129">
        <v>0</v>
      </c>
      <c r="BL223" s="129">
        <v>-18829050</v>
      </c>
      <c r="BM223" s="129">
        <v>-70500</v>
      </c>
      <c r="BN223" s="129">
        <v>0</v>
      </c>
      <c r="BO223" s="129">
        <v>-70500</v>
      </c>
      <c r="BP223" s="129">
        <v>-3500000</v>
      </c>
      <c r="BQ223" s="129">
        <v>0</v>
      </c>
      <c r="BR223" s="129">
        <v>-3500000</v>
      </c>
      <c r="BS223" s="129">
        <v>-3570500</v>
      </c>
      <c r="BT223" s="129">
        <v>0</v>
      </c>
      <c r="BU223" s="129">
        <v>0</v>
      </c>
      <c r="BV223" s="129">
        <v>0</v>
      </c>
      <c r="BW223" s="129">
        <v>-3570500</v>
      </c>
      <c r="BX223" s="129">
        <v>0</v>
      </c>
      <c r="BY223" s="129">
        <v>-3570500</v>
      </c>
      <c r="BZ223" s="129">
        <v>-300000</v>
      </c>
      <c r="CA223" s="129">
        <v>0</v>
      </c>
      <c r="CB223" s="129">
        <v>-300000</v>
      </c>
      <c r="CC223" s="129">
        <v>-40000</v>
      </c>
      <c r="CD223" s="129">
        <v>0</v>
      </c>
      <c r="CE223" s="129">
        <v>-40000</v>
      </c>
      <c r="CF223" s="129">
        <v>-7300</v>
      </c>
      <c r="CG223" s="129">
        <v>0</v>
      </c>
      <c r="CH223" s="129">
        <v>-7300</v>
      </c>
      <c r="CI223" s="129">
        <v>0</v>
      </c>
      <c r="CJ223" s="129">
        <v>0</v>
      </c>
      <c r="CK223" s="129">
        <v>0</v>
      </c>
      <c r="CL223" s="129">
        <v>0</v>
      </c>
      <c r="CM223" s="129">
        <v>0</v>
      </c>
      <c r="CN223" s="129">
        <v>0</v>
      </c>
      <c r="CO223" s="129">
        <v>0</v>
      </c>
      <c r="CP223" s="129">
        <v>0</v>
      </c>
      <c r="CQ223" s="129">
        <v>0</v>
      </c>
      <c r="CR223" s="129">
        <v>0</v>
      </c>
      <c r="CS223" s="129">
        <v>0</v>
      </c>
      <c r="CT223" s="129">
        <v>-347300</v>
      </c>
      <c r="CU223" s="129">
        <v>0</v>
      </c>
      <c r="CV223" s="129">
        <v>0</v>
      </c>
      <c r="CW223" s="129">
        <v>0</v>
      </c>
      <c r="CX223" s="129">
        <v>-347300</v>
      </c>
      <c r="CY223" s="129">
        <v>0</v>
      </c>
      <c r="CZ223" s="129">
        <v>-347300</v>
      </c>
      <c r="DA223" s="129">
        <v>0</v>
      </c>
      <c r="DB223" s="129">
        <v>0</v>
      </c>
      <c r="DC223" s="129">
        <v>0</v>
      </c>
      <c r="DD223" s="129">
        <v>-45000</v>
      </c>
      <c r="DE223" s="129">
        <v>0</v>
      </c>
      <c r="DF223" s="129">
        <v>-45000</v>
      </c>
      <c r="DG223" s="129">
        <v>0</v>
      </c>
      <c r="DH223" s="129">
        <v>0</v>
      </c>
      <c r="DI223" s="129">
        <v>0</v>
      </c>
      <c r="DJ223" s="129">
        <v>-45000</v>
      </c>
      <c r="DK223" s="129">
        <v>0</v>
      </c>
      <c r="DL223" s="129">
        <v>0</v>
      </c>
      <c r="DM223" s="129">
        <v>0</v>
      </c>
      <c r="DN223" s="129">
        <v>-45000</v>
      </c>
      <c r="DO223" s="129">
        <v>0</v>
      </c>
      <c r="DP223" s="129">
        <v>-45000</v>
      </c>
      <c r="DQ223" s="129">
        <v>105921747</v>
      </c>
      <c r="DR223" s="129">
        <v>0</v>
      </c>
      <c r="DS223" s="129">
        <v>105921747</v>
      </c>
      <c r="DT223" s="662" t="s">
        <v>308</v>
      </c>
      <c r="DU223" s="324" t="s">
        <v>570</v>
      </c>
      <c r="DV223" s="663" t="s">
        <v>574</v>
      </c>
      <c r="DW223" s="529" t="s">
        <v>1429</v>
      </c>
    </row>
    <row r="224" spans="1:127" ht="12.75" x14ac:dyDescent="0.2">
      <c r="A224" s="664">
        <v>217</v>
      </c>
      <c r="B224" s="665" t="s">
        <v>311</v>
      </c>
      <c r="C224" s="666" t="s">
        <v>1201</v>
      </c>
      <c r="D224" s="667" t="s">
        <v>1218</v>
      </c>
      <c r="E224" s="668" t="s">
        <v>310</v>
      </c>
      <c r="F224" s="753" t="s">
        <v>1891</v>
      </c>
      <c r="G224" s="129">
        <v>106282076</v>
      </c>
      <c r="H224" s="129">
        <v>0</v>
      </c>
      <c r="I224" s="129">
        <v>106282076</v>
      </c>
      <c r="J224" s="793">
        <v>49.9</v>
      </c>
      <c r="K224" s="129">
        <v>53034756</v>
      </c>
      <c r="L224" s="129">
        <v>0</v>
      </c>
      <c r="M224" s="129">
        <v>0</v>
      </c>
      <c r="N224" s="129">
        <v>0</v>
      </c>
      <c r="O224" s="129">
        <v>53034756</v>
      </c>
      <c r="P224" s="129">
        <v>0</v>
      </c>
      <c r="Q224" s="129">
        <v>53034756</v>
      </c>
      <c r="R224" s="129">
        <v>-328596</v>
      </c>
      <c r="S224" s="129">
        <v>0</v>
      </c>
      <c r="T224" s="129">
        <v>-328596</v>
      </c>
      <c r="U224" s="129">
        <v>58856</v>
      </c>
      <c r="V224" s="129">
        <v>0</v>
      </c>
      <c r="W224" s="129">
        <v>58856</v>
      </c>
      <c r="X224" s="129">
        <v>-269740</v>
      </c>
      <c r="Y224" s="129">
        <v>0</v>
      </c>
      <c r="Z224" s="129">
        <v>0</v>
      </c>
      <c r="AA224" s="129">
        <v>0</v>
      </c>
      <c r="AB224" s="129">
        <v>-269740</v>
      </c>
      <c r="AC224" s="129">
        <v>0</v>
      </c>
      <c r="AD224" s="129">
        <v>-269740</v>
      </c>
      <c r="AE224" s="129">
        <v>269740</v>
      </c>
      <c r="AF224" s="129">
        <v>0</v>
      </c>
      <c r="AG224" s="129">
        <v>269740</v>
      </c>
      <c r="AH224" s="129">
        <v>-11341530</v>
      </c>
      <c r="AI224" s="129">
        <v>0</v>
      </c>
      <c r="AJ224" s="129">
        <v>-11341530</v>
      </c>
      <c r="AK224" s="129">
        <v>-101618</v>
      </c>
      <c r="AL224" s="129">
        <v>0</v>
      </c>
      <c r="AM224" s="129">
        <v>-101618</v>
      </c>
      <c r="AN224" s="129">
        <v>720397</v>
      </c>
      <c r="AO224" s="129">
        <v>0</v>
      </c>
      <c r="AP224" s="129">
        <v>720397</v>
      </c>
      <c r="AQ224" s="129">
        <v>-10621133</v>
      </c>
      <c r="AR224" s="129">
        <v>0</v>
      </c>
      <c r="AS224" s="129">
        <v>-10621133</v>
      </c>
      <c r="AT224" s="129">
        <v>-2665727</v>
      </c>
      <c r="AU224" s="129">
        <v>0</v>
      </c>
      <c r="AV224" s="129">
        <v>-2665727</v>
      </c>
      <c r="AW224" s="129">
        <v>-137414</v>
      </c>
      <c r="AX224" s="129">
        <v>0</v>
      </c>
      <c r="AY224" s="129">
        <v>-137414</v>
      </c>
      <c r="AZ224" s="129">
        <v>-27485</v>
      </c>
      <c r="BA224" s="129">
        <v>0</v>
      </c>
      <c r="BB224" s="129">
        <v>-27485</v>
      </c>
      <c r="BC224" s="129">
        <v>0</v>
      </c>
      <c r="BD224" s="129">
        <v>0</v>
      </c>
      <c r="BE224" s="129">
        <v>0</v>
      </c>
      <c r="BF224" s="129">
        <v>-13451759</v>
      </c>
      <c r="BG224" s="129">
        <v>0</v>
      </c>
      <c r="BH224" s="129">
        <v>0</v>
      </c>
      <c r="BI224" s="129">
        <v>0</v>
      </c>
      <c r="BJ224" s="129">
        <v>-13451759</v>
      </c>
      <c r="BK224" s="129">
        <v>0</v>
      </c>
      <c r="BL224" s="129">
        <v>-13451759</v>
      </c>
      <c r="BM224" s="129">
        <v>-20000</v>
      </c>
      <c r="BN224" s="129">
        <v>0</v>
      </c>
      <c r="BO224" s="129">
        <v>-20000</v>
      </c>
      <c r="BP224" s="129">
        <v>-1021860</v>
      </c>
      <c r="BQ224" s="129">
        <v>0</v>
      </c>
      <c r="BR224" s="129">
        <v>-1021860</v>
      </c>
      <c r="BS224" s="129">
        <v>-1041860</v>
      </c>
      <c r="BT224" s="129">
        <v>0</v>
      </c>
      <c r="BU224" s="129">
        <v>0</v>
      </c>
      <c r="BV224" s="129">
        <v>0</v>
      </c>
      <c r="BW224" s="129">
        <v>-1041860</v>
      </c>
      <c r="BX224" s="129">
        <v>0</v>
      </c>
      <c r="BY224" s="129">
        <v>-1041860</v>
      </c>
      <c r="BZ224" s="129">
        <v>-236709</v>
      </c>
      <c r="CA224" s="129">
        <v>0</v>
      </c>
      <c r="CB224" s="129">
        <v>-236709</v>
      </c>
      <c r="CC224" s="129">
        <v>-72482</v>
      </c>
      <c r="CD224" s="129">
        <v>0</v>
      </c>
      <c r="CE224" s="129">
        <v>-72482</v>
      </c>
      <c r="CF224" s="129">
        <v>0</v>
      </c>
      <c r="CG224" s="129">
        <v>0</v>
      </c>
      <c r="CH224" s="129">
        <v>0</v>
      </c>
      <c r="CI224" s="129">
        <v>0</v>
      </c>
      <c r="CJ224" s="129">
        <v>0</v>
      </c>
      <c r="CK224" s="129">
        <v>0</v>
      </c>
      <c r="CL224" s="129">
        <v>0</v>
      </c>
      <c r="CM224" s="129">
        <v>0</v>
      </c>
      <c r="CN224" s="129">
        <v>0</v>
      </c>
      <c r="CO224" s="129">
        <v>0</v>
      </c>
      <c r="CP224" s="129">
        <v>0</v>
      </c>
      <c r="CQ224" s="129">
        <v>0</v>
      </c>
      <c r="CR224" s="129">
        <v>0</v>
      </c>
      <c r="CS224" s="129">
        <v>0</v>
      </c>
      <c r="CT224" s="129">
        <v>-309191</v>
      </c>
      <c r="CU224" s="129">
        <v>0</v>
      </c>
      <c r="CV224" s="129">
        <v>0</v>
      </c>
      <c r="CW224" s="129">
        <v>0</v>
      </c>
      <c r="CX224" s="129">
        <v>-309191</v>
      </c>
      <c r="CY224" s="129">
        <v>0</v>
      </c>
      <c r="CZ224" s="129">
        <v>-309191</v>
      </c>
      <c r="DA224" s="129">
        <v>-27484</v>
      </c>
      <c r="DB224" s="129">
        <v>0</v>
      </c>
      <c r="DC224" s="129">
        <v>-27484</v>
      </c>
      <c r="DD224" s="129">
        <v>-58903</v>
      </c>
      <c r="DE224" s="129">
        <v>0</v>
      </c>
      <c r="DF224" s="129">
        <v>-58903</v>
      </c>
      <c r="DG224" s="129">
        <v>-1500</v>
      </c>
      <c r="DH224" s="129">
        <v>0</v>
      </c>
      <c r="DI224" s="129">
        <v>-1500</v>
      </c>
      <c r="DJ224" s="129">
        <v>-87887</v>
      </c>
      <c r="DK224" s="129">
        <v>0</v>
      </c>
      <c r="DL224" s="129">
        <v>0</v>
      </c>
      <c r="DM224" s="129">
        <v>0</v>
      </c>
      <c r="DN224" s="129">
        <v>-87887</v>
      </c>
      <c r="DO224" s="129">
        <v>0</v>
      </c>
      <c r="DP224" s="129">
        <v>-87887</v>
      </c>
      <c r="DQ224" s="129">
        <v>37874319</v>
      </c>
      <c r="DR224" s="129">
        <v>0</v>
      </c>
      <c r="DS224" s="129">
        <v>37874319</v>
      </c>
      <c r="DT224" s="662" t="s">
        <v>310</v>
      </c>
      <c r="DU224" s="324" t="s">
        <v>556</v>
      </c>
      <c r="DV224" s="663" t="s">
        <v>555</v>
      </c>
      <c r="DW224" s="529" t="s">
        <v>1430</v>
      </c>
    </row>
    <row r="225" spans="1:127" ht="12.75" x14ac:dyDescent="0.2">
      <c r="A225" s="664">
        <v>218</v>
      </c>
      <c r="B225" s="665" t="s">
        <v>313</v>
      </c>
      <c r="C225" s="666" t="s">
        <v>1201</v>
      </c>
      <c r="D225" s="667" t="s">
        <v>1224</v>
      </c>
      <c r="E225" s="668" t="s">
        <v>312</v>
      </c>
      <c r="F225" s="753" t="s">
        <v>1891</v>
      </c>
      <c r="G225" s="129">
        <v>109169119</v>
      </c>
      <c r="H225" s="129">
        <v>47500</v>
      </c>
      <c r="I225" s="129">
        <v>109216619</v>
      </c>
      <c r="J225" s="793">
        <v>49.9</v>
      </c>
      <c r="K225" s="129">
        <v>54475390</v>
      </c>
      <c r="L225" s="129">
        <v>23703</v>
      </c>
      <c r="M225" s="129">
        <v>130747</v>
      </c>
      <c r="N225" s="129">
        <v>0</v>
      </c>
      <c r="O225" s="129">
        <v>54606137</v>
      </c>
      <c r="P225" s="129">
        <v>23703</v>
      </c>
      <c r="Q225" s="129">
        <v>54629840</v>
      </c>
      <c r="R225" s="129">
        <v>-180060</v>
      </c>
      <c r="S225" s="129">
        <v>0</v>
      </c>
      <c r="T225" s="129">
        <v>-180060</v>
      </c>
      <c r="U225" s="129">
        <v>301227</v>
      </c>
      <c r="V225" s="129">
        <v>0</v>
      </c>
      <c r="W225" s="129">
        <v>301227</v>
      </c>
      <c r="X225" s="129">
        <v>121167</v>
      </c>
      <c r="Y225" s="129">
        <v>0</v>
      </c>
      <c r="Z225" s="129">
        <v>0</v>
      </c>
      <c r="AA225" s="129">
        <v>0</v>
      </c>
      <c r="AB225" s="129">
        <v>121167</v>
      </c>
      <c r="AC225" s="129">
        <v>0</v>
      </c>
      <c r="AD225" s="129">
        <v>121167</v>
      </c>
      <c r="AE225" s="129">
        <v>-121167</v>
      </c>
      <c r="AF225" s="129">
        <v>0</v>
      </c>
      <c r="AG225" s="129">
        <v>-121167</v>
      </c>
      <c r="AH225" s="129">
        <v>-5218073</v>
      </c>
      <c r="AI225" s="129">
        <v>-5240</v>
      </c>
      <c r="AJ225" s="129">
        <v>-5223313</v>
      </c>
      <c r="AK225" s="129">
        <v>0</v>
      </c>
      <c r="AL225" s="129">
        <v>0</v>
      </c>
      <c r="AM225" s="129">
        <v>0</v>
      </c>
      <c r="AN225" s="129">
        <v>984139</v>
      </c>
      <c r="AO225" s="129">
        <v>481</v>
      </c>
      <c r="AP225" s="129">
        <v>984620</v>
      </c>
      <c r="AQ225" s="129">
        <v>-4233934</v>
      </c>
      <c r="AR225" s="129">
        <v>-4759</v>
      </c>
      <c r="AS225" s="129">
        <v>-4238693</v>
      </c>
      <c r="AT225" s="129">
        <v>-3297121</v>
      </c>
      <c r="AU225" s="129">
        <v>0</v>
      </c>
      <c r="AV225" s="129">
        <v>-3297121</v>
      </c>
      <c r="AW225" s="129">
        <v>-35583</v>
      </c>
      <c r="AX225" s="129">
        <v>0</v>
      </c>
      <c r="AY225" s="129">
        <v>-35583</v>
      </c>
      <c r="AZ225" s="129">
        <v>-52013</v>
      </c>
      <c r="BA225" s="129">
        <v>0</v>
      </c>
      <c r="BB225" s="129">
        <v>-52013</v>
      </c>
      <c r="BC225" s="129">
        <v>0</v>
      </c>
      <c r="BD225" s="129">
        <v>0</v>
      </c>
      <c r="BE225" s="129">
        <v>0</v>
      </c>
      <c r="BF225" s="129">
        <v>-7618651</v>
      </c>
      <c r="BG225" s="129">
        <v>-4759</v>
      </c>
      <c r="BH225" s="129">
        <v>-75860</v>
      </c>
      <c r="BI225" s="129">
        <v>0</v>
      </c>
      <c r="BJ225" s="129">
        <v>-7694511</v>
      </c>
      <c r="BK225" s="129">
        <v>-4759</v>
      </c>
      <c r="BL225" s="129">
        <v>-7699270</v>
      </c>
      <c r="BM225" s="129">
        <v>0</v>
      </c>
      <c r="BN225" s="129">
        <v>0</v>
      </c>
      <c r="BO225" s="129">
        <v>0</v>
      </c>
      <c r="BP225" s="129">
        <v>-1288242</v>
      </c>
      <c r="BQ225" s="129">
        <v>0</v>
      </c>
      <c r="BR225" s="129">
        <v>-1288242</v>
      </c>
      <c r="BS225" s="129">
        <v>-1288242</v>
      </c>
      <c r="BT225" s="129">
        <v>0</v>
      </c>
      <c r="BU225" s="129">
        <v>0</v>
      </c>
      <c r="BV225" s="129">
        <v>0</v>
      </c>
      <c r="BW225" s="129">
        <v>-1288242</v>
      </c>
      <c r="BX225" s="129">
        <v>0</v>
      </c>
      <c r="BY225" s="129">
        <v>-1288242</v>
      </c>
      <c r="BZ225" s="129">
        <v>-74179</v>
      </c>
      <c r="CA225" s="129">
        <v>0</v>
      </c>
      <c r="CB225" s="129">
        <v>-74179</v>
      </c>
      <c r="CC225" s="129">
        <v>-16058</v>
      </c>
      <c r="CD225" s="129">
        <v>0</v>
      </c>
      <c r="CE225" s="129">
        <v>-16058</v>
      </c>
      <c r="CF225" s="129">
        <v>0</v>
      </c>
      <c r="CG225" s="129">
        <v>0</v>
      </c>
      <c r="CH225" s="129">
        <v>0</v>
      </c>
      <c r="CI225" s="129">
        <v>0</v>
      </c>
      <c r="CJ225" s="129">
        <v>0</v>
      </c>
      <c r="CK225" s="129">
        <v>0</v>
      </c>
      <c r="CL225" s="129">
        <v>0</v>
      </c>
      <c r="CM225" s="129">
        <v>0</v>
      </c>
      <c r="CN225" s="129">
        <v>0</v>
      </c>
      <c r="CO225" s="129">
        <v>0</v>
      </c>
      <c r="CP225" s="129">
        <v>0</v>
      </c>
      <c r="CQ225" s="129">
        <v>0</v>
      </c>
      <c r="CR225" s="129">
        <v>0</v>
      </c>
      <c r="CS225" s="129">
        <v>0</v>
      </c>
      <c r="CT225" s="129">
        <v>-90237</v>
      </c>
      <c r="CU225" s="129">
        <v>0</v>
      </c>
      <c r="CV225" s="129">
        <v>0</v>
      </c>
      <c r="CW225" s="129">
        <v>0</v>
      </c>
      <c r="CX225" s="129">
        <v>-90237</v>
      </c>
      <c r="CY225" s="129">
        <v>0</v>
      </c>
      <c r="CZ225" s="129">
        <v>-90237</v>
      </c>
      <c r="DA225" s="129">
        <v>-46914</v>
      </c>
      <c r="DB225" s="129">
        <v>0</v>
      </c>
      <c r="DC225" s="129">
        <v>-46914</v>
      </c>
      <c r="DD225" s="129">
        <v>-64374</v>
      </c>
      <c r="DE225" s="129">
        <v>0</v>
      </c>
      <c r="DF225" s="129">
        <v>-64374</v>
      </c>
      <c r="DG225" s="129">
        <v>0</v>
      </c>
      <c r="DH225" s="129">
        <v>0</v>
      </c>
      <c r="DI225" s="129">
        <v>0</v>
      </c>
      <c r="DJ225" s="129">
        <v>-111288</v>
      </c>
      <c r="DK225" s="129">
        <v>0</v>
      </c>
      <c r="DL225" s="129">
        <v>0</v>
      </c>
      <c r="DM225" s="129">
        <v>0</v>
      </c>
      <c r="DN225" s="129">
        <v>-111288</v>
      </c>
      <c r="DO225" s="129">
        <v>0</v>
      </c>
      <c r="DP225" s="129">
        <v>-111288</v>
      </c>
      <c r="DQ225" s="129">
        <v>45543026</v>
      </c>
      <c r="DR225" s="129">
        <v>18944</v>
      </c>
      <c r="DS225" s="129">
        <v>45561970</v>
      </c>
      <c r="DT225" s="662" t="s">
        <v>312</v>
      </c>
      <c r="DU225" s="324" t="s">
        <v>562</v>
      </c>
      <c r="DV225" s="663" t="s">
        <v>519</v>
      </c>
      <c r="DW225" s="529" t="s">
        <v>1431</v>
      </c>
    </row>
    <row r="226" spans="1:127" ht="12.75" x14ac:dyDescent="0.2">
      <c r="A226" s="664">
        <v>219</v>
      </c>
      <c r="B226" s="665" t="s">
        <v>315</v>
      </c>
      <c r="C226" s="666" t="s">
        <v>1217</v>
      </c>
      <c r="D226" s="667" t="s">
        <v>1204</v>
      </c>
      <c r="E226" s="668" t="s">
        <v>314</v>
      </c>
      <c r="F226" s="753" t="s">
        <v>1891</v>
      </c>
      <c r="G226" s="129">
        <v>182657466</v>
      </c>
      <c r="H226" s="129">
        <v>0</v>
      </c>
      <c r="I226" s="129">
        <v>182657466</v>
      </c>
      <c r="J226" s="793">
        <v>49.9</v>
      </c>
      <c r="K226" s="129">
        <v>91146076</v>
      </c>
      <c r="L226" s="129">
        <v>0</v>
      </c>
      <c r="M226" s="129">
        <v>-112000</v>
      </c>
      <c r="N226" s="129">
        <v>0</v>
      </c>
      <c r="O226" s="129">
        <v>91034076</v>
      </c>
      <c r="P226" s="129">
        <v>0</v>
      </c>
      <c r="Q226" s="129">
        <v>91034076</v>
      </c>
      <c r="R226" s="129">
        <v>-306494</v>
      </c>
      <c r="S226" s="129">
        <v>0</v>
      </c>
      <c r="T226" s="129">
        <v>-306494</v>
      </c>
      <c r="U226" s="129">
        <v>371863</v>
      </c>
      <c r="V226" s="129">
        <v>0</v>
      </c>
      <c r="W226" s="129">
        <v>371863</v>
      </c>
      <c r="X226" s="129">
        <v>65369</v>
      </c>
      <c r="Y226" s="129">
        <v>0</v>
      </c>
      <c r="Z226" s="129">
        <v>0</v>
      </c>
      <c r="AA226" s="129">
        <v>0</v>
      </c>
      <c r="AB226" s="129">
        <v>65369</v>
      </c>
      <c r="AC226" s="129">
        <v>0</v>
      </c>
      <c r="AD226" s="129">
        <v>65369</v>
      </c>
      <c r="AE226" s="129">
        <v>-65369</v>
      </c>
      <c r="AF226" s="129">
        <v>0</v>
      </c>
      <c r="AG226" s="129">
        <v>-65369</v>
      </c>
      <c r="AH226" s="129">
        <v>-9899333</v>
      </c>
      <c r="AI226" s="129">
        <v>0</v>
      </c>
      <c r="AJ226" s="129">
        <v>-9899333</v>
      </c>
      <c r="AK226" s="129">
        <v>-18000</v>
      </c>
      <c r="AL226" s="129">
        <v>0</v>
      </c>
      <c r="AM226" s="129">
        <v>-18000</v>
      </c>
      <c r="AN226" s="129">
        <v>1595386</v>
      </c>
      <c r="AO226" s="129">
        <v>0</v>
      </c>
      <c r="AP226" s="129">
        <v>1595386</v>
      </c>
      <c r="AQ226" s="129">
        <v>-8303947</v>
      </c>
      <c r="AR226" s="129">
        <v>0</v>
      </c>
      <c r="AS226" s="129">
        <v>-8303947</v>
      </c>
      <c r="AT226" s="129">
        <v>-4843004</v>
      </c>
      <c r="AU226" s="129">
        <v>0</v>
      </c>
      <c r="AV226" s="129">
        <v>-4843004</v>
      </c>
      <c r="AW226" s="129">
        <v>-31415</v>
      </c>
      <c r="AX226" s="129">
        <v>0</v>
      </c>
      <c r="AY226" s="129">
        <v>-31415</v>
      </c>
      <c r="AZ226" s="129">
        <v>-624</v>
      </c>
      <c r="BA226" s="129">
        <v>0</v>
      </c>
      <c r="BB226" s="129">
        <v>-624</v>
      </c>
      <c r="BC226" s="129">
        <v>0</v>
      </c>
      <c r="BD226" s="129">
        <v>0</v>
      </c>
      <c r="BE226" s="129">
        <v>0</v>
      </c>
      <c r="BF226" s="129">
        <v>-13178990</v>
      </c>
      <c r="BG226" s="129">
        <v>0</v>
      </c>
      <c r="BH226" s="129">
        <v>-360000</v>
      </c>
      <c r="BI226" s="129">
        <v>0</v>
      </c>
      <c r="BJ226" s="129">
        <v>-13538990</v>
      </c>
      <c r="BK226" s="129">
        <v>0</v>
      </c>
      <c r="BL226" s="129">
        <v>-13538990</v>
      </c>
      <c r="BM226" s="129">
        <v>0</v>
      </c>
      <c r="BN226" s="129">
        <v>0</v>
      </c>
      <c r="BO226" s="129">
        <v>0</v>
      </c>
      <c r="BP226" s="129">
        <v>-2005319</v>
      </c>
      <c r="BQ226" s="129">
        <v>0</v>
      </c>
      <c r="BR226" s="129">
        <v>-2005319</v>
      </c>
      <c r="BS226" s="129">
        <v>-2005319</v>
      </c>
      <c r="BT226" s="129">
        <v>0</v>
      </c>
      <c r="BU226" s="129">
        <v>-874000</v>
      </c>
      <c r="BV226" s="129">
        <v>0</v>
      </c>
      <c r="BW226" s="129">
        <v>-2879319</v>
      </c>
      <c r="BX226" s="129">
        <v>0</v>
      </c>
      <c r="BY226" s="129">
        <v>-2879319</v>
      </c>
      <c r="BZ226" s="129">
        <v>-228045</v>
      </c>
      <c r="CA226" s="129">
        <v>0</v>
      </c>
      <c r="CB226" s="129">
        <v>-228045</v>
      </c>
      <c r="CC226" s="129">
        <v>-65000</v>
      </c>
      <c r="CD226" s="129">
        <v>0</v>
      </c>
      <c r="CE226" s="129">
        <v>-65000</v>
      </c>
      <c r="CF226" s="129">
        <v>0</v>
      </c>
      <c r="CG226" s="129">
        <v>0</v>
      </c>
      <c r="CH226" s="129">
        <v>0</v>
      </c>
      <c r="CI226" s="129">
        <v>0</v>
      </c>
      <c r="CJ226" s="129">
        <v>0</v>
      </c>
      <c r="CK226" s="129">
        <v>0</v>
      </c>
      <c r="CL226" s="129">
        <v>0</v>
      </c>
      <c r="CM226" s="129">
        <v>0</v>
      </c>
      <c r="CN226" s="129">
        <v>0</v>
      </c>
      <c r="CO226" s="129">
        <v>-41000</v>
      </c>
      <c r="CP226" s="129">
        <v>0</v>
      </c>
      <c r="CQ226" s="129">
        <v>-41000</v>
      </c>
      <c r="CR226" s="129">
        <v>0</v>
      </c>
      <c r="CS226" s="129">
        <v>0</v>
      </c>
      <c r="CT226" s="129">
        <v>-334045</v>
      </c>
      <c r="CU226" s="129">
        <v>0</v>
      </c>
      <c r="CV226" s="129">
        <v>0</v>
      </c>
      <c r="CW226" s="129">
        <v>0</v>
      </c>
      <c r="CX226" s="129">
        <v>-334045</v>
      </c>
      <c r="CY226" s="129">
        <v>0</v>
      </c>
      <c r="CZ226" s="129">
        <v>-334045</v>
      </c>
      <c r="DA226" s="129">
        <v>-624</v>
      </c>
      <c r="DB226" s="129">
        <v>0</v>
      </c>
      <c r="DC226" s="129">
        <v>-624</v>
      </c>
      <c r="DD226" s="129">
        <v>-31570</v>
      </c>
      <c r="DE226" s="129">
        <v>0</v>
      </c>
      <c r="DF226" s="129">
        <v>-31570</v>
      </c>
      <c r="DG226" s="129">
        <v>-1500</v>
      </c>
      <c r="DH226" s="129">
        <v>0</v>
      </c>
      <c r="DI226" s="129">
        <v>-1500</v>
      </c>
      <c r="DJ226" s="129">
        <v>-33694</v>
      </c>
      <c r="DK226" s="129">
        <v>0</v>
      </c>
      <c r="DL226" s="129">
        <v>0</v>
      </c>
      <c r="DM226" s="129">
        <v>0</v>
      </c>
      <c r="DN226" s="129">
        <v>-33694</v>
      </c>
      <c r="DO226" s="129">
        <v>0</v>
      </c>
      <c r="DP226" s="129">
        <v>-33694</v>
      </c>
      <c r="DQ226" s="129">
        <v>74313397</v>
      </c>
      <c r="DR226" s="129">
        <v>0</v>
      </c>
      <c r="DS226" s="129">
        <v>74313397</v>
      </c>
      <c r="DT226" s="662" t="s">
        <v>314</v>
      </c>
      <c r="DU226" s="324" t="s">
        <v>570</v>
      </c>
      <c r="DV226" s="663" t="s">
        <v>571</v>
      </c>
      <c r="DW226" s="529" t="s">
        <v>1432</v>
      </c>
    </row>
    <row r="227" spans="1:127" ht="12.75" x14ac:dyDescent="0.2">
      <c r="A227" s="664">
        <v>220</v>
      </c>
      <c r="B227" s="665" t="s">
        <v>317</v>
      </c>
      <c r="C227" s="666" t="s">
        <v>1201</v>
      </c>
      <c r="D227" s="667" t="s">
        <v>1218</v>
      </c>
      <c r="E227" s="668" t="s">
        <v>316</v>
      </c>
      <c r="F227" s="753" t="s">
        <v>1879</v>
      </c>
      <c r="G227" s="129">
        <v>89615436</v>
      </c>
      <c r="H227" s="129">
        <v>0</v>
      </c>
      <c r="I227" s="129">
        <v>89615436</v>
      </c>
      <c r="J227" s="793">
        <v>49.9</v>
      </c>
      <c r="K227" s="129">
        <v>44718103</v>
      </c>
      <c r="L227" s="129">
        <v>0</v>
      </c>
      <c r="M227" s="129">
        <v>0</v>
      </c>
      <c r="N227" s="129">
        <v>0</v>
      </c>
      <c r="O227" s="129">
        <v>44718103</v>
      </c>
      <c r="P227" s="129">
        <v>0</v>
      </c>
      <c r="Q227" s="129">
        <v>44718103</v>
      </c>
      <c r="R227" s="129">
        <v>-169474</v>
      </c>
      <c r="S227" s="129">
        <v>0</v>
      </c>
      <c r="T227" s="129">
        <v>-169474</v>
      </c>
      <c r="U227" s="129">
        <v>350398</v>
      </c>
      <c r="V227" s="129">
        <v>0</v>
      </c>
      <c r="W227" s="129">
        <v>350398</v>
      </c>
      <c r="X227" s="129">
        <v>180924</v>
      </c>
      <c r="Y227" s="129">
        <v>0</v>
      </c>
      <c r="Z227" s="129">
        <v>0</v>
      </c>
      <c r="AA227" s="129">
        <v>0</v>
      </c>
      <c r="AB227" s="129">
        <v>180924</v>
      </c>
      <c r="AC227" s="129">
        <v>0</v>
      </c>
      <c r="AD227" s="129">
        <v>180924</v>
      </c>
      <c r="AE227" s="129">
        <v>-180924</v>
      </c>
      <c r="AF227" s="129">
        <v>0</v>
      </c>
      <c r="AG227" s="129">
        <v>-180924</v>
      </c>
      <c r="AH227" s="129">
        <v>-3255395</v>
      </c>
      <c r="AI227" s="129">
        <v>0</v>
      </c>
      <c r="AJ227" s="129">
        <v>-3255395</v>
      </c>
      <c r="AK227" s="129">
        <v>-7818</v>
      </c>
      <c r="AL227" s="129">
        <v>0</v>
      </c>
      <c r="AM227" s="129">
        <v>-7818</v>
      </c>
      <c r="AN227" s="129">
        <v>881169</v>
      </c>
      <c r="AO227" s="129">
        <v>0</v>
      </c>
      <c r="AP227" s="129">
        <v>881169</v>
      </c>
      <c r="AQ227" s="129">
        <v>-2374226</v>
      </c>
      <c r="AR227" s="129">
        <v>0</v>
      </c>
      <c r="AS227" s="129">
        <v>-2374226</v>
      </c>
      <c r="AT227" s="129">
        <v>-1797144</v>
      </c>
      <c r="AU227" s="129">
        <v>0</v>
      </c>
      <c r="AV227" s="129">
        <v>-1797144</v>
      </c>
      <c r="AW227" s="129">
        <v>-55552</v>
      </c>
      <c r="AX227" s="129">
        <v>0</v>
      </c>
      <c r="AY227" s="129">
        <v>-55552</v>
      </c>
      <c r="AZ227" s="129">
        <v>-10162</v>
      </c>
      <c r="BA227" s="129">
        <v>0</v>
      </c>
      <c r="BB227" s="129">
        <v>-10162</v>
      </c>
      <c r="BC227" s="129">
        <v>0</v>
      </c>
      <c r="BD227" s="129">
        <v>0</v>
      </c>
      <c r="BE227" s="129">
        <v>0</v>
      </c>
      <c r="BF227" s="129">
        <v>-4237084</v>
      </c>
      <c r="BG227" s="129">
        <v>0</v>
      </c>
      <c r="BH227" s="129">
        <v>0</v>
      </c>
      <c r="BI227" s="129">
        <v>0</v>
      </c>
      <c r="BJ227" s="129">
        <v>-4237084</v>
      </c>
      <c r="BK227" s="129">
        <v>0</v>
      </c>
      <c r="BL227" s="129">
        <v>-4237084</v>
      </c>
      <c r="BM227" s="129">
        <v>0</v>
      </c>
      <c r="BN227" s="129">
        <v>0</v>
      </c>
      <c r="BO227" s="129">
        <v>0</v>
      </c>
      <c r="BP227" s="129">
        <v>-537015</v>
      </c>
      <c r="BQ227" s="129">
        <v>0</v>
      </c>
      <c r="BR227" s="129">
        <v>-537015</v>
      </c>
      <c r="BS227" s="129">
        <v>-537015</v>
      </c>
      <c r="BT227" s="129">
        <v>0</v>
      </c>
      <c r="BU227" s="129">
        <v>0</v>
      </c>
      <c r="BV227" s="129">
        <v>0</v>
      </c>
      <c r="BW227" s="129">
        <v>-537015</v>
      </c>
      <c r="BX227" s="129">
        <v>0</v>
      </c>
      <c r="BY227" s="129">
        <v>-537015</v>
      </c>
      <c r="BZ227" s="129">
        <v>-139663</v>
      </c>
      <c r="CA227" s="129">
        <v>0</v>
      </c>
      <c r="CB227" s="129">
        <v>-139663</v>
      </c>
      <c r="CC227" s="129">
        <v>-26595</v>
      </c>
      <c r="CD227" s="129">
        <v>0</v>
      </c>
      <c r="CE227" s="129">
        <v>-26595</v>
      </c>
      <c r="CF227" s="129">
        <v>-2348</v>
      </c>
      <c r="CG227" s="129">
        <v>0</v>
      </c>
      <c r="CH227" s="129">
        <v>-2348</v>
      </c>
      <c r="CI227" s="129">
        <v>0</v>
      </c>
      <c r="CJ227" s="129">
        <v>0</v>
      </c>
      <c r="CK227" s="129">
        <v>0</v>
      </c>
      <c r="CL227" s="129">
        <v>-2100</v>
      </c>
      <c r="CM227" s="129">
        <v>0</v>
      </c>
      <c r="CN227" s="129">
        <v>-2100</v>
      </c>
      <c r="CO227" s="129">
        <v>0</v>
      </c>
      <c r="CP227" s="129">
        <v>0</v>
      </c>
      <c r="CQ227" s="129">
        <v>0</v>
      </c>
      <c r="CR227" s="129">
        <v>0</v>
      </c>
      <c r="CS227" s="129">
        <v>0</v>
      </c>
      <c r="CT227" s="129">
        <v>-170706</v>
      </c>
      <c r="CU227" s="129">
        <v>0</v>
      </c>
      <c r="CV227" s="129">
        <v>0</v>
      </c>
      <c r="CW227" s="129">
        <v>0</v>
      </c>
      <c r="CX227" s="129">
        <v>-170706</v>
      </c>
      <c r="CY227" s="129">
        <v>0</v>
      </c>
      <c r="CZ227" s="129">
        <v>-170706</v>
      </c>
      <c r="DA227" s="129">
        <v>-10162</v>
      </c>
      <c r="DB227" s="129">
        <v>0</v>
      </c>
      <c r="DC227" s="129">
        <v>-10162</v>
      </c>
      <c r="DD227" s="129">
        <v>-35347</v>
      </c>
      <c r="DE227" s="129">
        <v>0</v>
      </c>
      <c r="DF227" s="129">
        <v>-35347</v>
      </c>
      <c r="DG227" s="129">
        <v>-1500</v>
      </c>
      <c r="DH227" s="129">
        <v>0</v>
      </c>
      <c r="DI227" s="129">
        <v>-1500</v>
      </c>
      <c r="DJ227" s="129">
        <v>-47009</v>
      </c>
      <c r="DK227" s="129">
        <v>0</v>
      </c>
      <c r="DL227" s="129">
        <v>0</v>
      </c>
      <c r="DM227" s="129">
        <v>0</v>
      </c>
      <c r="DN227" s="129">
        <v>-47009</v>
      </c>
      <c r="DO227" s="129">
        <v>0</v>
      </c>
      <c r="DP227" s="129">
        <v>-47009</v>
      </c>
      <c r="DQ227" s="129">
        <v>39907213</v>
      </c>
      <c r="DR227" s="129">
        <v>0</v>
      </c>
      <c r="DS227" s="129">
        <v>39907213</v>
      </c>
      <c r="DT227" s="662" t="s">
        <v>316</v>
      </c>
      <c r="DU227" s="324" t="s">
        <v>556</v>
      </c>
      <c r="DV227" s="663" t="s">
        <v>555</v>
      </c>
      <c r="DW227" s="529" t="s">
        <v>1433</v>
      </c>
    </row>
    <row r="228" spans="1:127" ht="12.75" x14ac:dyDescent="0.2">
      <c r="A228" s="664">
        <v>221</v>
      </c>
      <c r="B228" s="665" t="s">
        <v>319</v>
      </c>
      <c r="C228" s="666" t="s">
        <v>1201</v>
      </c>
      <c r="D228" s="667" t="s">
        <v>1202</v>
      </c>
      <c r="E228" s="668" t="s">
        <v>318</v>
      </c>
      <c r="F228" s="753" t="s">
        <v>1879</v>
      </c>
      <c r="G228" s="129">
        <v>96225892</v>
      </c>
      <c r="H228" s="129">
        <v>0</v>
      </c>
      <c r="I228" s="129">
        <v>96225892</v>
      </c>
      <c r="J228" s="793">
        <v>49.9</v>
      </c>
      <c r="K228" s="129">
        <v>48016720</v>
      </c>
      <c r="L228" s="129">
        <v>0</v>
      </c>
      <c r="M228" s="129">
        <v>0</v>
      </c>
      <c r="N228" s="129">
        <v>0</v>
      </c>
      <c r="O228" s="129">
        <v>48016720</v>
      </c>
      <c r="P228" s="129">
        <v>0</v>
      </c>
      <c r="Q228" s="129">
        <v>48016720</v>
      </c>
      <c r="R228" s="129">
        <v>-107918</v>
      </c>
      <c r="S228" s="129">
        <v>0</v>
      </c>
      <c r="T228" s="129">
        <v>-107918</v>
      </c>
      <c r="U228" s="129">
        <v>57202</v>
      </c>
      <c r="V228" s="129">
        <v>0</v>
      </c>
      <c r="W228" s="129">
        <v>57202</v>
      </c>
      <c r="X228" s="129">
        <v>-50716</v>
      </c>
      <c r="Y228" s="129">
        <v>0</v>
      </c>
      <c r="Z228" s="129">
        <v>0</v>
      </c>
      <c r="AA228" s="129">
        <v>0</v>
      </c>
      <c r="AB228" s="129">
        <v>-50716</v>
      </c>
      <c r="AC228" s="129">
        <v>0</v>
      </c>
      <c r="AD228" s="129">
        <v>-50716</v>
      </c>
      <c r="AE228" s="129">
        <v>50716</v>
      </c>
      <c r="AF228" s="129">
        <v>0</v>
      </c>
      <c r="AG228" s="129">
        <v>50716</v>
      </c>
      <c r="AH228" s="129">
        <v>-4887815</v>
      </c>
      <c r="AI228" s="129">
        <v>0</v>
      </c>
      <c r="AJ228" s="129">
        <v>-4887815</v>
      </c>
      <c r="AK228" s="129">
        <v>-6355</v>
      </c>
      <c r="AL228" s="129">
        <v>0</v>
      </c>
      <c r="AM228" s="129">
        <v>-6355</v>
      </c>
      <c r="AN228" s="129">
        <v>778535</v>
      </c>
      <c r="AO228" s="129">
        <v>0</v>
      </c>
      <c r="AP228" s="129">
        <v>778535</v>
      </c>
      <c r="AQ228" s="129">
        <v>-4109280</v>
      </c>
      <c r="AR228" s="129">
        <v>0</v>
      </c>
      <c r="AS228" s="129">
        <v>-4109280</v>
      </c>
      <c r="AT228" s="129">
        <v>-3459922</v>
      </c>
      <c r="AU228" s="129">
        <v>0</v>
      </c>
      <c r="AV228" s="129">
        <v>-3459922</v>
      </c>
      <c r="AW228" s="129">
        <v>-106095</v>
      </c>
      <c r="AX228" s="129">
        <v>0</v>
      </c>
      <c r="AY228" s="129">
        <v>-106095</v>
      </c>
      <c r="AZ228" s="129">
        <v>-12198</v>
      </c>
      <c r="BA228" s="129">
        <v>0</v>
      </c>
      <c r="BB228" s="129">
        <v>-12198</v>
      </c>
      <c r="BC228" s="129">
        <v>0</v>
      </c>
      <c r="BD228" s="129">
        <v>0</v>
      </c>
      <c r="BE228" s="129">
        <v>0</v>
      </c>
      <c r="BF228" s="129">
        <v>-7687495</v>
      </c>
      <c r="BG228" s="129">
        <v>0</v>
      </c>
      <c r="BH228" s="129">
        <v>0</v>
      </c>
      <c r="BI228" s="129">
        <v>0</v>
      </c>
      <c r="BJ228" s="129">
        <v>-7687495</v>
      </c>
      <c r="BK228" s="129">
        <v>0</v>
      </c>
      <c r="BL228" s="129">
        <v>-7687495</v>
      </c>
      <c r="BM228" s="129">
        <v>0</v>
      </c>
      <c r="BN228" s="129">
        <v>0</v>
      </c>
      <c r="BO228" s="129">
        <v>0</v>
      </c>
      <c r="BP228" s="129">
        <v>-1350501</v>
      </c>
      <c r="BQ228" s="129">
        <v>0</v>
      </c>
      <c r="BR228" s="129">
        <v>-1350501</v>
      </c>
      <c r="BS228" s="129">
        <v>-1350501</v>
      </c>
      <c r="BT228" s="129">
        <v>0</v>
      </c>
      <c r="BU228" s="129">
        <v>0</v>
      </c>
      <c r="BV228" s="129">
        <v>0</v>
      </c>
      <c r="BW228" s="129">
        <v>-1350501</v>
      </c>
      <c r="BX228" s="129">
        <v>0</v>
      </c>
      <c r="BY228" s="129">
        <v>-1350501</v>
      </c>
      <c r="BZ228" s="129">
        <v>-125437</v>
      </c>
      <c r="CA228" s="129">
        <v>0</v>
      </c>
      <c r="CB228" s="129">
        <v>-125437</v>
      </c>
      <c r="CC228" s="129">
        <v>-47046</v>
      </c>
      <c r="CD228" s="129">
        <v>0</v>
      </c>
      <c r="CE228" s="129">
        <v>-47046</v>
      </c>
      <c r="CF228" s="129">
        <v>0</v>
      </c>
      <c r="CG228" s="129">
        <v>0</v>
      </c>
      <c r="CH228" s="129">
        <v>0</v>
      </c>
      <c r="CI228" s="129">
        <v>0</v>
      </c>
      <c r="CJ228" s="129">
        <v>0</v>
      </c>
      <c r="CK228" s="129">
        <v>0</v>
      </c>
      <c r="CL228" s="129">
        <v>-10820</v>
      </c>
      <c r="CM228" s="129">
        <v>0</v>
      </c>
      <c r="CN228" s="129">
        <v>-10820</v>
      </c>
      <c r="CO228" s="129">
        <v>0</v>
      </c>
      <c r="CP228" s="129">
        <v>0</v>
      </c>
      <c r="CQ228" s="129">
        <v>0</v>
      </c>
      <c r="CR228" s="129">
        <v>0</v>
      </c>
      <c r="CS228" s="129">
        <v>0</v>
      </c>
      <c r="CT228" s="129">
        <v>-183303</v>
      </c>
      <c r="CU228" s="129">
        <v>0</v>
      </c>
      <c r="CV228" s="129">
        <v>0</v>
      </c>
      <c r="CW228" s="129">
        <v>0</v>
      </c>
      <c r="CX228" s="129">
        <v>-183303</v>
      </c>
      <c r="CY228" s="129">
        <v>0</v>
      </c>
      <c r="CZ228" s="129">
        <v>-183303</v>
      </c>
      <c r="DA228" s="129">
        <v>-12198</v>
      </c>
      <c r="DB228" s="129">
        <v>0</v>
      </c>
      <c r="DC228" s="129">
        <v>-12198</v>
      </c>
      <c r="DD228" s="129">
        <v>-18855</v>
      </c>
      <c r="DE228" s="129">
        <v>0</v>
      </c>
      <c r="DF228" s="129">
        <v>-18855</v>
      </c>
      <c r="DG228" s="129">
        <v>0</v>
      </c>
      <c r="DH228" s="129">
        <v>0</v>
      </c>
      <c r="DI228" s="129">
        <v>0</v>
      </c>
      <c r="DJ228" s="129">
        <v>-31053</v>
      </c>
      <c r="DK228" s="129">
        <v>0</v>
      </c>
      <c r="DL228" s="129">
        <v>0</v>
      </c>
      <c r="DM228" s="129">
        <v>0</v>
      </c>
      <c r="DN228" s="129">
        <v>-31053</v>
      </c>
      <c r="DO228" s="129">
        <v>0</v>
      </c>
      <c r="DP228" s="129">
        <v>-31053</v>
      </c>
      <c r="DQ228" s="129">
        <v>38713652</v>
      </c>
      <c r="DR228" s="129">
        <v>0</v>
      </c>
      <c r="DS228" s="129">
        <v>38713652</v>
      </c>
      <c r="DT228" s="662" t="s">
        <v>318</v>
      </c>
      <c r="DU228" s="324" t="s">
        <v>543</v>
      </c>
      <c r="DV228" s="663" t="s">
        <v>542</v>
      </c>
      <c r="DW228" s="529" t="s">
        <v>1434</v>
      </c>
    </row>
    <row r="229" spans="1:127" ht="12.75" x14ac:dyDescent="0.2">
      <c r="A229" s="664">
        <v>222</v>
      </c>
      <c r="B229" s="665" t="s">
        <v>321</v>
      </c>
      <c r="C229" s="666" t="s">
        <v>1217</v>
      </c>
      <c r="D229" s="667" t="s">
        <v>1218</v>
      </c>
      <c r="E229" s="668" t="s">
        <v>320</v>
      </c>
      <c r="F229" s="753" t="s">
        <v>1879</v>
      </c>
      <c r="G229" s="129">
        <v>539175368</v>
      </c>
      <c r="H229" s="129">
        <v>8754145</v>
      </c>
      <c r="I229" s="129">
        <v>547929513</v>
      </c>
      <c r="J229" s="793">
        <v>49.9</v>
      </c>
      <c r="K229" s="129">
        <v>269048509</v>
      </c>
      <c r="L229" s="129">
        <v>4368318</v>
      </c>
      <c r="M229" s="129">
        <v>-2700000</v>
      </c>
      <c r="N229" s="129">
        <v>0</v>
      </c>
      <c r="O229" s="129">
        <v>266348509</v>
      </c>
      <c r="P229" s="129">
        <v>4368318</v>
      </c>
      <c r="Q229" s="129">
        <v>270716827</v>
      </c>
      <c r="R229" s="129">
        <v>-396146</v>
      </c>
      <c r="S229" s="129">
        <v>0</v>
      </c>
      <c r="T229" s="129">
        <v>-396146</v>
      </c>
      <c r="U229" s="129">
        <v>1988619</v>
      </c>
      <c r="V229" s="129">
        <v>0</v>
      </c>
      <c r="W229" s="129">
        <v>1988619</v>
      </c>
      <c r="X229" s="129">
        <v>1592473</v>
      </c>
      <c r="Y229" s="129">
        <v>0</v>
      </c>
      <c r="Z229" s="129">
        <v>0</v>
      </c>
      <c r="AA229" s="129">
        <v>0</v>
      </c>
      <c r="AB229" s="129">
        <v>1592473</v>
      </c>
      <c r="AC229" s="129">
        <v>0</v>
      </c>
      <c r="AD229" s="129">
        <v>1592473</v>
      </c>
      <c r="AE229" s="129">
        <v>-1592473</v>
      </c>
      <c r="AF229" s="129">
        <v>0</v>
      </c>
      <c r="AG229" s="129">
        <v>-1592473</v>
      </c>
      <c r="AH229" s="129">
        <v>-19841998</v>
      </c>
      <c r="AI229" s="129">
        <v>-22649</v>
      </c>
      <c r="AJ229" s="129">
        <v>-19864647</v>
      </c>
      <c r="AK229" s="129">
        <v>0</v>
      </c>
      <c r="AL229" s="129">
        <v>0</v>
      </c>
      <c r="AM229" s="129">
        <v>0</v>
      </c>
      <c r="AN229" s="129">
        <v>5115876</v>
      </c>
      <c r="AO229" s="129">
        <v>122266</v>
      </c>
      <c r="AP229" s="129">
        <v>5238142</v>
      </c>
      <c r="AQ229" s="129">
        <v>-14726122</v>
      </c>
      <c r="AR229" s="129">
        <v>99617</v>
      </c>
      <c r="AS229" s="129">
        <v>-14626505</v>
      </c>
      <c r="AT229" s="129">
        <v>-23991534</v>
      </c>
      <c r="AU229" s="129">
        <v>0</v>
      </c>
      <c r="AV229" s="129">
        <v>-23991534</v>
      </c>
      <c r="AW229" s="129">
        <v>-25000</v>
      </c>
      <c r="AX229" s="129">
        <v>0</v>
      </c>
      <c r="AY229" s="129">
        <v>-25000</v>
      </c>
      <c r="AZ229" s="129">
        <v>0</v>
      </c>
      <c r="BA229" s="129">
        <v>0</v>
      </c>
      <c r="BB229" s="129">
        <v>0</v>
      </c>
      <c r="BC229" s="129">
        <v>0</v>
      </c>
      <c r="BD229" s="129">
        <v>0</v>
      </c>
      <c r="BE229" s="129">
        <v>0</v>
      </c>
      <c r="BF229" s="129">
        <v>-38742656</v>
      </c>
      <c r="BG229" s="129">
        <v>99617</v>
      </c>
      <c r="BH229" s="129">
        <v>0</v>
      </c>
      <c r="BI229" s="129">
        <v>0</v>
      </c>
      <c r="BJ229" s="129">
        <v>-38742656</v>
      </c>
      <c r="BK229" s="129">
        <v>99617</v>
      </c>
      <c r="BL229" s="129">
        <v>-38643039</v>
      </c>
      <c r="BM229" s="129">
        <v>-202319</v>
      </c>
      <c r="BN229" s="129">
        <v>0</v>
      </c>
      <c r="BO229" s="129">
        <v>-202319</v>
      </c>
      <c r="BP229" s="129">
        <v>-12117343</v>
      </c>
      <c r="BQ229" s="129">
        <v>-212419</v>
      </c>
      <c r="BR229" s="129">
        <v>-12329762</v>
      </c>
      <c r="BS229" s="129">
        <v>-12319662</v>
      </c>
      <c r="BT229" s="129">
        <v>-212419</v>
      </c>
      <c r="BU229" s="129">
        <v>0</v>
      </c>
      <c r="BV229" s="129">
        <v>0</v>
      </c>
      <c r="BW229" s="129">
        <v>-12319662</v>
      </c>
      <c r="BX229" s="129">
        <v>-212419</v>
      </c>
      <c r="BY229" s="129">
        <v>-12532081</v>
      </c>
      <c r="BZ229" s="129">
        <v>-3976</v>
      </c>
      <c r="CA229" s="129">
        <v>0</v>
      </c>
      <c r="CB229" s="129">
        <v>-3976</v>
      </c>
      <c r="CC229" s="129">
        <v>-396879</v>
      </c>
      <c r="CD229" s="129">
        <v>0</v>
      </c>
      <c r="CE229" s="129">
        <v>-396879</v>
      </c>
      <c r="CF229" s="129">
        <v>0</v>
      </c>
      <c r="CG229" s="129">
        <v>0</v>
      </c>
      <c r="CH229" s="129">
        <v>0</v>
      </c>
      <c r="CI229" s="129">
        <v>0</v>
      </c>
      <c r="CJ229" s="129">
        <v>0</v>
      </c>
      <c r="CK229" s="129">
        <v>0</v>
      </c>
      <c r="CL229" s="129">
        <v>0</v>
      </c>
      <c r="CM229" s="129">
        <v>0</v>
      </c>
      <c r="CN229" s="129">
        <v>0</v>
      </c>
      <c r="CO229" s="129">
        <v>-1000582</v>
      </c>
      <c r="CP229" s="129">
        <v>0</v>
      </c>
      <c r="CQ229" s="129">
        <v>-1000582</v>
      </c>
      <c r="CR229" s="129">
        <v>0</v>
      </c>
      <c r="CS229" s="129">
        <v>0</v>
      </c>
      <c r="CT229" s="129">
        <v>-1401437</v>
      </c>
      <c r="CU229" s="129">
        <v>0</v>
      </c>
      <c r="CV229" s="129">
        <v>0</v>
      </c>
      <c r="CW229" s="129">
        <v>0</v>
      </c>
      <c r="CX229" s="129">
        <v>-1401437</v>
      </c>
      <c r="CY229" s="129">
        <v>0</v>
      </c>
      <c r="CZ229" s="129">
        <v>-1401437</v>
      </c>
      <c r="DA229" s="129">
        <v>0</v>
      </c>
      <c r="DB229" s="129">
        <v>0</v>
      </c>
      <c r="DC229" s="129">
        <v>0</v>
      </c>
      <c r="DD229" s="129">
        <v>-52619</v>
      </c>
      <c r="DE229" s="129">
        <v>0</v>
      </c>
      <c r="DF229" s="129">
        <v>-52619</v>
      </c>
      <c r="DG229" s="129">
        <v>0</v>
      </c>
      <c r="DH229" s="129">
        <v>0</v>
      </c>
      <c r="DI229" s="129">
        <v>0</v>
      </c>
      <c r="DJ229" s="129">
        <v>-52619</v>
      </c>
      <c r="DK229" s="129">
        <v>0</v>
      </c>
      <c r="DL229" s="129">
        <v>0</v>
      </c>
      <c r="DM229" s="129">
        <v>0</v>
      </c>
      <c r="DN229" s="129">
        <v>-52619</v>
      </c>
      <c r="DO229" s="129">
        <v>0</v>
      </c>
      <c r="DP229" s="129">
        <v>-52619</v>
      </c>
      <c r="DQ229" s="129">
        <v>215424608</v>
      </c>
      <c r="DR229" s="129">
        <v>4255516</v>
      </c>
      <c r="DS229" s="129">
        <v>219680124</v>
      </c>
      <c r="DT229" s="662" t="s">
        <v>320</v>
      </c>
      <c r="DU229" s="324" t="s">
        <v>570</v>
      </c>
      <c r="DV229" s="663" t="s">
        <v>572</v>
      </c>
      <c r="DW229" s="529" t="s">
        <v>1435</v>
      </c>
    </row>
    <row r="230" spans="1:127" ht="12.75" x14ac:dyDescent="0.2">
      <c r="A230" s="664">
        <v>223</v>
      </c>
      <c r="B230" s="665" t="s">
        <v>324</v>
      </c>
      <c r="C230" s="666" t="s">
        <v>486</v>
      </c>
      <c r="D230" s="667" t="s">
        <v>1228</v>
      </c>
      <c r="E230" s="668" t="s">
        <v>323</v>
      </c>
      <c r="F230" s="753" t="s">
        <v>1879</v>
      </c>
      <c r="G230" s="129">
        <v>236460948</v>
      </c>
      <c r="H230" s="129">
        <v>0</v>
      </c>
      <c r="I230" s="129">
        <v>236460948</v>
      </c>
      <c r="J230" s="793">
        <v>49.9</v>
      </c>
      <c r="K230" s="129">
        <v>117994013</v>
      </c>
      <c r="L230" s="129">
        <v>0</v>
      </c>
      <c r="M230" s="129">
        <v>0</v>
      </c>
      <c r="N230" s="129">
        <v>0</v>
      </c>
      <c r="O230" s="129">
        <v>117994013</v>
      </c>
      <c r="P230" s="129">
        <v>0</v>
      </c>
      <c r="Q230" s="129">
        <v>117994013</v>
      </c>
      <c r="R230" s="129">
        <v>-886730</v>
      </c>
      <c r="S230" s="129">
        <v>0</v>
      </c>
      <c r="T230" s="129">
        <v>-886730</v>
      </c>
      <c r="U230" s="129">
        <v>401821</v>
      </c>
      <c r="V230" s="129">
        <v>0</v>
      </c>
      <c r="W230" s="129">
        <v>401821</v>
      </c>
      <c r="X230" s="129">
        <v>-484909</v>
      </c>
      <c r="Y230" s="129">
        <v>0</v>
      </c>
      <c r="Z230" s="129">
        <v>0</v>
      </c>
      <c r="AA230" s="129">
        <v>0</v>
      </c>
      <c r="AB230" s="129">
        <v>-484909</v>
      </c>
      <c r="AC230" s="129">
        <v>0</v>
      </c>
      <c r="AD230" s="129">
        <v>-484909</v>
      </c>
      <c r="AE230" s="129">
        <v>484909</v>
      </c>
      <c r="AF230" s="129">
        <v>0</v>
      </c>
      <c r="AG230" s="129">
        <v>484909</v>
      </c>
      <c r="AH230" s="129">
        <v>-15623015</v>
      </c>
      <c r="AI230" s="129">
        <v>0</v>
      </c>
      <c r="AJ230" s="129">
        <v>-15623015</v>
      </c>
      <c r="AK230" s="129">
        <v>-43662</v>
      </c>
      <c r="AL230" s="129">
        <v>0</v>
      </c>
      <c r="AM230" s="129">
        <v>-43662</v>
      </c>
      <c r="AN230" s="129">
        <v>1835604</v>
      </c>
      <c r="AO230" s="129">
        <v>0</v>
      </c>
      <c r="AP230" s="129">
        <v>1835604</v>
      </c>
      <c r="AQ230" s="129">
        <v>-13787411</v>
      </c>
      <c r="AR230" s="129">
        <v>0</v>
      </c>
      <c r="AS230" s="129">
        <v>-13787411</v>
      </c>
      <c r="AT230" s="129">
        <v>-9046133</v>
      </c>
      <c r="AU230" s="129">
        <v>0</v>
      </c>
      <c r="AV230" s="129">
        <v>-9046133</v>
      </c>
      <c r="AW230" s="129">
        <v>-194107</v>
      </c>
      <c r="AX230" s="129">
        <v>0</v>
      </c>
      <c r="AY230" s="129">
        <v>-194107</v>
      </c>
      <c r="AZ230" s="129">
        <v>-37280</v>
      </c>
      <c r="BA230" s="129">
        <v>0</v>
      </c>
      <c r="BB230" s="129">
        <v>-37280</v>
      </c>
      <c r="BC230" s="129">
        <v>0</v>
      </c>
      <c r="BD230" s="129">
        <v>0</v>
      </c>
      <c r="BE230" s="129">
        <v>0</v>
      </c>
      <c r="BF230" s="129">
        <v>-23064931</v>
      </c>
      <c r="BG230" s="129">
        <v>0</v>
      </c>
      <c r="BH230" s="129">
        <v>0</v>
      </c>
      <c r="BI230" s="129">
        <v>0</v>
      </c>
      <c r="BJ230" s="129">
        <v>-23064931</v>
      </c>
      <c r="BK230" s="129">
        <v>0</v>
      </c>
      <c r="BL230" s="129">
        <v>-23064931</v>
      </c>
      <c r="BM230" s="129">
        <v>0</v>
      </c>
      <c r="BN230" s="129">
        <v>0</v>
      </c>
      <c r="BO230" s="129">
        <v>0</v>
      </c>
      <c r="BP230" s="129">
        <v>-2074592</v>
      </c>
      <c r="BQ230" s="129">
        <v>0</v>
      </c>
      <c r="BR230" s="129">
        <v>-2074592</v>
      </c>
      <c r="BS230" s="129">
        <v>-2074592</v>
      </c>
      <c r="BT230" s="129">
        <v>0</v>
      </c>
      <c r="BU230" s="129">
        <v>0</v>
      </c>
      <c r="BV230" s="129">
        <v>0</v>
      </c>
      <c r="BW230" s="129">
        <v>-2074592</v>
      </c>
      <c r="BX230" s="129">
        <v>0</v>
      </c>
      <c r="BY230" s="129">
        <v>-2074592</v>
      </c>
      <c r="BZ230" s="129">
        <v>-575631</v>
      </c>
      <c r="CA230" s="129">
        <v>0</v>
      </c>
      <c r="CB230" s="129">
        <v>-575631</v>
      </c>
      <c r="CC230" s="129">
        <v>-118524</v>
      </c>
      <c r="CD230" s="129">
        <v>0</v>
      </c>
      <c r="CE230" s="129">
        <v>-118524</v>
      </c>
      <c r="CF230" s="129">
        <v>-34401</v>
      </c>
      <c r="CG230" s="129">
        <v>0</v>
      </c>
      <c r="CH230" s="129">
        <v>-34401</v>
      </c>
      <c r="CI230" s="129">
        <v>0</v>
      </c>
      <c r="CJ230" s="129">
        <v>0</v>
      </c>
      <c r="CK230" s="129">
        <v>0</v>
      </c>
      <c r="CL230" s="129">
        <v>0</v>
      </c>
      <c r="CM230" s="129">
        <v>0</v>
      </c>
      <c r="CN230" s="129">
        <v>0</v>
      </c>
      <c r="CO230" s="129">
        <v>0</v>
      </c>
      <c r="CP230" s="129">
        <v>0</v>
      </c>
      <c r="CQ230" s="129">
        <v>0</v>
      </c>
      <c r="CR230" s="129">
        <v>0</v>
      </c>
      <c r="CS230" s="129">
        <v>0</v>
      </c>
      <c r="CT230" s="129">
        <v>-728556</v>
      </c>
      <c r="CU230" s="129">
        <v>0</v>
      </c>
      <c r="CV230" s="129">
        <v>0</v>
      </c>
      <c r="CW230" s="129">
        <v>0</v>
      </c>
      <c r="CX230" s="129">
        <v>-728556</v>
      </c>
      <c r="CY230" s="129">
        <v>0</v>
      </c>
      <c r="CZ230" s="129">
        <v>-728556</v>
      </c>
      <c r="DA230" s="129">
        <v>-37280</v>
      </c>
      <c r="DB230" s="129">
        <v>0</v>
      </c>
      <c r="DC230" s="129">
        <v>-37280</v>
      </c>
      <c r="DD230" s="129">
        <v>-194906</v>
      </c>
      <c r="DE230" s="129">
        <v>0</v>
      </c>
      <c r="DF230" s="129">
        <v>-194906</v>
      </c>
      <c r="DG230" s="129">
        <v>-1500</v>
      </c>
      <c r="DH230" s="129">
        <v>0</v>
      </c>
      <c r="DI230" s="129">
        <v>-1500</v>
      </c>
      <c r="DJ230" s="129">
        <v>-233686</v>
      </c>
      <c r="DK230" s="129">
        <v>0</v>
      </c>
      <c r="DL230" s="129">
        <v>0</v>
      </c>
      <c r="DM230" s="129">
        <v>0</v>
      </c>
      <c r="DN230" s="129">
        <v>-233686</v>
      </c>
      <c r="DO230" s="129">
        <v>0</v>
      </c>
      <c r="DP230" s="129">
        <v>-233686</v>
      </c>
      <c r="DQ230" s="129">
        <v>91407339</v>
      </c>
      <c r="DR230" s="129">
        <v>0</v>
      </c>
      <c r="DS230" s="129">
        <v>91407339</v>
      </c>
      <c r="DT230" s="662" t="s">
        <v>323</v>
      </c>
      <c r="DU230" s="324" t="s">
        <v>486</v>
      </c>
      <c r="DV230" s="663" t="s">
        <v>561</v>
      </c>
      <c r="DW230" s="529" t="s">
        <v>1436</v>
      </c>
    </row>
    <row r="231" spans="1:127" ht="12.75" x14ac:dyDescent="0.2">
      <c r="A231" s="664">
        <v>224</v>
      </c>
      <c r="B231" s="665" t="s">
        <v>325</v>
      </c>
      <c r="C231" s="666" t="s">
        <v>486</v>
      </c>
      <c r="D231" s="667" t="s">
        <v>1202</v>
      </c>
      <c r="E231" s="668" t="s">
        <v>497</v>
      </c>
      <c r="F231" s="753" t="s">
        <v>1891</v>
      </c>
      <c r="G231" s="129">
        <v>240854223</v>
      </c>
      <c r="H231" s="129">
        <v>0</v>
      </c>
      <c r="I231" s="129">
        <v>240854223</v>
      </c>
      <c r="J231" s="793">
        <v>49.9</v>
      </c>
      <c r="K231" s="129">
        <v>120186257</v>
      </c>
      <c r="L231" s="129">
        <v>0</v>
      </c>
      <c r="M231" s="129">
        <v>0</v>
      </c>
      <c r="N231" s="129">
        <v>0</v>
      </c>
      <c r="O231" s="129">
        <v>120186257</v>
      </c>
      <c r="P231" s="129">
        <v>0</v>
      </c>
      <c r="Q231" s="129">
        <v>120186257</v>
      </c>
      <c r="R231" s="129">
        <v>-53133</v>
      </c>
      <c r="S231" s="129">
        <v>0</v>
      </c>
      <c r="T231" s="129">
        <v>-53133</v>
      </c>
      <c r="U231" s="129">
        <v>788343</v>
      </c>
      <c r="V231" s="129">
        <v>0</v>
      </c>
      <c r="W231" s="129">
        <v>788343</v>
      </c>
      <c r="X231" s="129">
        <v>735210</v>
      </c>
      <c r="Y231" s="129">
        <v>0</v>
      </c>
      <c r="Z231" s="129">
        <v>0</v>
      </c>
      <c r="AA231" s="129">
        <v>0</v>
      </c>
      <c r="AB231" s="129">
        <v>735210</v>
      </c>
      <c r="AC231" s="129">
        <v>0</v>
      </c>
      <c r="AD231" s="129">
        <v>735210</v>
      </c>
      <c r="AE231" s="129">
        <v>-735210</v>
      </c>
      <c r="AF231" s="129">
        <v>0</v>
      </c>
      <c r="AG231" s="129">
        <v>-735210</v>
      </c>
      <c r="AH231" s="129">
        <v>-3260475</v>
      </c>
      <c r="AI231" s="129">
        <v>0</v>
      </c>
      <c r="AJ231" s="129">
        <v>-3260475</v>
      </c>
      <c r="AK231" s="129">
        <v>0</v>
      </c>
      <c r="AL231" s="129">
        <v>0</v>
      </c>
      <c r="AM231" s="129">
        <v>0</v>
      </c>
      <c r="AN231" s="129">
        <v>2666013</v>
      </c>
      <c r="AO231" s="129">
        <v>0</v>
      </c>
      <c r="AP231" s="129">
        <v>2666013</v>
      </c>
      <c r="AQ231" s="129">
        <v>-594462</v>
      </c>
      <c r="AR231" s="129">
        <v>0</v>
      </c>
      <c r="AS231" s="129">
        <v>-594462</v>
      </c>
      <c r="AT231" s="129">
        <v>-5416516</v>
      </c>
      <c r="AU231" s="129">
        <v>0</v>
      </c>
      <c r="AV231" s="129">
        <v>-5416516</v>
      </c>
      <c r="AW231" s="129">
        <v>0</v>
      </c>
      <c r="AX231" s="129">
        <v>0</v>
      </c>
      <c r="AY231" s="129">
        <v>0</v>
      </c>
      <c r="AZ231" s="129">
        <v>0</v>
      </c>
      <c r="BA231" s="129">
        <v>0</v>
      </c>
      <c r="BB231" s="129">
        <v>0</v>
      </c>
      <c r="BC231" s="129">
        <v>0</v>
      </c>
      <c r="BD231" s="129">
        <v>0</v>
      </c>
      <c r="BE231" s="129">
        <v>0</v>
      </c>
      <c r="BF231" s="129">
        <v>-6010978</v>
      </c>
      <c r="BG231" s="129">
        <v>0</v>
      </c>
      <c r="BH231" s="129">
        <v>0</v>
      </c>
      <c r="BI231" s="129">
        <v>0</v>
      </c>
      <c r="BJ231" s="129">
        <v>-6010978</v>
      </c>
      <c r="BK231" s="129">
        <v>0</v>
      </c>
      <c r="BL231" s="129">
        <v>-6010978</v>
      </c>
      <c r="BM231" s="129">
        <v>-10000</v>
      </c>
      <c r="BN231" s="129">
        <v>0</v>
      </c>
      <c r="BO231" s="129">
        <v>-10000</v>
      </c>
      <c r="BP231" s="129">
        <v>-1992166</v>
      </c>
      <c r="BQ231" s="129">
        <v>0</v>
      </c>
      <c r="BR231" s="129">
        <v>-1992166</v>
      </c>
      <c r="BS231" s="129">
        <v>-2002166</v>
      </c>
      <c r="BT231" s="129">
        <v>0</v>
      </c>
      <c r="BU231" s="129">
        <v>0</v>
      </c>
      <c r="BV231" s="129">
        <v>0</v>
      </c>
      <c r="BW231" s="129">
        <v>-2002166</v>
      </c>
      <c r="BX231" s="129">
        <v>0</v>
      </c>
      <c r="BY231" s="129">
        <v>-2002166</v>
      </c>
      <c r="BZ231" s="129">
        <v>-147064</v>
      </c>
      <c r="CA231" s="129">
        <v>0</v>
      </c>
      <c r="CB231" s="129">
        <v>-147064</v>
      </c>
      <c r="CC231" s="129">
        <v>-56032</v>
      </c>
      <c r="CD231" s="129">
        <v>0</v>
      </c>
      <c r="CE231" s="129">
        <v>-56032</v>
      </c>
      <c r="CF231" s="129">
        <v>0</v>
      </c>
      <c r="CG231" s="129">
        <v>0</v>
      </c>
      <c r="CH231" s="129">
        <v>0</v>
      </c>
      <c r="CI231" s="129">
        <v>0</v>
      </c>
      <c r="CJ231" s="129">
        <v>0</v>
      </c>
      <c r="CK231" s="129">
        <v>0</v>
      </c>
      <c r="CL231" s="129">
        <v>0</v>
      </c>
      <c r="CM231" s="129">
        <v>0</v>
      </c>
      <c r="CN231" s="129">
        <v>0</v>
      </c>
      <c r="CO231" s="129">
        <v>0</v>
      </c>
      <c r="CP231" s="129">
        <v>0</v>
      </c>
      <c r="CQ231" s="129">
        <v>0</v>
      </c>
      <c r="CR231" s="129">
        <v>0</v>
      </c>
      <c r="CS231" s="129">
        <v>0</v>
      </c>
      <c r="CT231" s="129">
        <v>-203096</v>
      </c>
      <c r="CU231" s="129">
        <v>0</v>
      </c>
      <c r="CV231" s="129">
        <v>0</v>
      </c>
      <c r="CW231" s="129">
        <v>0</v>
      </c>
      <c r="CX231" s="129">
        <v>-203096</v>
      </c>
      <c r="CY231" s="129">
        <v>0</v>
      </c>
      <c r="CZ231" s="129">
        <v>-203096</v>
      </c>
      <c r="DA231" s="129">
        <v>0</v>
      </c>
      <c r="DB231" s="129">
        <v>0</v>
      </c>
      <c r="DC231" s="129">
        <v>0</v>
      </c>
      <c r="DD231" s="129">
        <v>-13544</v>
      </c>
      <c r="DE231" s="129">
        <v>0</v>
      </c>
      <c r="DF231" s="129">
        <v>-13544</v>
      </c>
      <c r="DG231" s="129">
        <v>0</v>
      </c>
      <c r="DH231" s="129">
        <v>0</v>
      </c>
      <c r="DI231" s="129">
        <v>0</v>
      </c>
      <c r="DJ231" s="129">
        <v>-13544</v>
      </c>
      <c r="DK231" s="129">
        <v>0</v>
      </c>
      <c r="DL231" s="129">
        <v>0</v>
      </c>
      <c r="DM231" s="129">
        <v>0</v>
      </c>
      <c r="DN231" s="129">
        <v>-13544</v>
      </c>
      <c r="DO231" s="129">
        <v>0</v>
      </c>
      <c r="DP231" s="129">
        <v>-13544</v>
      </c>
      <c r="DQ231" s="129">
        <v>112691683</v>
      </c>
      <c r="DR231" s="129">
        <v>0</v>
      </c>
      <c r="DS231" s="129">
        <v>112691683</v>
      </c>
      <c r="DT231" s="662" t="s">
        <v>497</v>
      </c>
      <c r="DU231" s="324" t="s">
        <v>486</v>
      </c>
      <c r="DV231" s="663" t="s">
        <v>494</v>
      </c>
      <c r="DW231" s="529" t="s">
        <v>1437</v>
      </c>
    </row>
    <row r="232" spans="1:127" ht="12.75" x14ac:dyDescent="0.2">
      <c r="A232" s="664">
        <v>225</v>
      </c>
      <c r="B232" s="665" t="s">
        <v>327</v>
      </c>
      <c r="C232" s="666" t="s">
        <v>1217</v>
      </c>
      <c r="D232" s="667" t="s">
        <v>1228</v>
      </c>
      <c r="E232" s="668" t="s">
        <v>326</v>
      </c>
      <c r="F232" s="753" t="s">
        <v>1908</v>
      </c>
      <c r="G232" s="129">
        <v>266737696</v>
      </c>
      <c r="H232" s="129">
        <v>0</v>
      </c>
      <c r="I232" s="129">
        <v>266737696</v>
      </c>
      <c r="J232" s="793">
        <v>49.9</v>
      </c>
      <c r="K232" s="129">
        <v>133102110</v>
      </c>
      <c r="L232" s="129">
        <v>0</v>
      </c>
      <c r="M232" s="129">
        <v>-1339559</v>
      </c>
      <c r="N232" s="129">
        <v>0</v>
      </c>
      <c r="O232" s="129">
        <v>131762551</v>
      </c>
      <c r="P232" s="129">
        <v>0</v>
      </c>
      <c r="Q232" s="129">
        <v>131762551</v>
      </c>
      <c r="R232" s="129">
        <v>-60023</v>
      </c>
      <c r="S232" s="129">
        <v>0</v>
      </c>
      <c r="T232" s="129">
        <v>-60023</v>
      </c>
      <c r="U232" s="129">
        <v>721870</v>
      </c>
      <c r="V232" s="129">
        <v>0</v>
      </c>
      <c r="W232" s="129">
        <v>721870</v>
      </c>
      <c r="X232" s="129">
        <v>661847</v>
      </c>
      <c r="Y232" s="129">
        <v>0</v>
      </c>
      <c r="Z232" s="129">
        <v>0</v>
      </c>
      <c r="AA232" s="129">
        <v>0</v>
      </c>
      <c r="AB232" s="129">
        <v>661847</v>
      </c>
      <c r="AC232" s="129">
        <v>0</v>
      </c>
      <c r="AD232" s="129">
        <v>661847</v>
      </c>
      <c r="AE232" s="129">
        <v>-661847</v>
      </c>
      <c r="AF232" s="129">
        <v>0</v>
      </c>
      <c r="AG232" s="129">
        <v>-661847</v>
      </c>
      <c r="AH232" s="129">
        <v>-4427891</v>
      </c>
      <c r="AI232" s="129">
        <v>0</v>
      </c>
      <c r="AJ232" s="129">
        <v>-4427891</v>
      </c>
      <c r="AK232" s="129">
        <v>0</v>
      </c>
      <c r="AL232" s="129">
        <v>0</v>
      </c>
      <c r="AM232" s="129">
        <v>0</v>
      </c>
      <c r="AN232" s="129">
        <v>2842168</v>
      </c>
      <c r="AO232" s="129">
        <v>0</v>
      </c>
      <c r="AP232" s="129">
        <v>2842168</v>
      </c>
      <c r="AQ232" s="129">
        <v>-1585723</v>
      </c>
      <c r="AR232" s="129">
        <v>0</v>
      </c>
      <c r="AS232" s="129">
        <v>-1585723</v>
      </c>
      <c r="AT232" s="129">
        <v>-5717862</v>
      </c>
      <c r="AU232" s="129">
        <v>0</v>
      </c>
      <c r="AV232" s="129">
        <v>-5717862</v>
      </c>
      <c r="AW232" s="129">
        <v>-104899</v>
      </c>
      <c r="AX232" s="129">
        <v>0</v>
      </c>
      <c r="AY232" s="129">
        <v>-104899</v>
      </c>
      <c r="AZ232" s="129">
        <v>-744</v>
      </c>
      <c r="BA232" s="129">
        <v>0</v>
      </c>
      <c r="BB232" s="129">
        <v>-744</v>
      </c>
      <c r="BC232" s="129">
        <v>0</v>
      </c>
      <c r="BD232" s="129">
        <v>0</v>
      </c>
      <c r="BE232" s="129">
        <v>0</v>
      </c>
      <c r="BF232" s="129">
        <v>-7409228</v>
      </c>
      <c r="BG232" s="129">
        <v>0</v>
      </c>
      <c r="BH232" s="129">
        <v>-34898</v>
      </c>
      <c r="BI232" s="129">
        <v>0</v>
      </c>
      <c r="BJ232" s="129">
        <v>-7444126</v>
      </c>
      <c r="BK232" s="129">
        <v>0</v>
      </c>
      <c r="BL232" s="129">
        <v>-7444126</v>
      </c>
      <c r="BM232" s="129">
        <v>-108000</v>
      </c>
      <c r="BN232" s="129">
        <v>0</v>
      </c>
      <c r="BO232" s="129">
        <v>-108000</v>
      </c>
      <c r="BP232" s="129">
        <v>-3669231</v>
      </c>
      <c r="BQ232" s="129">
        <v>0</v>
      </c>
      <c r="BR232" s="129">
        <v>-3669231</v>
      </c>
      <c r="BS232" s="129">
        <v>-3777231</v>
      </c>
      <c r="BT232" s="129">
        <v>0</v>
      </c>
      <c r="BU232" s="129">
        <v>-218391</v>
      </c>
      <c r="BV232" s="129">
        <v>0</v>
      </c>
      <c r="BW232" s="129">
        <v>-3995622</v>
      </c>
      <c r="BX232" s="129">
        <v>0</v>
      </c>
      <c r="BY232" s="129">
        <v>-3995622</v>
      </c>
      <c r="BZ232" s="129">
        <v>-56354</v>
      </c>
      <c r="CA232" s="129">
        <v>0</v>
      </c>
      <c r="CB232" s="129">
        <v>-56354</v>
      </c>
      <c r="CC232" s="129">
        <v>-6687</v>
      </c>
      <c r="CD232" s="129">
        <v>0</v>
      </c>
      <c r="CE232" s="129">
        <v>-6687</v>
      </c>
      <c r="CF232" s="129">
        <v>0</v>
      </c>
      <c r="CG232" s="129">
        <v>0</v>
      </c>
      <c r="CH232" s="129">
        <v>0</v>
      </c>
      <c r="CI232" s="129">
        <v>0</v>
      </c>
      <c r="CJ232" s="129">
        <v>0</v>
      </c>
      <c r="CK232" s="129">
        <v>0</v>
      </c>
      <c r="CL232" s="129">
        <v>0</v>
      </c>
      <c r="CM232" s="129">
        <v>0</v>
      </c>
      <c r="CN232" s="129">
        <v>0</v>
      </c>
      <c r="CO232" s="129">
        <v>0</v>
      </c>
      <c r="CP232" s="129">
        <v>0</v>
      </c>
      <c r="CQ232" s="129">
        <v>0</v>
      </c>
      <c r="CR232" s="129">
        <v>0</v>
      </c>
      <c r="CS232" s="129">
        <v>0</v>
      </c>
      <c r="CT232" s="129">
        <v>-63041</v>
      </c>
      <c r="CU232" s="129">
        <v>0</v>
      </c>
      <c r="CV232" s="129">
        <v>0</v>
      </c>
      <c r="CW232" s="129">
        <v>0</v>
      </c>
      <c r="CX232" s="129">
        <v>-63041</v>
      </c>
      <c r="CY232" s="129">
        <v>0</v>
      </c>
      <c r="CZ232" s="129">
        <v>-63041</v>
      </c>
      <c r="DA232" s="129">
        <v>0</v>
      </c>
      <c r="DB232" s="129">
        <v>0</v>
      </c>
      <c r="DC232" s="129">
        <v>0</v>
      </c>
      <c r="DD232" s="129">
        <v>-10487</v>
      </c>
      <c r="DE232" s="129">
        <v>0</v>
      </c>
      <c r="DF232" s="129">
        <v>-10487</v>
      </c>
      <c r="DG232" s="129">
        <v>0</v>
      </c>
      <c r="DH232" s="129">
        <v>0</v>
      </c>
      <c r="DI232" s="129">
        <v>0</v>
      </c>
      <c r="DJ232" s="129">
        <v>-10487</v>
      </c>
      <c r="DK232" s="129">
        <v>0</v>
      </c>
      <c r="DL232" s="129">
        <v>0</v>
      </c>
      <c r="DM232" s="129">
        <v>0</v>
      </c>
      <c r="DN232" s="129">
        <v>-10487</v>
      </c>
      <c r="DO232" s="129">
        <v>0</v>
      </c>
      <c r="DP232" s="129">
        <v>-10487</v>
      </c>
      <c r="DQ232" s="129">
        <v>120911122</v>
      </c>
      <c r="DR232" s="129">
        <v>0</v>
      </c>
      <c r="DS232" s="129">
        <v>120911122</v>
      </c>
      <c r="DT232" s="662" t="s">
        <v>326</v>
      </c>
      <c r="DU232" s="324" t="s">
        <v>570</v>
      </c>
      <c r="DV232" s="663" t="s">
        <v>574</v>
      </c>
      <c r="DW232" s="529" t="s">
        <v>1438</v>
      </c>
    </row>
    <row r="233" spans="1:127" ht="12.75" x14ac:dyDescent="0.2">
      <c r="A233" s="664">
        <v>226</v>
      </c>
      <c r="B233" s="665" t="s">
        <v>1023</v>
      </c>
      <c r="C233" s="666" t="s">
        <v>1201</v>
      </c>
      <c r="D233" s="667" t="s">
        <v>1224</v>
      </c>
      <c r="E233" s="668" t="s">
        <v>1022</v>
      </c>
      <c r="F233" s="753" t="s">
        <v>1875</v>
      </c>
      <c r="G233" s="129">
        <v>151235435</v>
      </c>
      <c r="H233" s="129">
        <v>0</v>
      </c>
      <c r="I233" s="129">
        <v>151235435</v>
      </c>
      <c r="J233" s="793">
        <v>49.9</v>
      </c>
      <c r="K233" s="129">
        <v>75466482</v>
      </c>
      <c r="L233" s="129">
        <v>0</v>
      </c>
      <c r="M233" s="129">
        <v>500000</v>
      </c>
      <c r="N233" s="129">
        <v>0</v>
      </c>
      <c r="O233" s="129">
        <v>75966482</v>
      </c>
      <c r="P233" s="129">
        <v>0</v>
      </c>
      <c r="Q233" s="129">
        <v>75966482</v>
      </c>
      <c r="R233" s="129">
        <v>-238277</v>
      </c>
      <c r="S233" s="129">
        <v>0</v>
      </c>
      <c r="T233" s="129">
        <v>-238277</v>
      </c>
      <c r="U233" s="129">
        <v>537247</v>
      </c>
      <c r="V233" s="129">
        <v>0</v>
      </c>
      <c r="W233" s="129">
        <v>537247</v>
      </c>
      <c r="X233" s="129">
        <v>298970</v>
      </c>
      <c r="Y233" s="129">
        <v>0</v>
      </c>
      <c r="Z233" s="129">
        <v>0</v>
      </c>
      <c r="AA233" s="129">
        <v>0</v>
      </c>
      <c r="AB233" s="129">
        <v>298970</v>
      </c>
      <c r="AC233" s="129">
        <v>0</v>
      </c>
      <c r="AD233" s="129">
        <v>298970</v>
      </c>
      <c r="AE233" s="129">
        <v>-298970</v>
      </c>
      <c r="AF233" s="129">
        <v>0</v>
      </c>
      <c r="AG233" s="129">
        <v>-298970</v>
      </c>
      <c r="AH233" s="129">
        <v>-7755629</v>
      </c>
      <c r="AI233" s="129">
        <v>0</v>
      </c>
      <c r="AJ233" s="129">
        <v>-7755629</v>
      </c>
      <c r="AK233" s="129">
        <v>0</v>
      </c>
      <c r="AL233" s="129">
        <v>0</v>
      </c>
      <c r="AM233" s="129">
        <v>0</v>
      </c>
      <c r="AN233" s="129">
        <v>1966199</v>
      </c>
      <c r="AO233" s="129">
        <v>0</v>
      </c>
      <c r="AP233" s="129">
        <v>1966199</v>
      </c>
      <c r="AQ233" s="129">
        <v>-5789430</v>
      </c>
      <c r="AR233" s="129">
        <v>0</v>
      </c>
      <c r="AS233" s="129">
        <v>-5789430</v>
      </c>
      <c r="AT233" s="129">
        <v>-5534086</v>
      </c>
      <c r="AU233" s="129">
        <v>0</v>
      </c>
      <c r="AV233" s="129">
        <v>-5534086</v>
      </c>
      <c r="AW233" s="129">
        <v>-62474</v>
      </c>
      <c r="AX233" s="129">
        <v>0</v>
      </c>
      <c r="AY233" s="129">
        <v>-62474</v>
      </c>
      <c r="AZ233" s="129">
        <v>-59023</v>
      </c>
      <c r="BA233" s="129">
        <v>0</v>
      </c>
      <c r="BB233" s="129">
        <v>-59023</v>
      </c>
      <c r="BC233" s="129">
        <v>0</v>
      </c>
      <c r="BD233" s="129">
        <v>0</v>
      </c>
      <c r="BE233" s="129">
        <v>0</v>
      </c>
      <c r="BF233" s="129">
        <v>-11445013</v>
      </c>
      <c r="BG233" s="129">
        <v>0</v>
      </c>
      <c r="BH233" s="129">
        <v>0</v>
      </c>
      <c r="BI233" s="129">
        <v>0</v>
      </c>
      <c r="BJ233" s="129">
        <v>-11445013</v>
      </c>
      <c r="BK233" s="129">
        <v>0</v>
      </c>
      <c r="BL233" s="129">
        <v>-11445013</v>
      </c>
      <c r="BM233" s="129">
        <v>0</v>
      </c>
      <c r="BN233" s="129">
        <v>0</v>
      </c>
      <c r="BO233" s="129">
        <v>0</v>
      </c>
      <c r="BP233" s="129">
        <v>-1413484</v>
      </c>
      <c r="BQ233" s="129">
        <v>0</v>
      </c>
      <c r="BR233" s="129">
        <v>-1413484</v>
      </c>
      <c r="BS233" s="129">
        <v>-1413484</v>
      </c>
      <c r="BT233" s="129">
        <v>0</v>
      </c>
      <c r="BU233" s="129">
        <v>-250000</v>
      </c>
      <c r="BV233" s="129">
        <v>0</v>
      </c>
      <c r="BW233" s="129">
        <v>-1663484</v>
      </c>
      <c r="BX233" s="129">
        <v>0</v>
      </c>
      <c r="BY233" s="129">
        <v>-1663484</v>
      </c>
      <c r="BZ233" s="129">
        <v>-306660</v>
      </c>
      <c r="CA233" s="129">
        <v>0</v>
      </c>
      <c r="CB233" s="129">
        <v>-306660</v>
      </c>
      <c r="CC233" s="129">
        <v>-231719</v>
      </c>
      <c r="CD233" s="129">
        <v>0</v>
      </c>
      <c r="CE233" s="129">
        <v>-231719</v>
      </c>
      <c r="CF233" s="129">
        <v>-4813</v>
      </c>
      <c r="CG233" s="129">
        <v>0</v>
      </c>
      <c r="CH233" s="129">
        <v>-4813</v>
      </c>
      <c r="CI233" s="129">
        <v>0</v>
      </c>
      <c r="CJ233" s="129">
        <v>0</v>
      </c>
      <c r="CK233" s="129">
        <v>0</v>
      </c>
      <c r="CL233" s="129">
        <v>-14252</v>
      </c>
      <c r="CM233" s="129">
        <v>0</v>
      </c>
      <c r="CN233" s="129">
        <v>-14252</v>
      </c>
      <c r="CO233" s="129">
        <v>0</v>
      </c>
      <c r="CP233" s="129">
        <v>0</v>
      </c>
      <c r="CQ233" s="129">
        <v>0</v>
      </c>
      <c r="CR233" s="129">
        <v>0</v>
      </c>
      <c r="CS233" s="129">
        <v>0</v>
      </c>
      <c r="CT233" s="129">
        <v>-557444</v>
      </c>
      <c r="CU233" s="129">
        <v>0</v>
      </c>
      <c r="CV233" s="129">
        <v>0</v>
      </c>
      <c r="CW233" s="129">
        <v>0</v>
      </c>
      <c r="CX233" s="129">
        <v>-557444</v>
      </c>
      <c r="CY233" s="129">
        <v>0</v>
      </c>
      <c r="CZ233" s="129">
        <v>-557444</v>
      </c>
      <c r="DA233" s="129">
        <v>-72269</v>
      </c>
      <c r="DB233" s="129">
        <v>0</v>
      </c>
      <c r="DC233" s="129">
        <v>-72269</v>
      </c>
      <c r="DD233" s="129">
        <v>-30828</v>
      </c>
      <c r="DE233" s="129">
        <v>0</v>
      </c>
      <c r="DF233" s="129">
        <v>-30828</v>
      </c>
      <c r="DG233" s="129">
        <v>-1500</v>
      </c>
      <c r="DH233" s="129">
        <v>0</v>
      </c>
      <c r="DI233" s="129">
        <v>-1500</v>
      </c>
      <c r="DJ233" s="129">
        <v>-104597</v>
      </c>
      <c r="DK233" s="129">
        <v>0</v>
      </c>
      <c r="DL233" s="129">
        <v>0</v>
      </c>
      <c r="DM233" s="129">
        <v>0</v>
      </c>
      <c r="DN233" s="129">
        <v>-104597</v>
      </c>
      <c r="DO233" s="129">
        <v>0</v>
      </c>
      <c r="DP233" s="129">
        <v>-104597</v>
      </c>
      <c r="DQ233" s="129">
        <v>62494914</v>
      </c>
      <c r="DR233" s="129">
        <v>0</v>
      </c>
      <c r="DS233" s="129">
        <v>62494914</v>
      </c>
      <c r="DT233" s="662" t="s">
        <v>1022</v>
      </c>
      <c r="DU233" s="324" t="s">
        <v>562</v>
      </c>
      <c r="DV233" s="663" t="s">
        <v>519</v>
      </c>
      <c r="DW233" s="529" t="s">
        <v>1439</v>
      </c>
    </row>
    <row r="234" spans="1:127" ht="12.75" x14ac:dyDescent="0.2">
      <c r="A234" s="664">
        <v>227</v>
      </c>
      <c r="B234" s="665" t="s">
        <v>329</v>
      </c>
      <c r="C234" s="666" t="s">
        <v>1201</v>
      </c>
      <c r="D234" s="667" t="s">
        <v>1211</v>
      </c>
      <c r="E234" s="668" t="s">
        <v>328</v>
      </c>
      <c r="F234" s="753" t="s">
        <v>1878</v>
      </c>
      <c r="G234" s="129">
        <v>219002631</v>
      </c>
      <c r="H234" s="129">
        <v>2204500</v>
      </c>
      <c r="I234" s="129">
        <v>221207131</v>
      </c>
      <c r="J234" s="793">
        <v>49.9</v>
      </c>
      <c r="K234" s="129">
        <v>109282313</v>
      </c>
      <c r="L234" s="129">
        <v>1100046</v>
      </c>
      <c r="M234" s="129">
        <v>0</v>
      </c>
      <c r="N234" s="129">
        <v>0</v>
      </c>
      <c r="O234" s="129">
        <v>109282313</v>
      </c>
      <c r="P234" s="129">
        <v>1100046</v>
      </c>
      <c r="Q234" s="129">
        <v>110382359</v>
      </c>
      <c r="R234" s="129">
        <v>-167687</v>
      </c>
      <c r="S234" s="129">
        <v>0</v>
      </c>
      <c r="T234" s="129">
        <v>-167687</v>
      </c>
      <c r="U234" s="129">
        <v>125999</v>
      </c>
      <c r="V234" s="129">
        <v>0</v>
      </c>
      <c r="W234" s="129">
        <v>125999</v>
      </c>
      <c r="X234" s="129">
        <v>-41688</v>
      </c>
      <c r="Y234" s="129">
        <v>0</v>
      </c>
      <c r="Z234" s="129">
        <v>0</v>
      </c>
      <c r="AA234" s="129">
        <v>0</v>
      </c>
      <c r="AB234" s="129">
        <v>-41688</v>
      </c>
      <c r="AC234" s="129">
        <v>0</v>
      </c>
      <c r="AD234" s="129">
        <v>-41688</v>
      </c>
      <c r="AE234" s="129">
        <v>41688</v>
      </c>
      <c r="AF234" s="129">
        <v>0</v>
      </c>
      <c r="AG234" s="129">
        <v>41688</v>
      </c>
      <c r="AH234" s="129">
        <v>-5165341</v>
      </c>
      <c r="AI234" s="129">
        <v>0</v>
      </c>
      <c r="AJ234" s="129">
        <v>-5165341</v>
      </c>
      <c r="AK234" s="129">
        <v>-29642</v>
      </c>
      <c r="AL234" s="129">
        <v>0</v>
      </c>
      <c r="AM234" s="129">
        <v>-29642</v>
      </c>
      <c r="AN234" s="129">
        <v>2240154</v>
      </c>
      <c r="AO234" s="129">
        <v>26764</v>
      </c>
      <c r="AP234" s="129">
        <v>2266918</v>
      </c>
      <c r="AQ234" s="129">
        <v>-2925187</v>
      </c>
      <c r="AR234" s="129">
        <v>26764</v>
      </c>
      <c r="AS234" s="129">
        <v>-2898423</v>
      </c>
      <c r="AT234" s="129">
        <v>-10906875</v>
      </c>
      <c r="AU234" s="129">
        <v>0</v>
      </c>
      <c r="AV234" s="129">
        <v>-10906875</v>
      </c>
      <c r="AW234" s="129">
        <v>-26395</v>
      </c>
      <c r="AX234" s="129">
        <v>0</v>
      </c>
      <c r="AY234" s="129">
        <v>-26395</v>
      </c>
      <c r="AZ234" s="129">
        <v>-48032</v>
      </c>
      <c r="BA234" s="129">
        <v>0</v>
      </c>
      <c r="BB234" s="129">
        <v>-48032</v>
      </c>
      <c r="BC234" s="129">
        <v>0</v>
      </c>
      <c r="BD234" s="129">
        <v>0</v>
      </c>
      <c r="BE234" s="129">
        <v>0</v>
      </c>
      <c r="BF234" s="129">
        <v>-13906489</v>
      </c>
      <c r="BG234" s="129">
        <v>26764</v>
      </c>
      <c r="BH234" s="129">
        <v>0</v>
      </c>
      <c r="BI234" s="129">
        <v>0</v>
      </c>
      <c r="BJ234" s="129">
        <v>-13906489</v>
      </c>
      <c r="BK234" s="129">
        <v>26764</v>
      </c>
      <c r="BL234" s="129">
        <v>-13879725</v>
      </c>
      <c r="BM234" s="129">
        <v>0</v>
      </c>
      <c r="BN234" s="129">
        <v>0</v>
      </c>
      <c r="BO234" s="129">
        <v>0</v>
      </c>
      <c r="BP234" s="129">
        <v>-899267</v>
      </c>
      <c r="BQ234" s="129">
        <v>0</v>
      </c>
      <c r="BR234" s="129">
        <v>-899267</v>
      </c>
      <c r="BS234" s="129">
        <v>-899267</v>
      </c>
      <c r="BT234" s="129">
        <v>0</v>
      </c>
      <c r="BU234" s="129">
        <v>0</v>
      </c>
      <c r="BV234" s="129">
        <v>0</v>
      </c>
      <c r="BW234" s="129">
        <v>-899267</v>
      </c>
      <c r="BX234" s="129">
        <v>0</v>
      </c>
      <c r="BY234" s="129">
        <v>-899267</v>
      </c>
      <c r="BZ234" s="129">
        <v>-142339</v>
      </c>
      <c r="CA234" s="129">
        <v>0</v>
      </c>
      <c r="CB234" s="129">
        <v>-142339</v>
      </c>
      <c r="CC234" s="129">
        <v>-56619</v>
      </c>
      <c r="CD234" s="129">
        <v>0</v>
      </c>
      <c r="CE234" s="129">
        <v>-56619</v>
      </c>
      <c r="CF234" s="129">
        <v>0</v>
      </c>
      <c r="CG234" s="129">
        <v>0</v>
      </c>
      <c r="CH234" s="129">
        <v>0</v>
      </c>
      <c r="CI234" s="129">
        <v>0</v>
      </c>
      <c r="CJ234" s="129">
        <v>0</v>
      </c>
      <c r="CK234" s="129">
        <v>0</v>
      </c>
      <c r="CL234" s="129">
        <v>-43820</v>
      </c>
      <c r="CM234" s="129">
        <v>0</v>
      </c>
      <c r="CN234" s="129">
        <v>-43820</v>
      </c>
      <c r="CO234" s="129">
        <v>0</v>
      </c>
      <c r="CP234" s="129">
        <v>-223869</v>
      </c>
      <c r="CQ234" s="129">
        <v>-223869</v>
      </c>
      <c r="CR234" s="129">
        <v>-223869</v>
      </c>
      <c r="CS234" s="129">
        <v>0</v>
      </c>
      <c r="CT234" s="129">
        <v>-242778</v>
      </c>
      <c r="CU234" s="129">
        <v>-223869</v>
      </c>
      <c r="CV234" s="129">
        <v>0</v>
      </c>
      <c r="CW234" s="129">
        <v>0</v>
      </c>
      <c r="CX234" s="129">
        <v>-242778</v>
      </c>
      <c r="CY234" s="129">
        <v>-223869</v>
      </c>
      <c r="CZ234" s="129">
        <v>-466647</v>
      </c>
      <c r="DA234" s="129">
        <v>-48032</v>
      </c>
      <c r="DB234" s="129">
        <v>0</v>
      </c>
      <c r="DC234" s="129">
        <v>-48032</v>
      </c>
      <c r="DD234" s="129">
        <v>-37421</v>
      </c>
      <c r="DE234" s="129">
        <v>0</v>
      </c>
      <c r="DF234" s="129">
        <v>-37421</v>
      </c>
      <c r="DG234" s="129">
        <v>-1500</v>
      </c>
      <c r="DH234" s="129">
        <v>0</v>
      </c>
      <c r="DI234" s="129">
        <v>-1500</v>
      </c>
      <c r="DJ234" s="129">
        <v>-86953</v>
      </c>
      <c r="DK234" s="129">
        <v>0</v>
      </c>
      <c r="DL234" s="129">
        <v>0</v>
      </c>
      <c r="DM234" s="129">
        <v>0</v>
      </c>
      <c r="DN234" s="129">
        <v>-86953</v>
      </c>
      <c r="DO234" s="129">
        <v>0</v>
      </c>
      <c r="DP234" s="129">
        <v>-86953</v>
      </c>
      <c r="DQ234" s="129">
        <v>94105138</v>
      </c>
      <c r="DR234" s="129">
        <v>902941</v>
      </c>
      <c r="DS234" s="129">
        <v>95008079</v>
      </c>
      <c r="DT234" s="662" t="s">
        <v>328</v>
      </c>
      <c r="DU234" s="324" t="s">
        <v>503</v>
      </c>
      <c r="DV234" s="663" t="s">
        <v>502</v>
      </c>
      <c r="DW234" s="529" t="s">
        <v>1440</v>
      </c>
    </row>
    <row r="235" spans="1:127" ht="12.75" x14ac:dyDescent="0.2">
      <c r="A235" s="664">
        <v>228</v>
      </c>
      <c r="B235" s="665" t="s">
        <v>331</v>
      </c>
      <c r="C235" s="666" t="s">
        <v>1201</v>
      </c>
      <c r="D235" s="667" t="s">
        <v>1206</v>
      </c>
      <c r="E235" s="668" t="s">
        <v>330</v>
      </c>
      <c r="F235" s="753" t="s">
        <v>1894</v>
      </c>
      <c r="G235" s="129">
        <v>67378732</v>
      </c>
      <c r="H235" s="129">
        <v>0</v>
      </c>
      <c r="I235" s="129">
        <v>67378732</v>
      </c>
      <c r="J235" s="793">
        <v>49.9</v>
      </c>
      <c r="K235" s="129">
        <v>33621987</v>
      </c>
      <c r="L235" s="129">
        <v>0</v>
      </c>
      <c r="M235" s="129">
        <v>0</v>
      </c>
      <c r="N235" s="129">
        <v>0</v>
      </c>
      <c r="O235" s="129">
        <v>33621987</v>
      </c>
      <c r="P235" s="129">
        <v>0</v>
      </c>
      <c r="Q235" s="129">
        <v>33621987</v>
      </c>
      <c r="R235" s="129">
        <v>-298698</v>
      </c>
      <c r="S235" s="129">
        <v>0</v>
      </c>
      <c r="T235" s="129">
        <v>-298698</v>
      </c>
      <c r="U235" s="129">
        <v>9252</v>
      </c>
      <c r="V235" s="129">
        <v>0</v>
      </c>
      <c r="W235" s="129">
        <v>9252</v>
      </c>
      <c r="X235" s="129">
        <v>-289446</v>
      </c>
      <c r="Y235" s="129">
        <v>0</v>
      </c>
      <c r="Z235" s="129">
        <v>0</v>
      </c>
      <c r="AA235" s="129">
        <v>0</v>
      </c>
      <c r="AB235" s="129">
        <v>-289446</v>
      </c>
      <c r="AC235" s="129">
        <v>0</v>
      </c>
      <c r="AD235" s="129">
        <v>-289446</v>
      </c>
      <c r="AE235" s="129">
        <v>289446</v>
      </c>
      <c r="AF235" s="129">
        <v>0</v>
      </c>
      <c r="AG235" s="129">
        <v>289446</v>
      </c>
      <c r="AH235" s="129">
        <v>-2992316</v>
      </c>
      <c r="AI235" s="129">
        <v>0</v>
      </c>
      <c r="AJ235" s="129">
        <v>-2992316</v>
      </c>
      <c r="AK235" s="129">
        <v>-1821</v>
      </c>
      <c r="AL235" s="129">
        <v>0</v>
      </c>
      <c r="AM235" s="129">
        <v>-1821</v>
      </c>
      <c r="AN235" s="129">
        <v>625058</v>
      </c>
      <c r="AO235" s="129">
        <v>0</v>
      </c>
      <c r="AP235" s="129">
        <v>625058</v>
      </c>
      <c r="AQ235" s="129">
        <v>-2367258</v>
      </c>
      <c r="AR235" s="129">
        <v>0</v>
      </c>
      <c r="AS235" s="129">
        <v>-2367258</v>
      </c>
      <c r="AT235" s="129">
        <v>-1751160</v>
      </c>
      <c r="AU235" s="129">
        <v>0</v>
      </c>
      <c r="AV235" s="129">
        <v>-1751160</v>
      </c>
      <c r="AW235" s="129">
        <v>-33352</v>
      </c>
      <c r="AX235" s="129">
        <v>0</v>
      </c>
      <c r="AY235" s="129">
        <v>-33352</v>
      </c>
      <c r="AZ235" s="129">
        <v>-26610</v>
      </c>
      <c r="BA235" s="129">
        <v>0</v>
      </c>
      <c r="BB235" s="129">
        <v>-26610</v>
      </c>
      <c r="BC235" s="129">
        <v>0</v>
      </c>
      <c r="BD235" s="129">
        <v>0</v>
      </c>
      <c r="BE235" s="129">
        <v>0</v>
      </c>
      <c r="BF235" s="129">
        <v>-4178380</v>
      </c>
      <c r="BG235" s="129">
        <v>0</v>
      </c>
      <c r="BH235" s="129">
        <v>0</v>
      </c>
      <c r="BI235" s="129">
        <v>0</v>
      </c>
      <c r="BJ235" s="129">
        <v>-4178380</v>
      </c>
      <c r="BK235" s="129">
        <v>0</v>
      </c>
      <c r="BL235" s="129">
        <v>-4178380</v>
      </c>
      <c r="BM235" s="129">
        <v>-300000</v>
      </c>
      <c r="BN235" s="129">
        <v>0</v>
      </c>
      <c r="BO235" s="129">
        <v>-300000</v>
      </c>
      <c r="BP235" s="129">
        <v>-404964</v>
      </c>
      <c r="BQ235" s="129">
        <v>0</v>
      </c>
      <c r="BR235" s="129">
        <v>-404964</v>
      </c>
      <c r="BS235" s="129">
        <v>-704964</v>
      </c>
      <c r="BT235" s="129">
        <v>0</v>
      </c>
      <c r="BU235" s="129">
        <v>0</v>
      </c>
      <c r="BV235" s="129">
        <v>0</v>
      </c>
      <c r="BW235" s="129">
        <v>-704964</v>
      </c>
      <c r="BX235" s="129">
        <v>0</v>
      </c>
      <c r="BY235" s="129">
        <v>-704964</v>
      </c>
      <c r="BZ235" s="129">
        <v>-57943</v>
      </c>
      <c r="CA235" s="129">
        <v>0</v>
      </c>
      <c r="CB235" s="129">
        <v>-57943</v>
      </c>
      <c r="CC235" s="129">
        <v>-26197</v>
      </c>
      <c r="CD235" s="129">
        <v>0</v>
      </c>
      <c r="CE235" s="129">
        <v>-26197</v>
      </c>
      <c r="CF235" s="129">
        <v>0</v>
      </c>
      <c r="CG235" s="129">
        <v>0</v>
      </c>
      <c r="CH235" s="129">
        <v>0</v>
      </c>
      <c r="CI235" s="129">
        <v>0</v>
      </c>
      <c r="CJ235" s="129">
        <v>0</v>
      </c>
      <c r="CK235" s="129">
        <v>0</v>
      </c>
      <c r="CL235" s="129">
        <v>0</v>
      </c>
      <c r="CM235" s="129">
        <v>0</v>
      </c>
      <c r="CN235" s="129">
        <v>0</v>
      </c>
      <c r="CO235" s="129">
        <v>0</v>
      </c>
      <c r="CP235" s="129">
        <v>0</v>
      </c>
      <c r="CQ235" s="129">
        <v>0</v>
      </c>
      <c r="CR235" s="129">
        <v>0</v>
      </c>
      <c r="CS235" s="129">
        <v>0</v>
      </c>
      <c r="CT235" s="129">
        <v>-84140</v>
      </c>
      <c r="CU235" s="129">
        <v>0</v>
      </c>
      <c r="CV235" s="129">
        <v>0</v>
      </c>
      <c r="CW235" s="129">
        <v>0</v>
      </c>
      <c r="CX235" s="129">
        <v>-84140</v>
      </c>
      <c r="CY235" s="129">
        <v>0</v>
      </c>
      <c r="CZ235" s="129">
        <v>-84140</v>
      </c>
      <c r="DA235" s="129">
        <v>-26610</v>
      </c>
      <c r="DB235" s="129">
        <v>0</v>
      </c>
      <c r="DC235" s="129">
        <v>-26610</v>
      </c>
      <c r="DD235" s="129">
        <v>-30639</v>
      </c>
      <c r="DE235" s="129">
        <v>0</v>
      </c>
      <c r="DF235" s="129">
        <v>-30639</v>
      </c>
      <c r="DG235" s="129">
        <v>0</v>
      </c>
      <c r="DH235" s="129">
        <v>0</v>
      </c>
      <c r="DI235" s="129">
        <v>0</v>
      </c>
      <c r="DJ235" s="129">
        <v>-57249</v>
      </c>
      <c r="DK235" s="129">
        <v>0</v>
      </c>
      <c r="DL235" s="129">
        <v>0</v>
      </c>
      <c r="DM235" s="129">
        <v>0</v>
      </c>
      <c r="DN235" s="129">
        <v>-57249</v>
      </c>
      <c r="DO235" s="129">
        <v>0</v>
      </c>
      <c r="DP235" s="129">
        <v>-57249</v>
      </c>
      <c r="DQ235" s="129">
        <v>28307808</v>
      </c>
      <c r="DR235" s="129">
        <v>0</v>
      </c>
      <c r="DS235" s="129">
        <v>28307808</v>
      </c>
      <c r="DT235" s="662" t="s">
        <v>330</v>
      </c>
      <c r="DU235" s="324" t="s">
        <v>516</v>
      </c>
      <c r="DV235" s="663" t="s">
        <v>515</v>
      </c>
      <c r="DW235" s="529" t="s">
        <v>1441</v>
      </c>
    </row>
    <row r="236" spans="1:127" ht="12.75" x14ac:dyDescent="0.2">
      <c r="A236" s="664">
        <v>229</v>
      </c>
      <c r="B236" s="665" t="s">
        <v>333</v>
      </c>
      <c r="C236" s="666" t="s">
        <v>486</v>
      </c>
      <c r="D236" s="667" t="s">
        <v>1224</v>
      </c>
      <c r="E236" s="668" t="s">
        <v>489</v>
      </c>
      <c r="F236" s="753" t="s">
        <v>1910</v>
      </c>
      <c r="G236" s="129">
        <v>313368634</v>
      </c>
      <c r="H236" s="129">
        <v>39383477</v>
      </c>
      <c r="I236" s="129">
        <v>352752111</v>
      </c>
      <c r="J236" s="793">
        <v>49.9</v>
      </c>
      <c r="K236" s="129">
        <v>156370948</v>
      </c>
      <c r="L236" s="129">
        <v>19652355</v>
      </c>
      <c r="M236" s="129">
        <v>0</v>
      </c>
      <c r="N236" s="129">
        <v>900000</v>
      </c>
      <c r="O236" s="129">
        <v>156370948</v>
      </c>
      <c r="P236" s="129">
        <v>20552355</v>
      </c>
      <c r="Q236" s="129">
        <v>176923303</v>
      </c>
      <c r="R236" s="129">
        <v>0</v>
      </c>
      <c r="S236" s="129">
        <v>0</v>
      </c>
      <c r="T236" s="129">
        <v>0</v>
      </c>
      <c r="U236" s="129">
        <v>0</v>
      </c>
      <c r="V236" s="129">
        <v>0</v>
      </c>
      <c r="W236" s="129">
        <v>0</v>
      </c>
      <c r="X236" s="129">
        <v>0</v>
      </c>
      <c r="Y236" s="129">
        <v>0</v>
      </c>
      <c r="Z236" s="129">
        <v>0</v>
      </c>
      <c r="AA236" s="129">
        <v>0</v>
      </c>
      <c r="AB236" s="129">
        <v>0</v>
      </c>
      <c r="AC236" s="129">
        <v>0</v>
      </c>
      <c r="AD236" s="129">
        <v>0</v>
      </c>
      <c r="AE236" s="129">
        <v>0</v>
      </c>
      <c r="AF236" s="129">
        <v>0</v>
      </c>
      <c r="AG236" s="129">
        <v>0</v>
      </c>
      <c r="AH236" s="129">
        <v>-7709160</v>
      </c>
      <c r="AI236" s="129">
        <v>-34529</v>
      </c>
      <c r="AJ236" s="129">
        <v>-7743689</v>
      </c>
      <c r="AK236" s="129">
        <v>-47259</v>
      </c>
      <c r="AL236" s="129">
        <v>0</v>
      </c>
      <c r="AM236" s="129">
        <v>-47259</v>
      </c>
      <c r="AN236" s="129">
        <v>3319251</v>
      </c>
      <c r="AO236" s="129">
        <v>501973</v>
      </c>
      <c r="AP236" s="129">
        <v>3821224</v>
      </c>
      <c r="AQ236" s="129">
        <v>-4389909</v>
      </c>
      <c r="AR236" s="129">
        <v>467444</v>
      </c>
      <c r="AS236" s="129">
        <v>-3922465</v>
      </c>
      <c r="AT236" s="129">
        <v>-8853796</v>
      </c>
      <c r="AU236" s="129">
        <v>-144794</v>
      </c>
      <c r="AV236" s="129">
        <v>-8998590</v>
      </c>
      <c r="AW236" s="129">
        <v>-86241</v>
      </c>
      <c r="AX236" s="129">
        <v>0</v>
      </c>
      <c r="AY236" s="129">
        <v>-86241</v>
      </c>
      <c r="AZ236" s="129">
        <v>-19498</v>
      </c>
      <c r="BA236" s="129">
        <v>0</v>
      </c>
      <c r="BB236" s="129">
        <v>-19498</v>
      </c>
      <c r="BC236" s="129">
        <v>0</v>
      </c>
      <c r="BD236" s="129">
        <v>0</v>
      </c>
      <c r="BE236" s="129">
        <v>0</v>
      </c>
      <c r="BF236" s="129">
        <v>-13349444</v>
      </c>
      <c r="BG236" s="129">
        <v>322650</v>
      </c>
      <c r="BH236" s="129">
        <v>0</v>
      </c>
      <c r="BI236" s="129">
        <v>0</v>
      </c>
      <c r="BJ236" s="129">
        <v>-13349444</v>
      </c>
      <c r="BK236" s="129">
        <v>322650</v>
      </c>
      <c r="BL236" s="129">
        <v>-13026794</v>
      </c>
      <c r="BM236" s="129">
        <v>0</v>
      </c>
      <c r="BN236" s="129">
        <v>0</v>
      </c>
      <c r="BO236" s="129">
        <v>0</v>
      </c>
      <c r="BP236" s="129">
        <v>-9749349</v>
      </c>
      <c r="BQ236" s="129">
        <v>-250651</v>
      </c>
      <c r="BR236" s="129">
        <v>-10000000</v>
      </c>
      <c r="BS236" s="129">
        <v>-9749349</v>
      </c>
      <c r="BT236" s="129">
        <v>-250651</v>
      </c>
      <c r="BU236" s="129">
        <v>0</v>
      </c>
      <c r="BV236" s="129">
        <v>0</v>
      </c>
      <c r="BW236" s="129">
        <v>-9749349</v>
      </c>
      <c r="BX236" s="129">
        <v>-250651</v>
      </c>
      <c r="BY236" s="129">
        <v>-10000000</v>
      </c>
      <c r="BZ236" s="129">
        <v>-87685</v>
      </c>
      <c r="CA236" s="129">
        <v>0</v>
      </c>
      <c r="CB236" s="129">
        <v>-87685</v>
      </c>
      <c r="CC236" s="129">
        <v>-13023</v>
      </c>
      <c r="CD236" s="129">
        <v>0</v>
      </c>
      <c r="CE236" s="129">
        <v>-13023</v>
      </c>
      <c r="CF236" s="129">
        <v>0</v>
      </c>
      <c r="CG236" s="129">
        <v>0</v>
      </c>
      <c r="CH236" s="129">
        <v>0</v>
      </c>
      <c r="CI236" s="129">
        <v>-6273</v>
      </c>
      <c r="CJ236" s="129">
        <v>0</v>
      </c>
      <c r="CK236" s="129">
        <v>-6273</v>
      </c>
      <c r="CL236" s="129">
        <v>0</v>
      </c>
      <c r="CM236" s="129">
        <v>0</v>
      </c>
      <c r="CN236" s="129">
        <v>0</v>
      </c>
      <c r="CO236" s="129">
        <v>0</v>
      </c>
      <c r="CP236" s="129">
        <v>0</v>
      </c>
      <c r="CQ236" s="129">
        <v>0</v>
      </c>
      <c r="CR236" s="129">
        <v>0</v>
      </c>
      <c r="CS236" s="129">
        <v>0</v>
      </c>
      <c r="CT236" s="129">
        <v>-106981</v>
      </c>
      <c r="CU236" s="129">
        <v>0</v>
      </c>
      <c r="CV236" s="129">
        <v>0</v>
      </c>
      <c r="CW236" s="129">
        <v>0</v>
      </c>
      <c r="CX236" s="129">
        <v>-106981</v>
      </c>
      <c r="CY236" s="129">
        <v>0</v>
      </c>
      <c r="CZ236" s="129">
        <v>-106981</v>
      </c>
      <c r="DA236" s="129">
        <v>-15863</v>
      </c>
      <c r="DB236" s="129">
        <v>0</v>
      </c>
      <c r="DC236" s="129">
        <v>-15863</v>
      </c>
      <c r="DD236" s="129">
        <v>-46094</v>
      </c>
      <c r="DE236" s="129">
        <v>-400</v>
      </c>
      <c r="DF236" s="129">
        <v>-46494</v>
      </c>
      <c r="DG236" s="129">
        <v>0</v>
      </c>
      <c r="DH236" s="129">
        <v>0</v>
      </c>
      <c r="DI236" s="129">
        <v>0</v>
      </c>
      <c r="DJ236" s="129">
        <v>-61957</v>
      </c>
      <c r="DK236" s="129">
        <v>-400</v>
      </c>
      <c r="DL236" s="129">
        <v>-982225</v>
      </c>
      <c r="DM236" s="129">
        <v>0</v>
      </c>
      <c r="DN236" s="129">
        <v>-1044182</v>
      </c>
      <c r="DO236" s="129">
        <v>-400</v>
      </c>
      <c r="DP236" s="129">
        <v>-1044582</v>
      </c>
      <c r="DQ236" s="129">
        <v>132120992</v>
      </c>
      <c r="DR236" s="129">
        <v>20623954</v>
      </c>
      <c r="DS236" s="129">
        <v>152744946</v>
      </c>
      <c r="DT236" s="662" t="s">
        <v>489</v>
      </c>
      <c r="DU236" s="324" t="s">
        <v>486</v>
      </c>
      <c r="DV236" s="663" t="s">
        <v>487</v>
      </c>
      <c r="DW236" s="529" t="s">
        <v>1442</v>
      </c>
    </row>
    <row r="237" spans="1:127" ht="12.75" x14ac:dyDescent="0.2">
      <c r="A237" s="664">
        <v>230</v>
      </c>
      <c r="B237" s="665" t="s">
        <v>335</v>
      </c>
      <c r="C237" s="666" t="s">
        <v>1201</v>
      </c>
      <c r="D237" s="667" t="s">
        <v>1224</v>
      </c>
      <c r="E237" s="668" t="s">
        <v>334</v>
      </c>
      <c r="F237" s="753" t="s">
        <v>1880</v>
      </c>
      <c r="G237" s="129">
        <v>86932140</v>
      </c>
      <c r="H237" s="129">
        <v>0</v>
      </c>
      <c r="I237" s="129">
        <v>86932140</v>
      </c>
      <c r="J237" s="793">
        <v>49.9</v>
      </c>
      <c r="K237" s="129">
        <v>43379138</v>
      </c>
      <c r="L237" s="129">
        <v>0</v>
      </c>
      <c r="M237" s="129">
        <v>0</v>
      </c>
      <c r="N237" s="129">
        <v>0</v>
      </c>
      <c r="O237" s="129">
        <v>43379138</v>
      </c>
      <c r="P237" s="129">
        <v>0</v>
      </c>
      <c r="Q237" s="129">
        <v>43379138</v>
      </c>
      <c r="R237" s="129">
        <v>-246665</v>
      </c>
      <c r="S237" s="129">
        <v>0</v>
      </c>
      <c r="T237" s="129">
        <v>-246665</v>
      </c>
      <c r="U237" s="129">
        <v>437779</v>
      </c>
      <c r="V237" s="129">
        <v>0</v>
      </c>
      <c r="W237" s="129">
        <v>437779</v>
      </c>
      <c r="X237" s="129">
        <v>191114</v>
      </c>
      <c r="Y237" s="129">
        <v>0</v>
      </c>
      <c r="Z237" s="129">
        <v>0</v>
      </c>
      <c r="AA237" s="129">
        <v>0</v>
      </c>
      <c r="AB237" s="129">
        <v>191114</v>
      </c>
      <c r="AC237" s="129">
        <v>0</v>
      </c>
      <c r="AD237" s="129">
        <v>191114</v>
      </c>
      <c r="AE237" s="129">
        <v>-191114</v>
      </c>
      <c r="AF237" s="129">
        <v>0</v>
      </c>
      <c r="AG237" s="129">
        <v>-191114</v>
      </c>
      <c r="AH237" s="129">
        <v>-9537910</v>
      </c>
      <c r="AI237" s="129">
        <v>0</v>
      </c>
      <c r="AJ237" s="129">
        <v>-9537910</v>
      </c>
      <c r="AK237" s="129">
        <v>0</v>
      </c>
      <c r="AL237" s="129">
        <v>0</v>
      </c>
      <c r="AM237" s="129">
        <v>0</v>
      </c>
      <c r="AN237" s="129">
        <v>556799</v>
      </c>
      <c r="AO237" s="129">
        <v>0</v>
      </c>
      <c r="AP237" s="129">
        <v>556799</v>
      </c>
      <c r="AQ237" s="129">
        <v>-8981111</v>
      </c>
      <c r="AR237" s="129">
        <v>0</v>
      </c>
      <c r="AS237" s="129">
        <v>-8981111</v>
      </c>
      <c r="AT237" s="129">
        <v>-2800719</v>
      </c>
      <c r="AU237" s="129">
        <v>0</v>
      </c>
      <c r="AV237" s="129">
        <v>-2800719</v>
      </c>
      <c r="AW237" s="129">
        <v>-120761</v>
      </c>
      <c r="AX237" s="129">
        <v>0</v>
      </c>
      <c r="AY237" s="129">
        <v>-120761</v>
      </c>
      <c r="AZ237" s="129">
        <v>-41056</v>
      </c>
      <c r="BA237" s="129">
        <v>0</v>
      </c>
      <c r="BB237" s="129">
        <v>-41056</v>
      </c>
      <c r="BC237" s="129">
        <v>0</v>
      </c>
      <c r="BD237" s="129">
        <v>0</v>
      </c>
      <c r="BE237" s="129">
        <v>0</v>
      </c>
      <c r="BF237" s="129">
        <v>-11943647</v>
      </c>
      <c r="BG237" s="129">
        <v>0</v>
      </c>
      <c r="BH237" s="129">
        <v>0</v>
      </c>
      <c r="BI237" s="129">
        <v>0</v>
      </c>
      <c r="BJ237" s="129">
        <v>-11943647</v>
      </c>
      <c r="BK237" s="129">
        <v>0</v>
      </c>
      <c r="BL237" s="129">
        <v>-11943647</v>
      </c>
      <c r="BM237" s="129">
        <v>-500000</v>
      </c>
      <c r="BN237" s="129">
        <v>0</v>
      </c>
      <c r="BO237" s="129">
        <v>-500000</v>
      </c>
      <c r="BP237" s="129">
        <v>-901493</v>
      </c>
      <c r="BQ237" s="129">
        <v>0</v>
      </c>
      <c r="BR237" s="129">
        <v>-901493</v>
      </c>
      <c r="BS237" s="129">
        <v>-1401493</v>
      </c>
      <c r="BT237" s="129">
        <v>0</v>
      </c>
      <c r="BU237" s="129">
        <v>0</v>
      </c>
      <c r="BV237" s="129">
        <v>0</v>
      </c>
      <c r="BW237" s="129">
        <v>-1401493</v>
      </c>
      <c r="BX237" s="129">
        <v>0</v>
      </c>
      <c r="BY237" s="129">
        <v>-1401493</v>
      </c>
      <c r="BZ237" s="129">
        <v>-132851</v>
      </c>
      <c r="CA237" s="129">
        <v>0</v>
      </c>
      <c r="CB237" s="129">
        <v>-132851</v>
      </c>
      <c r="CC237" s="129">
        <v>-21874</v>
      </c>
      <c r="CD237" s="129">
        <v>0</v>
      </c>
      <c r="CE237" s="129">
        <v>-21874</v>
      </c>
      <c r="CF237" s="129">
        <v>-12096</v>
      </c>
      <c r="CG237" s="129">
        <v>0</v>
      </c>
      <c r="CH237" s="129">
        <v>-12096</v>
      </c>
      <c r="CI237" s="129">
        <v>0</v>
      </c>
      <c r="CJ237" s="129">
        <v>0</v>
      </c>
      <c r="CK237" s="129">
        <v>0</v>
      </c>
      <c r="CL237" s="129">
        <v>0</v>
      </c>
      <c r="CM237" s="129">
        <v>0</v>
      </c>
      <c r="CN237" s="129">
        <v>0</v>
      </c>
      <c r="CO237" s="129">
        <v>0</v>
      </c>
      <c r="CP237" s="129">
        <v>0</v>
      </c>
      <c r="CQ237" s="129">
        <v>0</v>
      </c>
      <c r="CR237" s="129">
        <v>0</v>
      </c>
      <c r="CS237" s="129">
        <v>0</v>
      </c>
      <c r="CT237" s="129">
        <v>-166821</v>
      </c>
      <c r="CU237" s="129">
        <v>0</v>
      </c>
      <c r="CV237" s="129">
        <v>0</v>
      </c>
      <c r="CW237" s="129">
        <v>0</v>
      </c>
      <c r="CX237" s="129">
        <v>-166821</v>
      </c>
      <c r="CY237" s="129">
        <v>0</v>
      </c>
      <c r="CZ237" s="129">
        <v>-166821</v>
      </c>
      <c r="DA237" s="129">
        <v>-41056</v>
      </c>
      <c r="DB237" s="129">
        <v>0</v>
      </c>
      <c r="DC237" s="129">
        <v>-41056</v>
      </c>
      <c r="DD237" s="129">
        <v>-19011</v>
      </c>
      <c r="DE237" s="129">
        <v>0</v>
      </c>
      <c r="DF237" s="129">
        <v>-19011</v>
      </c>
      <c r="DG237" s="129">
        <v>-3189</v>
      </c>
      <c r="DH237" s="129">
        <v>0</v>
      </c>
      <c r="DI237" s="129">
        <v>-3189</v>
      </c>
      <c r="DJ237" s="129">
        <v>-63256</v>
      </c>
      <c r="DK237" s="129">
        <v>0</v>
      </c>
      <c r="DL237" s="129">
        <v>0</v>
      </c>
      <c r="DM237" s="129">
        <v>0</v>
      </c>
      <c r="DN237" s="129">
        <v>-63256</v>
      </c>
      <c r="DO237" s="129">
        <v>0</v>
      </c>
      <c r="DP237" s="129">
        <v>-63256</v>
      </c>
      <c r="DQ237" s="129">
        <v>29995035</v>
      </c>
      <c r="DR237" s="129">
        <v>0</v>
      </c>
      <c r="DS237" s="129">
        <v>29995035</v>
      </c>
      <c r="DT237" s="662" t="s">
        <v>334</v>
      </c>
      <c r="DU237" s="324" t="s">
        <v>521</v>
      </c>
      <c r="DV237" s="663" t="s">
        <v>519</v>
      </c>
      <c r="DW237" s="529" t="s">
        <v>1443</v>
      </c>
    </row>
    <row r="238" spans="1:127" ht="12.75" x14ac:dyDescent="0.2">
      <c r="A238" s="664">
        <v>231</v>
      </c>
      <c r="B238" s="665" t="s">
        <v>337</v>
      </c>
      <c r="C238" s="666" t="s">
        <v>1201</v>
      </c>
      <c r="D238" s="667" t="s">
        <v>1206</v>
      </c>
      <c r="E238" s="668" t="s">
        <v>336</v>
      </c>
      <c r="F238" s="753" t="s">
        <v>1879</v>
      </c>
      <c r="G238" s="129">
        <v>61206276</v>
      </c>
      <c r="H238" s="129">
        <v>0</v>
      </c>
      <c r="I238" s="129">
        <v>61206276</v>
      </c>
      <c r="J238" s="793">
        <v>49.9</v>
      </c>
      <c r="K238" s="129">
        <v>30541932</v>
      </c>
      <c r="L238" s="129">
        <v>0</v>
      </c>
      <c r="M238" s="129">
        <v>0</v>
      </c>
      <c r="N238" s="129">
        <v>0</v>
      </c>
      <c r="O238" s="129">
        <v>30541932</v>
      </c>
      <c r="P238" s="129">
        <v>0</v>
      </c>
      <c r="Q238" s="129">
        <v>30541932</v>
      </c>
      <c r="R238" s="129">
        <v>-112336</v>
      </c>
      <c r="S238" s="129">
        <v>0</v>
      </c>
      <c r="T238" s="129">
        <v>-112336</v>
      </c>
      <c r="U238" s="129">
        <v>2165011</v>
      </c>
      <c r="V238" s="129">
        <v>0</v>
      </c>
      <c r="W238" s="129">
        <v>2165011</v>
      </c>
      <c r="X238" s="129">
        <v>2052675</v>
      </c>
      <c r="Y238" s="129">
        <v>0</v>
      </c>
      <c r="Z238" s="129">
        <v>0</v>
      </c>
      <c r="AA238" s="129">
        <v>0</v>
      </c>
      <c r="AB238" s="129">
        <v>2052675</v>
      </c>
      <c r="AC238" s="129">
        <v>0</v>
      </c>
      <c r="AD238" s="129">
        <v>2052675</v>
      </c>
      <c r="AE238" s="129">
        <v>-2052675</v>
      </c>
      <c r="AF238" s="129">
        <v>0</v>
      </c>
      <c r="AG238" s="129">
        <v>-2052675</v>
      </c>
      <c r="AH238" s="129">
        <v>-3079909</v>
      </c>
      <c r="AI238" s="129">
        <v>0</v>
      </c>
      <c r="AJ238" s="129">
        <v>-3079909</v>
      </c>
      <c r="AK238" s="129">
        <v>0</v>
      </c>
      <c r="AL238" s="129">
        <v>0</v>
      </c>
      <c r="AM238" s="129">
        <v>0</v>
      </c>
      <c r="AN238" s="129">
        <v>520385</v>
      </c>
      <c r="AO238" s="129">
        <v>0</v>
      </c>
      <c r="AP238" s="129">
        <v>520385</v>
      </c>
      <c r="AQ238" s="129">
        <v>-2559524</v>
      </c>
      <c r="AR238" s="129">
        <v>0</v>
      </c>
      <c r="AS238" s="129">
        <v>-2559524</v>
      </c>
      <c r="AT238" s="129">
        <v>-1364738</v>
      </c>
      <c r="AU238" s="129">
        <v>0</v>
      </c>
      <c r="AV238" s="129">
        <v>-1364738</v>
      </c>
      <c r="AW238" s="129">
        <v>-57482</v>
      </c>
      <c r="AX238" s="129">
        <v>0</v>
      </c>
      <c r="AY238" s="129">
        <v>-57482</v>
      </c>
      <c r="AZ238" s="129">
        <v>-31339</v>
      </c>
      <c r="BA238" s="129">
        <v>0</v>
      </c>
      <c r="BB238" s="129">
        <v>-31339</v>
      </c>
      <c r="BC238" s="129">
        <v>0</v>
      </c>
      <c r="BD238" s="129">
        <v>0</v>
      </c>
      <c r="BE238" s="129">
        <v>0</v>
      </c>
      <c r="BF238" s="129">
        <v>-4013083</v>
      </c>
      <c r="BG238" s="129">
        <v>0</v>
      </c>
      <c r="BH238" s="129">
        <v>0</v>
      </c>
      <c r="BI238" s="129">
        <v>0</v>
      </c>
      <c r="BJ238" s="129">
        <v>-4013083</v>
      </c>
      <c r="BK238" s="129">
        <v>0</v>
      </c>
      <c r="BL238" s="129">
        <v>-4013083</v>
      </c>
      <c r="BM238" s="129">
        <v>0</v>
      </c>
      <c r="BN238" s="129">
        <v>0</v>
      </c>
      <c r="BO238" s="129">
        <v>0</v>
      </c>
      <c r="BP238" s="129">
        <v>-249048</v>
      </c>
      <c r="BQ238" s="129">
        <v>0</v>
      </c>
      <c r="BR238" s="129">
        <v>-249048</v>
      </c>
      <c r="BS238" s="129">
        <v>-249048</v>
      </c>
      <c r="BT238" s="129">
        <v>0</v>
      </c>
      <c r="BU238" s="129">
        <v>-24905</v>
      </c>
      <c r="BV238" s="129">
        <v>0</v>
      </c>
      <c r="BW238" s="129">
        <v>-273953</v>
      </c>
      <c r="BX238" s="129">
        <v>0</v>
      </c>
      <c r="BY238" s="129">
        <v>-273953</v>
      </c>
      <c r="BZ238" s="129">
        <v>-82629</v>
      </c>
      <c r="CA238" s="129">
        <v>0</v>
      </c>
      <c r="CB238" s="129">
        <v>-82629</v>
      </c>
      <c r="CC238" s="129">
        <v>-130895</v>
      </c>
      <c r="CD238" s="129">
        <v>0</v>
      </c>
      <c r="CE238" s="129">
        <v>-130895</v>
      </c>
      <c r="CF238" s="129">
        <v>-6949</v>
      </c>
      <c r="CG238" s="129">
        <v>0</v>
      </c>
      <c r="CH238" s="129">
        <v>-6949</v>
      </c>
      <c r="CI238" s="129">
        <v>0</v>
      </c>
      <c r="CJ238" s="129">
        <v>0</v>
      </c>
      <c r="CK238" s="129">
        <v>0</v>
      </c>
      <c r="CL238" s="129">
        <v>0</v>
      </c>
      <c r="CM238" s="129">
        <v>0</v>
      </c>
      <c r="CN238" s="129">
        <v>0</v>
      </c>
      <c r="CO238" s="129">
        <v>0</v>
      </c>
      <c r="CP238" s="129">
        <v>0</v>
      </c>
      <c r="CQ238" s="129">
        <v>0</v>
      </c>
      <c r="CR238" s="129">
        <v>0</v>
      </c>
      <c r="CS238" s="129">
        <v>0</v>
      </c>
      <c r="CT238" s="129">
        <v>-220473</v>
      </c>
      <c r="CU238" s="129">
        <v>0</v>
      </c>
      <c r="CV238" s="129">
        <v>0</v>
      </c>
      <c r="CW238" s="129">
        <v>0</v>
      </c>
      <c r="CX238" s="129">
        <v>-220473</v>
      </c>
      <c r="CY238" s="129">
        <v>0</v>
      </c>
      <c r="CZ238" s="129">
        <v>-220473</v>
      </c>
      <c r="DA238" s="129">
        <v>-32857</v>
      </c>
      <c r="DB238" s="129">
        <v>0</v>
      </c>
      <c r="DC238" s="129">
        <v>-32857</v>
      </c>
      <c r="DD238" s="129">
        <v>-19997</v>
      </c>
      <c r="DE238" s="129">
        <v>0</v>
      </c>
      <c r="DF238" s="129">
        <v>-19997</v>
      </c>
      <c r="DG238" s="129">
        <v>0</v>
      </c>
      <c r="DH238" s="129">
        <v>0</v>
      </c>
      <c r="DI238" s="129">
        <v>0</v>
      </c>
      <c r="DJ238" s="129">
        <v>-52854</v>
      </c>
      <c r="DK238" s="129">
        <v>0</v>
      </c>
      <c r="DL238" s="129">
        <v>0</v>
      </c>
      <c r="DM238" s="129">
        <v>0</v>
      </c>
      <c r="DN238" s="129">
        <v>-52854</v>
      </c>
      <c r="DO238" s="129">
        <v>0</v>
      </c>
      <c r="DP238" s="129">
        <v>-52854</v>
      </c>
      <c r="DQ238" s="129">
        <v>28034244</v>
      </c>
      <c r="DR238" s="129">
        <v>0</v>
      </c>
      <c r="DS238" s="129">
        <v>28034244</v>
      </c>
      <c r="DT238" s="662" t="s">
        <v>336</v>
      </c>
      <c r="DU238" s="324" t="s">
        <v>552</v>
      </c>
      <c r="DV238" s="663" t="s">
        <v>512</v>
      </c>
      <c r="DW238" s="529" t="s">
        <v>1444</v>
      </c>
    </row>
    <row r="239" spans="1:127" ht="12.75" x14ac:dyDescent="0.2">
      <c r="A239" s="664">
        <v>232</v>
      </c>
      <c r="B239" s="665" t="s">
        <v>339</v>
      </c>
      <c r="C239" s="666" t="s">
        <v>1201</v>
      </c>
      <c r="D239" s="667" t="s">
        <v>1206</v>
      </c>
      <c r="E239" s="668" t="s">
        <v>338</v>
      </c>
      <c r="F239" s="753" t="s">
        <v>1875</v>
      </c>
      <c r="G239" s="129">
        <v>111421443</v>
      </c>
      <c r="H239" s="129">
        <v>0</v>
      </c>
      <c r="I239" s="129">
        <v>111421443</v>
      </c>
      <c r="J239" s="793">
        <v>49.9</v>
      </c>
      <c r="K239" s="129">
        <v>55599300</v>
      </c>
      <c r="L239" s="129">
        <v>0</v>
      </c>
      <c r="M239" s="129">
        <v>-320000</v>
      </c>
      <c r="N239" s="129">
        <v>0</v>
      </c>
      <c r="O239" s="129">
        <v>55279300</v>
      </c>
      <c r="P239" s="129">
        <v>0</v>
      </c>
      <c r="Q239" s="129">
        <v>55279300</v>
      </c>
      <c r="R239" s="129">
        <v>-121214</v>
      </c>
      <c r="S239" s="129">
        <v>0</v>
      </c>
      <c r="T239" s="129">
        <v>-121214</v>
      </c>
      <c r="U239" s="129">
        <v>0</v>
      </c>
      <c r="V239" s="129">
        <v>0</v>
      </c>
      <c r="W239" s="129">
        <v>0</v>
      </c>
      <c r="X239" s="129">
        <v>-121214</v>
      </c>
      <c r="Y239" s="129">
        <v>0</v>
      </c>
      <c r="Z239" s="129">
        <v>87641</v>
      </c>
      <c r="AA239" s="129">
        <v>0</v>
      </c>
      <c r="AB239" s="129">
        <v>-33573</v>
      </c>
      <c r="AC239" s="129">
        <v>0</v>
      </c>
      <c r="AD239" s="129">
        <v>-33573</v>
      </c>
      <c r="AE239" s="129">
        <v>33573</v>
      </c>
      <c r="AF239" s="129">
        <v>0</v>
      </c>
      <c r="AG239" s="129">
        <v>33573</v>
      </c>
      <c r="AH239" s="129">
        <v>-5264394</v>
      </c>
      <c r="AI239" s="129">
        <v>0</v>
      </c>
      <c r="AJ239" s="129">
        <v>-5264394</v>
      </c>
      <c r="AK239" s="129">
        <v>0</v>
      </c>
      <c r="AL239" s="129">
        <v>0</v>
      </c>
      <c r="AM239" s="129">
        <v>0</v>
      </c>
      <c r="AN239" s="129">
        <v>603535</v>
      </c>
      <c r="AO239" s="129">
        <v>0</v>
      </c>
      <c r="AP239" s="129">
        <v>603535</v>
      </c>
      <c r="AQ239" s="129">
        <v>-4660859</v>
      </c>
      <c r="AR239" s="129">
        <v>0</v>
      </c>
      <c r="AS239" s="129">
        <v>-4660859</v>
      </c>
      <c r="AT239" s="129">
        <v>-3883771</v>
      </c>
      <c r="AU239" s="129">
        <v>0</v>
      </c>
      <c r="AV239" s="129">
        <v>-3883771</v>
      </c>
      <c r="AW239" s="129">
        <v>-170564</v>
      </c>
      <c r="AX239" s="129">
        <v>0</v>
      </c>
      <c r="AY239" s="129">
        <v>-170564</v>
      </c>
      <c r="AZ239" s="129">
        <v>-46966</v>
      </c>
      <c r="BA239" s="129">
        <v>0</v>
      </c>
      <c r="BB239" s="129">
        <v>-46966</v>
      </c>
      <c r="BC239" s="129">
        <v>0</v>
      </c>
      <c r="BD239" s="129">
        <v>0</v>
      </c>
      <c r="BE239" s="129">
        <v>0</v>
      </c>
      <c r="BF239" s="129">
        <v>-8762160</v>
      </c>
      <c r="BG239" s="129">
        <v>0</v>
      </c>
      <c r="BH239" s="129">
        <v>464486</v>
      </c>
      <c r="BI239" s="129">
        <v>0</v>
      </c>
      <c r="BJ239" s="129">
        <v>-8297674</v>
      </c>
      <c r="BK239" s="129">
        <v>0</v>
      </c>
      <c r="BL239" s="129">
        <v>-8297674</v>
      </c>
      <c r="BM239" s="129">
        <v>0</v>
      </c>
      <c r="BN239" s="129">
        <v>0</v>
      </c>
      <c r="BO239" s="129">
        <v>0</v>
      </c>
      <c r="BP239" s="129">
        <v>-999479</v>
      </c>
      <c r="BQ239" s="129">
        <v>0</v>
      </c>
      <c r="BR239" s="129">
        <v>-999479</v>
      </c>
      <c r="BS239" s="129">
        <v>-999479</v>
      </c>
      <c r="BT239" s="129">
        <v>0</v>
      </c>
      <c r="BU239" s="129">
        <v>-683840</v>
      </c>
      <c r="BV239" s="129">
        <v>0</v>
      </c>
      <c r="BW239" s="129">
        <v>-1683319</v>
      </c>
      <c r="BX239" s="129">
        <v>0</v>
      </c>
      <c r="BY239" s="129">
        <v>-1683319</v>
      </c>
      <c r="BZ239" s="129">
        <v>-25817</v>
      </c>
      <c r="CA239" s="129">
        <v>0</v>
      </c>
      <c r="CB239" s="129">
        <v>-25817</v>
      </c>
      <c r="CC239" s="129">
        <v>-1132</v>
      </c>
      <c r="CD239" s="129">
        <v>0</v>
      </c>
      <c r="CE239" s="129">
        <v>-1132</v>
      </c>
      <c r="CF239" s="129">
        <v>-1434</v>
      </c>
      <c r="CG239" s="129">
        <v>0</v>
      </c>
      <c r="CH239" s="129">
        <v>-1434</v>
      </c>
      <c r="CI239" s="129">
        <v>0</v>
      </c>
      <c r="CJ239" s="129">
        <v>0</v>
      </c>
      <c r="CK239" s="129">
        <v>0</v>
      </c>
      <c r="CL239" s="129">
        <v>-46966</v>
      </c>
      <c r="CM239" s="129">
        <v>0</v>
      </c>
      <c r="CN239" s="129">
        <v>-46966</v>
      </c>
      <c r="CO239" s="129">
        <v>0</v>
      </c>
      <c r="CP239" s="129">
        <v>0</v>
      </c>
      <c r="CQ239" s="129">
        <v>0</v>
      </c>
      <c r="CR239" s="129">
        <v>0</v>
      </c>
      <c r="CS239" s="129">
        <v>0</v>
      </c>
      <c r="CT239" s="129">
        <v>-75349</v>
      </c>
      <c r="CU239" s="129">
        <v>0</v>
      </c>
      <c r="CV239" s="129">
        <v>-600000</v>
      </c>
      <c r="CW239" s="129">
        <v>0</v>
      </c>
      <c r="CX239" s="129">
        <v>-675349</v>
      </c>
      <c r="CY239" s="129">
        <v>0</v>
      </c>
      <c r="CZ239" s="129">
        <v>-675349</v>
      </c>
      <c r="DA239" s="129">
        <v>-46966</v>
      </c>
      <c r="DB239" s="129">
        <v>0</v>
      </c>
      <c r="DC239" s="129">
        <v>-46966</v>
      </c>
      <c r="DD239" s="129">
        <v>-25178</v>
      </c>
      <c r="DE239" s="129">
        <v>0</v>
      </c>
      <c r="DF239" s="129">
        <v>-25178</v>
      </c>
      <c r="DG239" s="129">
        <v>-3000</v>
      </c>
      <c r="DH239" s="129">
        <v>0</v>
      </c>
      <c r="DI239" s="129">
        <v>-3000</v>
      </c>
      <c r="DJ239" s="129">
        <v>-75144</v>
      </c>
      <c r="DK239" s="129">
        <v>0</v>
      </c>
      <c r="DL239" s="129">
        <v>0</v>
      </c>
      <c r="DM239" s="129">
        <v>0</v>
      </c>
      <c r="DN239" s="129">
        <v>-75144</v>
      </c>
      <c r="DO239" s="129">
        <v>0</v>
      </c>
      <c r="DP239" s="129">
        <v>-75144</v>
      </c>
      <c r="DQ239" s="129">
        <v>44514241</v>
      </c>
      <c r="DR239" s="129">
        <v>0</v>
      </c>
      <c r="DS239" s="129">
        <v>44514241</v>
      </c>
      <c r="DT239" s="662" t="s">
        <v>338</v>
      </c>
      <c r="DU239" s="324" t="s">
        <v>552</v>
      </c>
      <c r="DV239" s="663" t="s">
        <v>512</v>
      </c>
      <c r="DW239" s="529" t="s">
        <v>1445</v>
      </c>
    </row>
    <row r="240" spans="1:127" ht="12.75" x14ac:dyDescent="0.2">
      <c r="A240" s="664">
        <v>233</v>
      </c>
      <c r="B240" s="665" t="s">
        <v>341</v>
      </c>
      <c r="C240" s="666" t="s">
        <v>1201</v>
      </c>
      <c r="D240" s="667" t="s">
        <v>1204</v>
      </c>
      <c r="E240" s="668" t="s">
        <v>340</v>
      </c>
      <c r="F240" s="753" t="s">
        <v>1882</v>
      </c>
      <c r="G240" s="129">
        <v>123700752</v>
      </c>
      <c r="H240" s="129">
        <v>0</v>
      </c>
      <c r="I240" s="129">
        <v>123700752</v>
      </c>
      <c r="J240" s="793">
        <v>49.9</v>
      </c>
      <c r="K240" s="129">
        <v>61726675</v>
      </c>
      <c r="L240" s="129">
        <v>0</v>
      </c>
      <c r="M240" s="129">
        <v>0</v>
      </c>
      <c r="N240" s="129">
        <v>0</v>
      </c>
      <c r="O240" s="129">
        <v>61726675</v>
      </c>
      <c r="P240" s="129">
        <v>0</v>
      </c>
      <c r="Q240" s="129">
        <v>61726675</v>
      </c>
      <c r="R240" s="129">
        <v>-167747</v>
      </c>
      <c r="S240" s="129">
        <v>0</v>
      </c>
      <c r="T240" s="129">
        <v>-167747</v>
      </c>
      <c r="U240" s="129">
        <v>23411</v>
      </c>
      <c r="V240" s="129">
        <v>0</v>
      </c>
      <c r="W240" s="129">
        <v>23411</v>
      </c>
      <c r="X240" s="129">
        <v>-144336</v>
      </c>
      <c r="Y240" s="129">
        <v>0</v>
      </c>
      <c r="Z240" s="129">
        <v>0</v>
      </c>
      <c r="AA240" s="129">
        <v>0</v>
      </c>
      <c r="AB240" s="129">
        <v>-144336</v>
      </c>
      <c r="AC240" s="129">
        <v>0</v>
      </c>
      <c r="AD240" s="129">
        <v>-144336</v>
      </c>
      <c r="AE240" s="129">
        <v>144336</v>
      </c>
      <c r="AF240" s="129">
        <v>0</v>
      </c>
      <c r="AG240" s="129">
        <v>144336</v>
      </c>
      <c r="AH240" s="129">
        <v>-11577612</v>
      </c>
      <c r="AI240" s="129">
        <v>0</v>
      </c>
      <c r="AJ240" s="129">
        <v>-11577612</v>
      </c>
      <c r="AK240" s="129">
        <v>-4516</v>
      </c>
      <c r="AL240" s="129">
        <v>0</v>
      </c>
      <c r="AM240" s="129">
        <v>-4516</v>
      </c>
      <c r="AN240" s="129">
        <v>802520</v>
      </c>
      <c r="AO240" s="129">
        <v>0</v>
      </c>
      <c r="AP240" s="129">
        <v>802520</v>
      </c>
      <c r="AQ240" s="129">
        <v>-10775092</v>
      </c>
      <c r="AR240" s="129">
        <v>0</v>
      </c>
      <c r="AS240" s="129">
        <v>-10775092</v>
      </c>
      <c r="AT240" s="129">
        <v>-3472689</v>
      </c>
      <c r="AU240" s="129">
        <v>0</v>
      </c>
      <c r="AV240" s="129">
        <v>-3472689</v>
      </c>
      <c r="AW240" s="129">
        <v>-133624</v>
      </c>
      <c r="AX240" s="129">
        <v>0</v>
      </c>
      <c r="AY240" s="129">
        <v>-133624</v>
      </c>
      <c r="AZ240" s="129">
        <v>-21843</v>
      </c>
      <c r="BA240" s="129">
        <v>0</v>
      </c>
      <c r="BB240" s="129">
        <v>-21843</v>
      </c>
      <c r="BC240" s="129">
        <v>0</v>
      </c>
      <c r="BD240" s="129">
        <v>0</v>
      </c>
      <c r="BE240" s="129">
        <v>0</v>
      </c>
      <c r="BF240" s="129">
        <v>-14403248</v>
      </c>
      <c r="BG240" s="129">
        <v>0</v>
      </c>
      <c r="BH240" s="129">
        <v>0</v>
      </c>
      <c r="BI240" s="129">
        <v>0</v>
      </c>
      <c r="BJ240" s="129">
        <v>-14403248</v>
      </c>
      <c r="BK240" s="129">
        <v>0</v>
      </c>
      <c r="BL240" s="129">
        <v>-14403248</v>
      </c>
      <c r="BM240" s="129">
        <v>0</v>
      </c>
      <c r="BN240" s="129">
        <v>0</v>
      </c>
      <c r="BO240" s="129">
        <v>0</v>
      </c>
      <c r="BP240" s="129">
        <v>-415638</v>
      </c>
      <c r="BQ240" s="129">
        <v>0</v>
      </c>
      <c r="BR240" s="129">
        <v>-415638</v>
      </c>
      <c r="BS240" s="129">
        <v>-415638</v>
      </c>
      <c r="BT240" s="129">
        <v>0</v>
      </c>
      <c r="BU240" s="129">
        <v>0</v>
      </c>
      <c r="BV240" s="129">
        <v>0</v>
      </c>
      <c r="BW240" s="129">
        <v>-415638</v>
      </c>
      <c r="BX240" s="129">
        <v>0</v>
      </c>
      <c r="BY240" s="129">
        <v>-415638</v>
      </c>
      <c r="BZ240" s="129">
        <v>-92120</v>
      </c>
      <c r="CA240" s="129">
        <v>0</v>
      </c>
      <c r="CB240" s="129">
        <v>-92120</v>
      </c>
      <c r="CC240" s="129">
        <v>-23890</v>
      </c>
      <c r="CD240" s="129">
        <v>0</v>
      </c>
      <c r="CE240" s="129">
        <v>-23890</v>
      </c>
      <c r="CF240" s="129">
        <v>-11584</v>
      </c>
      <c r="CG240" s="129">
        <v>0</v>
      </c>
      <c r="CH240" s="129">
        <v>-11584</v>
      </c>
      <c r="CI240" s="129">
        <v>0</v>
      </c>
      <c r="CJ240" s="129">
        <v>0</v>
      </c>
      <c r="CK240" s="129">
        <v>0</v>
      </c>
      <c r="CL240" s="129">
        <v>-10359</v>
      </c>
      <c r="CM240" s="129">
        <v>0</v>
      </c>
      <c r="CN240" s="129">
        <v>-10359</v>
      </c>
      <c r="CO240" s="129">
        <v>0</v>
      </c>
      <c r="CP240" s="129">
        <v>0</v>
      </c>
      <c r="CQ240" s="129">
        <v>0</v>
      </c>
      <c r="CR240" s="129">
        <v>0</v>
      </c>
      <c r="CS240" s="129">
        <v>0</v>
      </c>
      <c r="CT240" s="129">
        <v>-137953</v>
      </c>
      <c r="CU240" s="129">
        <v>0</v>
      </c>
      <c r="CV240" s="129">
        <v>0</v>
      </c>
      <c r="CW240" s="129">
        <v>0</v>
      </c>
      <c r="CX240" s="129">
        <v>-137953</v>
      </c>
      <c r="CY240" s="129">
        <v>0</v>
      </c>
      <c r="CZ240" s="129">
        <v>-137953</v>
      </c>
      <c r="DA240" s="129">
        <v>-21843</v>
      </c>
      <c r="DB240" s="129">
        <v>0</v>
      </c>
      <c r="DC240" s="129">
        <v>-21843</v>
      </c>
      <c r="DD240" s="129">
        <v>-37650</v>
      </c>
      <c r="DE240" s="129">
        <v>0</v>
      </c>
      <c r="DF240" s="129">
        <v>-37650</v>
      </c>
      <c r="DG240" s="129">
        <v>-1500</v>
      </c>
      <c r="DH240" s="129">
        <v>0</v>
      </c>
      <c r="DI240" s="129">
        <v>-1500</v>
      </c>
      <c r="DJ240" s="129">
        <v>-60993</v>
      </c>
      <c r="DK240" s="129">
        <v>0</v>
      </c>
      <c r="DL240" s="129">
        <v>0</v>
      </c>
      <c r="DM240" s="129">
        <v>0</v>
      </c>
      <c r="DN240" s="129">
        <v>-60993</v>
      </c>
      <c r="DO240" s="129">
        <v>0</v>
      </c>
      <c r="DP240" s="129">
        <v>-60993</v>
      </c>
      <c r="DQ240" s="129">
        <v>46564507</v>
      </c>
      <c r="DR240" s="129">
        <v>0</v>
      </c>
      <c r="DS240" s="129">
        <v>46564507</v>
      </c>
      <c r="DT240" s="662" t="s">
        <v>340</v>
      </c>
      <c r="DU240" s="324" t="s">
        <v>513</v>
      </c>
      <c r="DV240" s="663" t="s">
        <v>512</v>
      </c>
      <c r="DW240" s="529" t="s">
        <v>1446</v>
      </c>
    </row>
    <row r="241" spans="1:127" ht="12.75" x14ac:dyDescent="0.2">
      <c r="A241" s="664">
        <v>234</v>
      </c>
      <c r="B241" s="665" t="s">
        <v>343</v>
      </c>
      <c r="C241" s="666" t="s">
        <v>1201</v>
      </c>
      <c r="D241" s="667" t="s">
        <v>1211</v>
      </c>
      <c r="E241" s="668" t="s">
        <v>342</v>
      </c>
      <c r="F241" s="753" t="s">
        <v>1890</v>
      </c>
      <c r="G241" s="129">
        <v>86841616</v>
      </c>
      <c r="H241" s="129">
        <v>1870380</v>
      </c>
      <c r="I241" s="129">
        <v>88711996</v>
      </c>
      <c r="J241" s="793">
        <v>49.9</v>
      </c>
      <c r="K241" s="129">
        <v>43333966</v>
      </c>
      <c r="L241" s="129">
        <v>933320</v>
      </c>
      <c r="M241" s="129">
        <v>0</v>
      </c>
      <c r="N241" s="129">
        <v>265129</v>
      </c>
      <c r="O241" s="129">
        <v>43333966</v>
      </c>
      <c r="P241" s="129">
        <v>1198449</v>
      </c>
      <c r="Q241" s="129">
        <v>44532415</v>
      </c>
      <c r="R241" s="129">
        <v>-126408</v>
      </c>
      <c r="S241" s="129">
        <v>0</v>
      </c>
      <c r="T241" s="129">
        <v>-126408</v>
      </c>
      <c r="U241" s="129">
        <v>133757</v>
      </c>
      <c r="V241" s="129">
        <v>0</v>
      </c>
      <c r="W241" s="129">
        <v>133757</v>
      </c>
      <c r="X241" s="129">
        <v>7349</v>
      </c>
      <c r="Y241" s="129">
        <v>0</v>
      </c>
      <c r="Z241" s="129">
        <v>0</v>
      </c>
      <c r="AA241" s="129">
        <v>0</v>
      </c>
      <c r="AB241" s="129">
        <v>7349</v>
      </c>
      <c r="AC241" s="129">
        <v>0</v>
      </c>
      <c r="AD241" s="129">
        <v>7349</v>
      </c>
      <c r="AE241" s="129">
        <v>-7349</v>
      </c>
      <c r="AF241" s="129">
        <v>0</v>
      </c>
      <c r="AG241" s="129">
        <v>-7349</v>
      </c>
      <c r="AH241" s="129">
        <v>-5115715</v>
      </c>
      <c r="AI241" s="129">
        <v>-5198</v>
      </c>
      <c r="AJ241" s="129">
        <v>-5120913</v>
      </c>
      <c r="AK241" s="129">
        <v>-5372</v>
      </c>
      <c r="AL241" s="129">
        <v>0</v>
      </c>
      <c r="AM241" s="129">
        <v>-5372</v>
      </c>
      <c r="AN241" s="129">
        <v>719541</v>
      </c>
      <c r="AO241" s="129">
        <v>21513</v>
      </c>
      <c r="AP241" s="129">
        <v>741054</v>
      </c>
      <c r="AQ241" s="129">
        <v>-4396174</v>
      </c>
      <c r="AR241" s="129">
        <v>16315</v>
      </c>
      <c r="AS241" s="129">
        <v>-4379859</v>
      </c>
      <c r="AT241" s="129">
        <v>-4536569</v>
      </c>
      <c r="AU241" s="129">
        <v>-399718</v>
      </c>
      <c r="AV241" s="129">
        <v>-4936287</v>
      </c>
      <c r="AW241" s="129">
        <v>-76847</v>
      </c>
      <c r="AX241" s="129">
        <v>0</v>
      </c>
      <c r="AY241" s="129">
        <v>-76847</v>
      </c>
      <c r="AZ241" s="129">
        <v>-68163</v>
      </c>
      <c r="BA241" s="129">
        <v>0</v>
      </c>
      <c r="BB241" s="129">
        <v>-68163</v>
      </c>
      <c r="BC241" s="129">
        <v>0</v>
      </c>
      <c r="BD241" s="129">
        <v>0</v>
      </c>
      <c r="BE241" s="129">
        <v>0</v>
      </c>
      <c r="BF241" s="129">
        <v>-9077753</v>
      </c>
      <c r="BG241" s="129">
        <v>-383403</v>
      </c>
      <c r="BH241" s="129">
        <v>-63544</v>
      </c>
      <c r="BI241" s="129">
        <v>0</v>
      </c>
      <c r="BJ241" s="129">
        <v>-9141297</v>
      </c>
      <c r="BK241" s="129">
        <v>-383403</v>
      </c>
      <c r="BL241" s="129">
        <v>-9524700</v>
      </c>
      <c r="BM241" s="129">
        <v>-5000</v>
      </c>
      <c r="BN241" s="129">
        <v>0</v>
      </c>
      <c r="BO241" s="129">
        <v>-5000</v>
      </c>
      <c r="BP241" s="129">
        <v>-649149</v>
      </c>
      <c r="BQ241" s="129">
        <v>0</v>
      </c>
      <c r="BR241" s="129">
        <v>-649149</v>
      </c>
      <c r="BS241" s="129">
        <v>-654149</v>
      </c>
      <c r="BT241" s="129">
        <v>0</v>
      </c>
      <c r="BU241" s="129">
        <v>-70000</v>
      </c>
      <c r="BV241" s="129">
        <v>0</v>
      </c>
      <c r="BW241" s="129">
        <v>-724149</v>
      </c>
      <c r="BX241" s="129">
        <v>0</v>
      </c>
      <c r="BY241" s="129">
        <v>-724149</v>
      </c>
      <c r="BZ241" s="129">
        <v>-127544</v>
      </c>
      <c r="CA241" s="129">
        <v>0</v>
      </c>
      <c r="CB241" s="129">
        <v>-127544</v>
      </c>
      <c r="CC241" s="129">
        <v>-119751</v>
      </c>
      <c r="CD241" s="129">
        <v>0</v>
      </c>
      <c r="CE241" s="129">
        <v>-119751</v>
      </c>
      <c r="CF241" s="129">
        <v>-12466</v>
      </c>
      <c r="CG241" s="129">
        <v>0</v>
      </c>
      <c r="CH241" s="129">
        <v>-12466</v>
      </c>
      <c r="CI241" s="129">
        <v>0</v>
      </c>
      <c r="CJ241" s="129">
        <v>0</v>
      </c>
      <c r="CK241" s="129">
        <v>0</v>
      </c>
      <c r="CL241" s="129">
        <v>-23412</v>
      </c>
      <c r="CM241" s="129">
        <v>0</v>
      </c>
      <c r="CN241" s="129">
        <v>-23412</v>
      </c>
      <c r="CO241" s="129">
        <v>-127697</v>
      </c>
      <c r="CP241" s="129">
        <v>-361954</v>
      </c>
      <c r="CQ241" s="129">
        <v>-489651</v>
      </c>
      <c r="CR241" s="129">
        <v>-361954</v>
      </c>
      <c r="CS241" s="129">
        <v>0</v>
      </c>
      <c r="CT241" s="129">
        <v>-410870</v>
      </c>
      <c r="CU241" s="129">
        <v>-361954</v>
      </c>
      <c r="CV241" s="129">
        <v>0</v>
      </c>
      <c r="CW241" s="129">
        <v>0</v>
      </c>
      <c r="CX241" s="129">
        <v>-410870</v>
      </c>
      <c r="CY241" s="129">
        <v>-361954</v>
      </c>
      <c r="CZ241" s="129">
        <v>-772824</v>
      </c>
      <c r="DA241" s="129">
        <v>-68163</v>
      </c>
      <c r="DB241" s="129">
        <v>0</v>
      </c>
      <c r="DC241" s="129">
        <v>-68163</v>
      </c>
      <c r="DD241" s="129">
        <v>-2754</v>
      </c>
      <c r="DE241" s="129">
        <v>0</v>
      </c>
      <c r="DF241" s="129">
        <v>-2754</v>
      </c>
      <c r="DG241" s="129">
        <v>-1500</v>
      </c>
      <c r="DH241" s="129">
        <v>0</v>
      </c>
      <c r="DI241" s="129">
        <v>-1500</v>
      </c>
      <c r="DJ241" s="129">
        <v>-72417</v>
      </c>
      <c r="DK241" s="129">
        <v>0</v>
      </c>
      <c r="DL241" s="129">
        <v>0</v>
      </c>
      <c r="DM241" s="129">
        <v>0</v>
      </c>
      <c r="DN241" s="129">
        <v>-72417</v>
      </c>
      <c r="DO241" s="129">
        <v>0</v>
      </c>
      <c r="DP241" s="129">
        <v>-72417</v>
      </c>
      <c r="DQ241" s="129">
        <v>32992582</v>
      </c>
      <c r="DR241" s="129">
        <v>453092</v>
      </c>
      <c r="DS241" s="129">
        <v>33445674</v>
      </c>
      <c r="DT241" s="662" t="s">
        <v>342</v>
      </c>
      <c r="DU241" s="324" t="s">
        <v>553</v>
      </c>
      <c r="DV241" s="663" t="s">
        <v>512</v>
      </c>
      <c r="DW241" s="529" t="s">
        <v>1447</v>
      </c>
    </row>
    <row r="242" spans="1:127" ht="12.75" x14ac:dyDescent="0.2">
      <c r="A242" s="664">
        <v>235</v>
      </c>
      <c r="B242" s="665" t="s">
        <v>345</v>
      </c>
      <c r="C242" s="666" t="s">
        <v>1201</v>
      </c>
      <c r="D242" s="667" t="s">
        <v>1202</v>
      </c>
      <c r="E242" s="668" t="s">
        <v>344</v>
      </c>
      <c r="F242" s="753" t="s">
        <v>1884</v>
      </c>
      <c r="G242" s="129">
        <v>116925203</v>
      </c>
      <c r="H242" s="129">
        <v>475000</v>
      </c>
      <c r="I242" s="129">
        <v>117400203</v>
      </c>
      <c r="J242" s="793">
        <v>49.9</v>
      </c>
      <c r="K242" s="129">
        <v>58345676</v>
      </c>
      <c r="L242" s="129">
        <v>237025</v>
      </c>
      <c r="M242" s="129">
        <v>0</v>
      </c>
      <c r="N242" s="129">
        <v>0</v>
      </c>
      <c r="O242" s="129">
        <v>58345676</v>
      </c>
      <c r="P242" s="129">
        <v>237025</v>
      </c>
      <c r="Q242" s="129">
        <v>58582701</v>
      </c>
      <c r="R242" s="129">
        <v>-210664</v>
      </c>
      <c r="S242" s="129">
        <v>0</v>
      </c>
      <c r="T242" s="129">
        <v>-210664</v>
      </c>
      <c r="U242" s="129">
        <v>63520</v>
      </c>
      <c r="V242" s="129">
        <v>0</v>
      </c>
      <c r="W242" s="129">
        <v>63520</v>
      </c>
      <c r="X242" s="129">
        <v>-147144</v>
      </c>
      <c r="Y242" s="129">
        <v>0</v>
      </c>
      <c r="Z242" s="129">
        <v>0</v>
      </c>
      <c r="AA242" s="129">
        <v>0</v>
      </c>
      <c r="AB242" s="129">
        <v>-147144</v>
      </c>
      <c r="AC242" s="129">
        <v>0</v>
      </c>
      <c r="AD242" s="129">
        <v>-147144</v>
      </c>
      <c r="AE242" s="129">
        <v>147144</v>
      </c>
      <c r="AF242" s="129">
        <v>0</v>
      </c>
      <c r="AG242" s="129">
        <v>147144</v>
      </c>
      <c r="AH242" s="129">
        <v>-4241213</v>
      </c>
      <c r="AI242" s="129">
        <v>0</v>
      </c>
      <c r="AJ242" s="129">
        <v>-4241213</v>
      </c>
      <c r="AK242" s="129">
        <v>0</v>
      </c>
      <c r="AL242" s="129">
        <v>0</v>
      </c>
      <c r="AM242" s="129">
        <v>0</v>
      </c>
      <c r="AN242" s="129">
        <v>1027146</v>
      </c>
      <c r="AO242" s="129">
        <v>6175</v>
      </c>
      <c r="AP242" s="129">
        <v>1033321</v>
      </c>
      <c r="AQ242" s="129">
        <v>-3214067</v>
      </c>
      <c r="AR242" s="129">
        <v>6175</v>
      </c>
      <c r="AS242" s="129">
        <v>-3207892</v>
      </c>
      <c r="AT242" s="129">
        <v>-4988954</v>
      </c>
      <c r="AU242" s="129">
        <v>0</v>
      </c>
      <c r="AV242" s="129">
        <v>-4988954</v>
      </c>
      <c r="AW242" s="129">
        <v>-73135</v>
      </c>
      <c r="AX242" s="129">
        <v>0</v>
      </c>
      <c r="AY242" s="129">
        <v>-73135</v>
      </c>
      <c r="AZ242" s="129">
        <v>-34813</v>
      </c>
      <c r="BA242" s="129">
        <v>0</v>
      </c>
      <c r="BB242" s="129">
        <v>-34813</v>
      </c>
      <c r="BC242" s="129">
        <v>0</v>
      </c>
      <c r="BD242" s="129">
        <v>0</v>
      </c>
      <c r="BE242" s="129">
        <v>0</v>
      </c>
      <c r="BF242" s="129">
        <v>-8310969</v>
      </c>
      <c r="BG242" s="129">
        <v>6175</v>
      </c>
      <c r="BH242" s="129">
        <v>0</v>
      </c>
      <c r="BI242" s="129">
        <v>0</v>
      </c>
      <c r="BJ242" s="129">
        <v>-8310969</v>
      </c>
      <c r="BK242" s="129">
        <v>6175</v>
      </c>
      <c r="BL242" s="129">
        <v>-8304794</v>
      </c>
      <c r="BM242" s="129">
        <v>0</v>
      </c>
      <c r="BN242" s="129">
        <v>0</v>
      </c>
      <c r="BO242" s="129">
        <v>0</v>
      </c>
      <c r="BP242" s="129">
        <v>-1293660</v>
      </c>
      <c r="BQ242" s="129">
        <v>0</v>
      </c>
      <c r="BR242" s="129">
        <v>-1293660</v>
      </c>
      <c r="BS242" s="129">
        <v>-1293660</v>
      </c>
      <c r="BT242" s="129">
        <v>0</v>
      </c>
      <c r="BU242" s="129">
        <v>0</v>
      </c>
      <c r="BV242" s="129">
        <v>0</v>
      </c>
      <c r="BW242" s="129">
        <v>-1293660</v>
      </c>
      <c r="BX242" s="129">
        <v>0</v>
      </c>
      <c r="BY242" s="129">
        <v>-1293660</v>
      </c>
      <c r="BZ242" s="129">
        <v>-211953</v>
      </c>
      <c r="CA242" s="129">
        <v>0</v>
      </c>
      <c r="CB242" s="129">
        <v>-211953</v>
      </c>
      <c r="CC242" s="129">
        <v>-14908</v>
      </c>
      <c r="CD242" s="129">
        <v>0</v>
      </c>
      <c r="CE242" s="129">
        <v>-14908</v>
      </c>
      <c r="CF242" s="129">
        <v>-9142</v>
      </c>
      <c r="CG242" s="129">
        <v>0</v>
      </c>
      <c r="CH242" s="129">
        <v>-9142</v>
      </c>
      <c r="CI242" s="129">
        <v>0</v>
      </c>
      <c r="CJ242" s="129">
        <v>0</v>
      </c>
      <c r="CK242" s="129">
        <v>0</v>
      </c>
      <c r="CL242" s="129">
        <v>0</v>
      </c>
      <c r="CM242" s="129">
        <v>0</v>
      </c>
      <c r="CN242" s="129">
        <v>0</v>
      </c>
      <c r="CO242" s="129">
        <v>0</v>
      </c>
      <c r="CP242" s="129">
        <v>0</v>
      </c>
      <c r="CQ242" s="129">
        <v>0</v>
      </c>
      <c r="CR242" s="129">
        <v>0</v>
      </c>
      <c r="CS242" s="129">
        <v>0</v>
      </c>
      <c r="CT242" s="129">
        <v>-236003</v>
      </c>
      <c r="CU242" s="129">
        <v>0</v>
      </c>
      <c r="CV242" s="129">
        <v>0</v>
      </c>
      <c r="CW242" s="129">
        <v>0</v>
      </c>
      <c r="CX242" s="129">
        <v>-236003</v>
      </c>
      <c r="CY242" s="129">
        <v>0</v>
      </c>
      <c r="CZ242" s="129">
        <v>-236003</v>
      </c>
      <c r="DA242" s="129">
        <v>-34813</v>
      </c>
      <c r="DB242" s="129">
        <v>0</v>
      </c>
      <c r="DC242" s="129">
        <v>-34813</v>
      </c>
      <c r="DD242" s="129">
        <v>-35176</v>
      </c>
      <c r="DE242" s="129">
        <v>0</v>
      </c>
      <c r="DF242" s="129">
        <v>-35176</v>
      </c>
      <c r="DG242" s="129">
        <v>0</v>
      </c>
      <c r="DH242" s="129">
        <v>0</v>
      </c>
      <c r="DI242" s="129">
        <v>0</v>
      </c>
      <c r="DJ242" s="129">
        <v>-69989</v>
      </c>
      <c r="DK242" s="129">
        <v>0</v>
      </c>
      <c r="DL242" s="129">
        <v>0</v>
      </c>
      <c r="DM242" s="129">
        <v>0</v>
      </c>
      <c r="DN242" s="129">
        <v>-69989</v>
      </c>
      <c r="DO242" s="129">
        <v>0</v>
      </c>
      <c r="DP242" s="129">
        <v>-69989</v>
      </c>
      <c r="DQ242" s="129">
        <v>48287911</v>
      </c>
      <c r="DR242" s="129">
        <v>243200</v>
      </c>
      <c r="DS242" s="129">
        <v>48531111</v>
      </c>
      <c r="DT242" s="662" t="s">
        <v>344</v>
      </c>
      <c r="DU242" s="324" t="s">
        <v>560</v>
      </c>
      <c r="DV242" s="663" t="s">
        <v>512</v>
      </c>
      <c r="DW242" s="529" t="s">
        <v>1448</v>
      </c>
    </row>
    <row r="243" spans="1:127" ht="12.75" x14ac:dyDescent="0.2">
      <c r="A243" s="664">
        <v>236</v>
      </c>
      <c r="B243" s="665" t="s">
        <v>347</v>
      </c>
      <c r="C243" s="666" t="s">
        <v>1201</v>
      </c>
      <c r="D243" s="667" t="s">
        <v>1204</v>
      </c>
      <c r="E243" s="668" t="s">
        <v>346</v>
      </c>
      <c r="F243" s="753" t="s">
        <v>1906</v>
      </c>
      <c r="G243" s="129">
        <v>88924039</v>
      </c>
      <c r="H243" s="129">
        <v>332500</v>
      </c>
      <c r="I243" s="129">
        <v>89256539</v>
      </c>
      <c r="J243" s="793">
        <v>49.9</v>
      </c>
      <c r="K243" s="129">
        <v>44373095</v>
      </c>
      <c r="L243" s="129">
        <v>165918</v>
      </c>
      <c r="M243" s="129">
        <v>0</v>
      </c>
      <c r="N243" s="129">
        <v>0</v>
      </c>
      <c r="O243" s="129">
        <v>44373095</v>
      </c>
      <c r="P243" s="129">
        <v>165918</v>
      </c>
      <c r="Q243" s="129">
        <v>44539013</v>
      </c>
      <c r="R243" s="129">
        <v>-86999</v>
      </c>
      <c r="S243" s="129">
        <v>0</v>
      </c>
      <c r="T243" s="129">
        <v>-86999</v>
      </c>
      <c r="U243" s="129">
        <v>72831</v>
      </c>
      <c r="V243" s="129">
        <v>0</v>
      </c>
      <c r="W243" s="129">
        <v>72831</v>
      </c>
      <c r="X243" s="129">
        <v>-14168</v>
      </c>
      <c r="Y243" s="129">
        <v>0</v>
      </c>
      <c r="Z243" s="129">
        <v>0</v>
      </c>
      <c r="AA243" s="129">
        <v>0</v>
      </c>
      <c r="AB243" s="129">
        <v>-14168</v>
      </c>
      <c r="AC243" s="129">
        <v>0</v>
      </c>
      <c r="AD243" s="129">
        <v>-14168</v>
      </c>
      <c r="AE243" s="129">
        <v>14168</v>
      </c>
      <c r="AF243" s="129">
        <v>0</v>
      </c>
      <c r="AG243" s="129">
        <v>14168</v>
      </c>
      <c r="AH243" s="129">
        <v>-4171278</v>
      </c>
      <c r="AI243" s="129">
        <v>0</v>
      </c>
      <c r="AJ243" s="129">
        <v>-4171278</v>
      </c>
      <c r="AK243" s="129">
        <v>0</v>
      </c>
      <c r="AL243" s="129">
        <v>0</v>
      </c>
      <c r="AM243" s="129">
        <v>0</v>
      </c>
      <c r="AN243" s="129">
        <v>806417</v>
      </c>
      <c r="AO243" s="129">
        <v>4323</v>
      </c>
      <c r="AP243" s="129">
        <v>810740</v>
      </c>
      <c r="AQ243" s="129">
        <v>-3364861</v>
      </c>
      <c r="AR243" s="129">
        <v>4323</v>
      </c>
      <c r="AS243" s="129">
        <v>-3360538</v>
      </c>
      <c r="AT243" s="129">
        <v>-2319148</v>
      </c>
      <c r="AU243" s="129">
        <v>0</v>
      </c>
      <c r="AV243" s="129">
        <v>-2319148</v>
      </c>
      <c r="AW243" s="129">
        <v>-20357</v>
      </c>
      <c r="AX243" s="129">
        <v>0</v>
      </c>
      <c r="AY243" s="129">
        <v>-20357</v>
      </c>
      <c r="AZ243" s="129">
        <v>-4429</v>
      </c>
      <c r="BA243" s="129">
        <v>0</v>
      </c>
      <c r="BB243" s="129">
        <v>-4429</v>
      </c>
      <c r="BC243" s="129">
        <v>0</v>
      </c>
      <c r="BD243" s="129">
        <v>0</v>
      </c>
      <c r="BE243" s="129">
        <v>0</v>
      </c>
      <c r="BF243" s="129">
        <v>-5708795</v>
      </c>
      <c r="BG243" s="129">
        <v>4323</v>
      </c>
      <c r="BH243" s="129">
        <v>0</v>
      </c>
      <c r="BI243" s="129">
        <v>0</v>
      </c>
      <c r="BJ243" s="129">
        <v>-5708795</v>
      </c>
      <c r="BK243" s="129">
        <v>4323</v>
      </c>
      <c r="BL243" s="129">
        <v>-5704472</v>
      </c>
      <c r="BM243" s="129">
        <v>0</v>
      </c>
      <c r="BN243" s="129">
        <v>0</v>
      </c>
      <c r="BO243" s="129">
        <v>0</v>
      </c>
      <c r="BP243" s="129">
        <v>-336927</v>
      </c>
      <c r="BQ243" s="129">
        <v>0</v>
      </c>
      <c r="BR243" s="129">
        <v>-336927</v>
      </c>
      <c r="BS243" s="129">
        <v>-336927</v>
      </c>
      <c r="BT243" s="129">
        <v>0</v>
      </c>
      <c r="BU243" s="129">
        <v>0</v>
      </c>
      <c r="BV243" s="129">
        <v>0</v>
      </c>
      <c r="BW243" s="129">
        <v>-336927</v>
      </c>
      <c r="BX243" s="129">
        <v>0</v>
      </c>
      <c r="BY243" s="129">
        <v>-336927</v>
      </c>
      <c r="BZ243" s="129">
        <v>-137930</v>
      </c>
      <c r="CA243" s="129">
        <v>0</v>
      </c>
      <c r="CB243" s="129">
        <v>-137930</v>
      </c>
      <c r="CC243" s="129">
        <v>-29264</v>
      </c>
      <c r="CD243" s="129">
        <v>0</v>
      </c>
      <c r="CE243" s="129">
        <v>-29264</v>
      </c>
      <c r="CF243" s="129">
        <v>-1075</v>
      </c>
      <c r="CG243" s="129">
        <v>0</v>
      </c>
      <c r="CH243" s="129">
        <v>-1075</v>
      </c>
      <c r="CI243" s="129">
        <v>-4429</v>
      </c>
      <c r="CJ243" s="129">
        <v>0</v>
      </c>
      <c r="CK243" s="129">
        <v>-4429</v>
      </c>
      <c r="CL243" s="129">
        <v>0</v>
      </c>
      <c r="CM243" s="129">
        <v>0</v>
      </c>
      <c r="CN243" s="129">
        <v>0</v>
      </c>
      <c r="CO243" s="129">
        <v>0</v>
      </c>
      <c r="CP243" s="129">
        <v>0</v>
      </c>
      <c r="CQ243" s="129">
        <v>0</v>
      </c>
      <c r="CR243" s="129">
        <v>0</v>
      </c>
      <c r="CS243" s="129">
        <v>0</v>
      </c>
      <c r="CT243" s="129">
        <v>-172698</v>
      </c>
      <c r="CU243" s="129">
        <v>0</v>
      </c>
      <c r="CV243" s="129">
        <v>0</v>
      </c>
      <c r="CW243" s="129">
        <v>0</v>
      </c>
      <c r="CX243" s="129">
        <v>-172698</v>
      </c>
      <c r="CY243" s="129">
        <v>0</v>
      </c>
      <c r="CZ243" s="129">
        <v>-172698</v>
      </c>
      <c r="DA243" s="129">
        <v>0</v>
      </c>
      <c r="DB243" s="129">
        <v>0</v>
      </c>
      <c r="DC243" s="129">
        <v>0</v>
      </c>
      <c r="DD243" s="129">
        <v>-7934</v>
      </c>
      <c r="DE243" s="129">
        <v>0</v>
      </c>
      <c r="DF243" s="129">
        <v>-7934</v>
      </c>
      <c r="DG243" s="129">
        <v>0</v>
      </c>
      <c r="DH243" s="129">
        <v>0</v>
      </c>
      <c r="DI243" s="129">
        <v>0</v>
      </c>
      <c r="DJ243" s="129">
        <v>-7934</v>
      </c>
      <c r="DK243" s="129">
        <v>0</v>
      </c>
      <c r="DL243" s="129">
        <v>0</v>
      </c>
      <c r="DM243" s="129">
        <v>0</v>
      </c>
      <c r="DN243" s="129">
        <v>-7934</v>
      </c>
      <c r="DO243" s="129">
        <v>0</v>
      </c>
      <c r="DP243" s="129">
        <v>-7934</v>
      </c>
      <c r="DQ243" s="129">
        <v>38132573</v>
      </c>
      <c r="DR243" s="129">
        <v>170241</v>
      </c>
      <c r="DS243" s="129">
        <v>38302814</v>
      </c>
      <c r="DT243" s="662" t="s">
        <v>346</v>
      </c>
      <c r="DU243" s="324" t="s">
        <v>547</v>
      </c>
      <c r="DV243" s="663" t="s">
        <v>545</v>
      </c>
      <c r="DW243" s="529" t="s">
        <v>1449</v>
      </c>
    </row>
    <row r="244" spans="1:127" ht="12.75" x14ac:dyDescent="0.2">
      <c r="A244" s="664">
        <v>237</v>
      </c>
      <c r="B244" s="665" t="s">
        <v>349</v>
      </c>
      <c r="C244" s="666" t="s">
        <v>1201</v>
      </c>
      <c r="D244" s="667" t="s">
        <v>1224</v>
      </c>
      <c r="E244" s="668" t="s">
        <v>348</v>
      </c>
      <c r="F244" s="753" t="s">
        <v>1887</v>
      </c>
      <c r="G244" s="129">
        <v>120226417</v>
      </c>
      <c r="H244" s="129">
        <v>0</v>
      </c>
      <c r="I244" s="129">
        <v>120226417</v>
      </c>
      <c r="J244" s="793">
        <v>49.9</v>
      </c>
      <c r="K244" s="129">
        <v>59992982</v>
      </c>
      <c r="L244" s="129">
        <v>0</v>
      </c>
      <c r="M244" s="129">
        <v>97987</v>
      </c>
      <c r="N244" s="129">
        <v>0</v>
      </c>
      <c r="O244" s="129">
        <v>60090969</v>
      </c>
      <c r="P244" s="129">
        <v>0</v>
      </c>
      <c r="Q244" s="129">
        <v>60090969</v>
      </c>
      <c r="R244" s="129">
        <v>-200957</v>
      </c>
      <c r="S244" s="129">
        <v>0</v>
      </c>
      <c r="T244" s="129">
        <v>-200957</v>
      </c>
      <c r="U244" s="129">
        <v>245750</v>
      </c>
      <c r="V244" s="129">
        <v>0</v>
      </c>
      <c r="W244" s="129">
        <v>245750</v>
      </c>
      <c r="X244" s="129">
        <v>44793</v>
      </c>
      <c r="Y244" s="129">
        <v>0</v>
      </c>
      <c r="Z244" s="129">
        <v>0</v>
      </c>
      <c r="AA244" s="129">
        <v>0</v>
      </c>
      <c r="AB244" s="129">
        <v>44793</v>
      </c>
      <c r="AC244" s="129">
        <v>0</v>
      </c>
      <c r="AD244" s="129">
        <v>44793</v>
      </c>
      <c r="AE244" s="129">
        <v>-44793</v>
      </c>
      <c r="AF244" s="129">
        <v>0</v>
      </c>
      <c r="AG244" s="129">
        <v>-44793</v>
      </c>
      <c r="AH244" s="129">
        <v>-7496121</v>
      </c>
      <c r="AI244" s="129">
        <v>0</v>
      </c>
      <c r="AJ244" s="129">
        <v>-7496121</v>
      </c>
      <c r="AK244" s="129">
        <v>-22162</v>
      </c>
      <c r="AL244" s="129">
        <v>0</v>
      </c>
      <c r="AM244" s="129">
        <v>-22162</v>
      </c>
      <c r="AN244" s="129">
        <v>949550</v>
      </c>
      <c r="AO244" s="129">
        <v>0</v>
      </c>
      <c r="AP244" s="129">
        <v>949550</v>
      </c>
      <c r="AQ244" s="129">
        <v>-6546571</v>
      </c>
      <c r="AR244" s="129">
        <v>0</v>
      </c>
      <c r="AS244" s="129">
        <v>-6546571</v>
      </c>
      <c r="AT244" s="129">
        <v>-3863512</v>
      </c>
      <c r="AU244" s="129">
        <v>0</v>
      </c>
      <c r="AV244" s="129">
        <v>-3863512</v>
      </c>
      <c r="AW244" s="129">
        <v>-52879</v>
      </c>
      <c r="AX244" s="129">
        <v>0</v>
      </c>
      <c r="AY244" s="129">
        <v>-52879</v>
      </c>
      <c r="AZ244" s="129">
        <v>-66927</v>
      </c>
      <c r="BA244" s="129">
        <v>0</v>
      </c>
      <c r="BB244" s="129">
        <v>-66927</v>
      </c>
      <c r="BC244" s="129">
        <v>0</v>
      </c>
      <c r="BD244" s="129">
        <v>0</v>
      </c>
      <c r="BE244" s="129">
        <v>0</v>
      </c>
      <c r="BF244" s="129">
        <v>-10529889</v>
      </c>
      <c r="BG244" s="129">
        <v>0</v>
      </c>
      <c r="BH244" s="129">
        <v>0</v>
      </c>
      <c r="BI244" s="129">
        <v>0</v>
      </c>
      <c r="BJ244" s="129">
        <v>-10529889</v>
      </c>
      <c r="BK244" s="129">
        <v>0</v>
      </c>
      <c r="BL244" s="129">
        <v>-10529889</v>
      </c>
      <c r="BM244" s="129">
        <v>-25000</v>
      </c>
      <c r="BN244" s="129">
        <v>0</v>
      </c>
      <c r="BO244" s="129">
        <v>-25000</v>
      </c>
      <c r="BP244" s="129">
        <v>-1477404</v>
      </c>
      <c r="BQ244" s="129">
        <v>0</v>
      </c>
      <c r="BR244" s="129">
        <v>-1477404</v>
      </c>
      <c r="BS244" s="129">
        <v>-1502404</v>
      </c>
      <c r="BT244" s="129">
        <v>0</v>
      </c>
      <c r="BU244" s="129">
        <v>0</v>
      </c>
      <c r="BV244" s="129">
        <v>0</v>
      </c>
      <c r="BW244" s="129">
        <v>-1502404</v>
      </c>
      <c r="BX244" s="129">
        <v>0</v>
      </c>
      <c r="BY244" s="129">
        <v>-1502404</v>
      </c>
      <c r="BZ244" s="129">
        <v>-166262</v>
      </c>
      <c r="CA244" s="129">
        <v>0</v>
      </c>
      <c r="CB244" s="129">
        <v>-166262</v>
      </c>
      <c r="CC244" s="129">
        <v>-36478</v>
      </c>
      <c r="CD244" s="129">
        <v>0</v>
      </c>
      <c r="CE244" s="129">
        <v>-36478</v>
      </c>
      <c r="CF244" s="129">
        <v>-5791</v>
      </c>
      <c r="CG244" s="129">
        <v>0</v>
      </c>
      <c r="CH244" s="129">
        <v>-5791</v>
      </c>
      <c r="CI244" s="129">
        <v>0</v>
      </c>
      <c r="CJ244" s="129">
        <v>0</v>
      </c>
      <c r="CK244" s="129">
        <v>0</v>
      </c>
      <c r="CL244" s="129">
        <v>-6138</v>
      </c>
      <c r="CM244" s="129">
        <v>0</v>
      </c>
      <c r="CN244" s="129">
        <v>-6138</v>
      </c>
      <c r="CO244" s="129">
        <v>-17420</v>
      </c>
      <c r="CP244" s="129">
        <v>0</v>
      </c>
      <c r="CQ244" s="129">
        <v>-17420</v>
      </c>
      <c r="CR244" s="129">
        <v>0</v>
      </c>
      <c r="CS244" s="129">
        <v>0</v>
      </c>
      <c r="CT244" s="129">
        <v>-232089</v>
      </c>
      <c r="CU244" s="129">
        <v>0</v>
      </c>
      <c r="CV244" s="129">
        <v>0</v>
      </c>
      <c r="CW244" s="129">
        <v>0</v>
      </c>
      <c r="CX244" s="129">
        <v>-232089</v>
      </c>
      <c r="CY244" s="129">
        <v>0</v>
      </c>
      <c r="CZ244" s="129">
        <v>-232089</v>
      </c>
      <c r="DA244" s="129">
        <v>-66927</v>
      </c>
      <c r="DB244" s="129">
        <v>0</v>
      </c>
      <c r="DC244" s="129">
        <v>-66927</v>
      </c>
      <c r="DD244" s="129">
        <v>-27992</v>
      </c>
      <c r="DE244" s="129">
        <v>0</v>
      </c>
      <c r="DF244" s="129">
        <v>-27992</v>
      </c>
      <c r="DG244" s="129">
        <v>-1500</v>
      </c>
      <c r="DH244" s="129">
        <v>0</v>
      </c>
      <c r="DI244" s="129">
        <v>-1500</v>
      </c>
      <c r="DJ244" s="129">
        <v>-96419</v>
      </c>
      <c r="DK244" s="129">
        <v>0</v>
      </c>
      <c r="DL244" s="129">
        <v>0</v>
      </c>
      <c r="DM244" s="129">
        <v>0</v>
      </c>
      <c r="DN244" s="129">
        <v>-96419</v>
      </c>
      <c r="DO244" s="129">
        <v>0</v>
      </c>
      <c r="DP244" s="129">
        <v>-96419</v>
      </c>
      <c r="DQ244" s="129">
        <v>47774961</v>
      </c>
      <c r="DR244" s="129">
        <v>0</v>
      </c>
      <c r="DS244" s="129">
        <v>47774961</v>
      </c>
      <c r="DT244" s="662" t="s">
        <v>348</v>
      </c>
      <c r="DU244" s="324" t="s">
        <v>562</v>
      </c>
      <c r="DV244" s="663" t="s">
        <v>519</v>
      </c>
      <c r="DW244" s="529" t="s">
        <v>1450</v>
      </c>
    </row>
    <row r="245" spans="1:127" ht="12.75" x14ac:dyDescent="0.2">
      <c r="A245" s="664">
        <v>238</v>
      </c>
      <c r="B245" s="665" t="s">
        <v>351</v>
      </c>
      <c r="C245" s="666" t="s">
        <v>1201</v>
      </c>
      <c r="D245" s="667" t="s">
        <v>1228</v>
      </c>
      <c r="E245" s="668" t="s">
        <v>350</v>
      </c>
      <c r="F245" s="753" t="s">
        <v>1875</v>
      </c>
      <c r="G245" s="129">
        <v>59272153</v>
      </c>
      <c r="H245" s="129">
        <v>9615500</v>
      </c>
      <c r="I245" s="129">
        <v>68887653</v>
      </c>
      <c r="J245" s="793">
        <v>49.9</v>
      </c>
      <c r="K245" s="129">
        <v>29576804</v>
      </c>
      <c r="L245" s="129">
        <v>4798135</v>
      </c>
      <c r="M245" s="129">
        <v>0</v>
      </c>
      <c r="N245" s="129">
        <v>0</v>
      </c>
      <c r="O245" s="129">
        <v>29576804</v>
      </c>
      <c r="P245" s="129">
        <v>4798135</v>
      </c>
      <c r="Q245" s="129">
        <v>34374939</v>
      </c>
      <c r="R245" s="129">
        <v>-80638</v>
      </c>
      <c r="S245" s="129">
        <v>0</v>
      </c>
      <c r="T245" s="129">
        <v>-80638</v>
      </c>
      <c r="U245" s="129">
        <v>33435</v>
      </c>
      <c r="V245" s="129">
        <v>0</v>
      </c>
      <c r="W245" s="129">
        <v>33435</v>
      </c>
      <c r="X245" s="129">
        <v>-47203</v>
      </c>
      <c r="Y245" s="129">
        <v>0</v>
      </c>
      <c r="Z245" s="129">
        <v>0</v>
      </c>
      <c r="AA245" s="129">
        <v>0</v>
      </c>
      <c r="AB245" s="129">
        <v>-47203</v>
      </c>
      <c r="AC245" s="129">
        <v>0</v>
      </c>
      <c r="AD245" s="129">
        <v>-47203</v>
      </c>
      <c r="AE245" s="129">
        <v>47203</v>
      </c>
      <c r="AF245" s="129">
        <v>0</v>
      </c>
      <c r="AG245" s="129">
        <v>47203</v>
      </c>
      <c r="AH245" s="129">
        <v>-3805635</v>
      </c>
      <c r="AI245" s="129">
        <v>0</v>
      </c>
      <c r="AJ245" s="129">
        <v>-3805635</v>
      </c>
      <c r="AK245" s="129">
        <v>0</v>
      </c>
      <c r="AL245" s="129">
        <v>0</v>
      </c>
      <c r="AM245" s="129">
        <v>0</v>
      </c>
      <c r="AN245" s="129">
        <v>502555</v>
      </c>
      <c r="AO245" s="129">
        <v>125002</v>
      </c>
      <c r="AP245" s="129">
        <v>627557</v>
      </c>
      <c r="AQ245" s="129">
        <v>-3303080</v>
      </c>
      <c r="AR245" s="129">
        <v>125002</v>
      </c>
      <c r="AS245" s="129">
        <v>-3178078</v>
      </c>
      <c r="AT245" s="129">
        <v>-1543172</v>
      </c>
      <c r="AU245" s="129">
        <v>0</v>
      </c>
      <c r="AV245" s="129">
        <v>-1543172</v>
      </c>
      <c r="AW245" s="129">
        <v>-22436</v>
      </c>
      <c r="AX245" s="129">
        <v>0</v>
      </c>
      <c r="AY245" s="129">
        <v>-22436</v>
      </c>
      <c r="AZ245" s="129">
        <v>-3447</v>
      </c>
      <c r="BA245" s="129">
        <v>0</v>
      </c>
      <c r="BB245" s="129">
        <v>-3447</v>
      </c>
      <c r="BC245" s="129">
        <v>0</v>
      </c>
      <c r="BD245" s="129">
        <v>0</v>
      </c>
      <c r="BE245" s="129">
        <v>0</v>
      </c>
      <c r="BF245" s="129">
        <v>-4872135</v>
      </c>
      <c r="BG245" s="129">
        <v>125002</v>
      </c>
      <c r="BH245" s="129">
        <v>0</v>
      </c>
      <c r="BI245" s="129">
        <v>0</v>
      </c>
      <c r="BJ245" s="129">
        <v>-4872135</v>
      </c>
      <c r="BK245" s="129">
        <v>125002</v>
      </c>
      <c r="BL245" s="129">
        <v>-4747133</v>
      </c>
      <c r="BM245" s="129">
        <v>0</v>
      </c>
      <c r="BN245" s="129">
        <v>0</v>
      </c>
      <c r="BO245" s="129">
        <v>0</v>
      </c>
      <c r="BP245" s="129">
        <v>-258167</v>
      </c>
      <c r="BQ245" s="129">
        <v>0</v>
      </c>
      <c r="BR245" s="129">
        <v>-258167</v>
      </c>
      <c r="BS245" s="129">
        <v>-258167</v>
      </c>
      <c r="BT245" s="129">
        <v>0</v>
      </c>
      <c r="BU245" s="129">
        <v>-800000</v>
      </c>
      <c r="BV245" s="129">
        <v>0</v>
      </c>
      <c r="BW245" s="129">
        <v>-1058167</v>
      </c>
      <c r="BX245" s="129">
        <v>0</v>
      </c>
      <c r="BY245" s="129">
        <v>-1058167</v>
      </c>
      <c r="BZ245" s="129">
        <v>-51539</v>
      </c>
      <c r="CA245" s="129">
        <v>0</v>
      </c>
      <c r="CB245" s="129">
        <v>-51539</v>
      </c>
      <c r="CC245" s="129">
        <v>-208950</v>
      </c>
      <c r="CD245" s="129">
        <v>0</v>
      </c>
      <c r="CE245" s="129">
        <v>-208950</v>
      </c>
      <c r="CF245" s="129">
        <v>-4483</v>
      </c>
      <c r="CG245" s="129">
        <v>0</v>
      </c>
      <c r="CH245" s="129">
        <v>-4483</v>
      </c>
      <c r="CI245" s="129">
        <v>0</v>
      </c>
      <c r="CJ245" s="129">
        <v>0</v>
      </c>
      <c r="CK245" s="129">
        <v>0</v>
      </c>
      <c r="CL245" s="129">
        <v>0</v>
      </c>
      <c r="CM245" s="129">
        <v>0</v>
      </c>
      <c r="CN245" s="129">
        <v>0</v>
      </c>
      <c r="CO245" s="129">
        <v>0</v>
      </c>
      <c r="CP245" s="129">
        <v>-110000</v>
      </c>
      <c r="CQ245" s="129">
        <v>-110000</v>
      </c>
      <c r="CR245" s="129">
        <v>-110000</v>
      </c>
      <c r="CS245" s="129">
        <v>0</v>
      </c>
      <c r="CT245" s="129">
        <v>-264972</v>
      </c>
      <c r="CU245" s="129">
        <v>-110000</v>
      </c>
      <c r="CV245" s="129">
        <v>0</v>
      </c>
      <c r="CW245" s="129">
        <v>0</v>
      </c>
      <c r="CX245" s="129">
        <v>-264972</v>
      </c>
      <c r="CY245" s="129">
        <v>-110000</v>
      </c>
      <c r="CZ245" s="129">
        <v>-374972</v>
      </c>
      <c r="DA245" s="129">
        <v>-3447</v>
      </c>
      <c r="DB245" s="129">
        <v>0</v>
      </c>
      <c r="DC245" s="129">
        <v>-3447</v>
      </c>
      <c r="DD245" s="129">
        <v>-19458</v>
      </c>
      <c r="DE245" s="129">
        <v>0</v>
      </c>
      <c r="DF245" s="129">
        <v>-19458</v>
      </c>
      <c r="DG245" s="129">
        <v>0</v>
      </c>
      <c r="DH245" s="129">
        <v>0</v>
      </c>
      <c r="DI245" s="129">
        <v>0</v>
      </c>
      <c r="DJ245" s="129">
        <v>-22905</v>
      </c>
      <c r="DK245" s="129">
        <v>0</v>
      </c>
      <c r="DL245" s="129">
        <v>0</v>
      </c>
      <c r="DM245" s="129">
        <v>0</v>
      </c>
      <c r="DN245" s="129">
        <v>-22905</v>
      </c>
      <c r="DO245" s="129">
        <v>0</v>
      </c>
      <c r="DP245" s="129">
        <v>-22905</v>
      </c>
      <c r="DQ245" s="129">
        <v>23311422</v>
      </c>
      <c r="DR245" s="129">
        <v>4813137</v>
      </c>
      <c r="DS245" s="129">
        <v>28124559</v>
      </c>
      <c r="DT245" s="662" t="s">
        <v>350</v>
      </c>
      <c r="DU245" s="324" t="s">
        <v>564</v>
      </c>
      <c r="DV245" s="663" t="s">
        <v>1917</v>
      </c>
      <c r="DW245" s="529" t="s">
        <v>1451</v>
      </c>
    </row>
    <row r="246" spans="1:127" ht="12.75" x14ac:dyDescent="0.2">
      <c r="A246" s="664">
        <v>239</v>
      </c>
      <c r="B246" s="665" t="s">
        <v>353</v>
      </c>
      <c r="C246" s="666" t="s">
        <v>1217</v>
      </c>
      <c r="D246" s="667" t="s">
        <v>1283</v>
      </c>
      <c r="E246" s="668" t="s">
        <v>352</v>
      </c>
      <c r="F246" s="753" t="s">
        <v>1875</v>
      </c>
      <c r="G246" s="129">
        <v>79180116</v>
      </c>
      <c r="H246" s="129">
        <v>0</v>
      </c>
      <c r="I246" s="129">
        <v>79180116</v>
      </c>
      <c r="J246" s="793">
        <v>49.9</v>
      </c>
      <c r="K246" s="129">
        <v>39510878</v>
      </c>
      <c r="L246" s="129">
        <v>0</v>
      </c>
      <c r="M246" s="129">
        <v>-1300000</v>
      </c>
      <c r="N246" s="129">
        <v>0</v>
      </c>
      <c r="O246" s="129">
        <v>38210878</v>
      </c>
      <c r="P246" s="129">
        <v>0</v>
      </c>
      <c r="Q246" s="129">
        <v>38210878</v>
      </c>
      <c r="R246" s="129">
        <v>-88670</v>
      </c>
      <c r="S246" s="129">
        <v>0</v>
      </c>
      <c r="T246" s="129">
        <v>-88670</v>
      </c>
      <c r="U246" s="129">
        <v>467000</v>
      </c>
      <c r="V246" s="129">
        <v>0</v>
      </c>
      <c r="W246" s="129">
        <v>467000</v>
      </c>
      <c r="X246" s="129">
        <v>378330</v>
      </c>
      <c r="Y246" s="129">
        <v>0</v>
      </c>
      <c r="Z246" s="129">
        <v>0</v>
      </c>
      <c r="AA246" s="129">
        <v>0</v>
      </c>
      <c r="AB246" s="129">
        <v>378330</v>
      </c>
      <c r="AC246" s="129">
        <v>0</v>
      </c>
      <c r="AD246" s="129">
        <v>378330</v>
      </c>
      <c r="AE246" s="129">
        <v>-378330</v>
      </c>
      <c r="AF246" s="129">
        <v>0</v>
      </c>
      <c r="AG246" s="129">
        <v>-378330</v>
      </c>
      <c r="AH246" s="129">
        <v>-4600000</v>
      </c>
      <c r="AI246" s="129">
        <v>0</v>
      </c>
      <c r="AJ246" s="129">
        <v>-4600000</v>
      </c>
      <c r="AK246" s="129">
        <v>0</v>
      </c>
      <c r="AL246" s="129">
        <v>0</v>
      </c>
      <c r="AM246" s="129">
        <v>0</v>
      </c>
      <c r="AN246" s="129">
        <v>670000</v>
      </c>
      <c r="AO246" s="129">
        <v>0</v>
      </c>
      <c r="AP246" s="129">
        <v>670000</v>
      </c>
      <c r="AQ246" s="129">
        <v>-3930000</v>
      </c>
      <c r="AR246" s="129">
        <v>0</v>
      </c>
      <c r="AS246" s="129">
        <v>-3930000</v>
      </c>
      <c r="AT246" s="129">
        <v>-2300000</v>
      </c>
      <c r="AU246" s="129">
        <v>0</v>
      </c>
      <c r="AV246" s="129">
        <v>-2300000</v>
      </c>
      <c r="AW246" s="129">
        <v>-68500</v>
      </c>
      <c r="AX246" s="129">
        <v>0</v>
      </c>
      <c r="AY246" s="129">
        <v>-68500</v>
      </c>
      <c r="AZ246" s="129">
        <v>0</v>
      </c>
      <c r="BA246" s="129">
        <v>0</v>
      </c>
      <c r="BB246" s="129">
        <v>0</v>
      </c>
      <c r="BC246" s="129">
        <v>0</v>
      </c>
      <c r="BD246" s="129">
        <v>0</v>
      </c>
      <c r="BE246" s="129">
        <v>0</v>
      </c>
      <c r="BF246" s="129">
        <v>-6298500</v>
      </c>
      <c r="BG246" s="129">
        <v>0</v>
      </c>
      <c r="BH246" s="129">
        <v>0</v>
      </c>
      <c r="BI246" s="129">
        <v>0</v>
      </c>
      <c r="BJ246" s="129">
        <v>-6298500</v>
      </c>
      <c r="BK246" s="129">
        <v>0</v>
      </c>
      <c r="BL246" s="129">
        <v>-6298500</v>
      </c>
      <c r="BM246" s="129">
        <v>-15000</v>
      </c>
      <c r="BN246" s="129">
        <v>0</v>
      </c>
      <c r="BO246" s="129">
        <v>-15000</v>
      </c>
      <c r="BP246" s="129">
        <v>-1000000</v>
      </c>
      <c r="BQ246" s="129">
        <v>0</v>
      </c>
      <c r="BR246" s="129">
        <v>-1000000</v>
      </c>
      <c r="BS246" s="129">
        <v>-1015000</v>
      </c>
      <c r="BT246" s="129">
        <v>0</v>
      </c>
      <c r="BU246" s="129">
        <v>-200000</v>
      </c>
      <c r="BV246" s="129">
        <v>0</v>
      </c>
      <c r="BW246" s="129">
        <v>-1215000</v>
      </c>
      <c r="BX246" s="129">
        <v>0</v>
      </c>
      <c r="BY246" s="129">
        <v>-1215000</v>
      </c>
      <c r="BZ246" s="129">
        <v>-3800</v>
      </c>
      <c r="CA246" s="129">
        <v>0</v>
      </c>
      <c r="CB246" s="129">
        <v>-3800</v>
      </c>
      <c r="CC246" s="129">
        <v>-90000</v>
      </c>
      <c r="CD246" s="129">
        <v>0</v>
      </c>
      <c r="CE246" s="129">
        <v>-90000</v>
      </c>
      <c r="CF246" s="129">
        <v>0</v>
      </c>
      <c r="CG246" s="129">
        <v>0</v>
      </c>
      <c r="CH246" s="129">
        <v>0</v>
      </c>
      <c r="CI246" s="129">
        <v>0</v>
      </c>
      <c r="CJ246" s="129">
        <v>0</v>
      </c>
      <c r="CK246" s="129">
        <v>0</v>
      </c>
      <c r="CL246" s="129">
        <v>0</v>
      </c>
      <c r="CM246" s="129">
        <v>0</v>
      </c>
      <c r="CN246" s="129">
        <v>0</v>
      </c>
      <c r="CO246" s="129">
        <v>0</v>
      </c>
      <c r="CP246" s="129">
        <v>0</v>
      </c>
      <c r="CQ246" s="129">
        <v>0</v>
      </c>
      <c r="CR246" s="129">
        <v>0</v>
      </c>
      <c r="CS246" s="129">
        <v>0</v>
      </c>
      <c r="CT246" s="129">
        <v>-93800</v>
      </c>
      <c r="CU246" s="129">
        <v>0</v>
      </c>
      <c r="CV246" s="129">
        <v>0</v>
      </c>
      <c r="CW246" s="129">
        <v>0</v>
      </c>
      <c r="CX246" s="129">
        <v>-93800</v>
      </c>
      <c r="CY246" s="129">
        <v>0</v>
      </c>
      <c r="CZ246" s="129">
        <v>-93800</v>
      </c>
      <c r="DA246" s="129">
        <v>0</v>
      </c>
      <c r="DB246" s="129">
        <v>0</v>
      </c>
      <c r="DC246" s="129">
        <v>0</v>
      </c>
      <c r="DD246" s="129">
        <v>-30000</v>
      </c>
      <c r="DE246" s="129">
        <v>0</v>
      </c>
      <c r="DF246" s="129">
        <v>-30000</v>
      </c>
      <c r="DG246" s="129">
        <v>0</v>
      </c>
      <c r="DH246" s="129">
        <v>0</v>
      </c>
      <c r="DI246" s="129">
        <v>0</v>
      </c>
      <c r="DJ246" s="129">
        <v>-30000</v>
      </c>
      <c r="DK246" s="129">
        <v>0</v>
      </c>
      <c r="DL246" s="129">
        <v>0</v>
      </c>
      <c r="DM246" s="129">
        <v>0</v>
      </c>
      <c r="DN246" s="129">
        <v>-30000</v>
      </c>
      <c r="DO246" s="129">
        <v>0</v>
      </c>
      <c r="DP246" s="129">
        <v>-30000</v>
      </c>
      <c r="DQ246" s="129">
        <v>30951908</v>
      </c>
      <c r="DR246" s="129">
        <v>0</v>
      </c>
      <c r="DS246" s="129">
        <v>30951908</v>
      </c>
      <c r="DT246" s="662" t="s">
        <v>352</v>
      </c>
      <c r="DU246" s="324" t="s">
        <v>570</v>
      </c>
      <c r="DV246" s="663" t="s">
        <v>573</v>
      </c>
      <c r="DW246" s="529" t="s">
        <v>1452</v>
      </c>
    </row>
    <row r="247" spans="1:127" ht="12.75" x14ac:dyDescent="0.2">
      <c r="A247" s="664">
        <v>240</v>
      </c>
      <c r="B247" s="665" t="s">
        <v>354</v>
      </c>
      <c r="C247" s="666" t="s">
        <v>486</v>
      </c>
      <c r="D247" s="667" t="s">
        <v>1202</v>
      </c>
      <c r="E247" s="668" t="s">
        <v>531</v>
      </c>
      <c r="F247" s="753" t="s">
        <v>1875</v>
      </c>
      <c r="G247" s="129">
        <v>266743988</v>
      </c>
      <c r="H247" s="129">
        <v>0</v>
      </c>
      <c r="I247" s="129">
        <v>266743988</v>
      </c>
      <c r="J247" s="793">
        <v>49.9</v>
      </c>
      <c r="K247" s="129">
        <v>133105250</v>
      </c>
      <c r="L247" s="129">
        <v>0</v>
      </c>
      <c r="M247" s="129">
        <v>214600</v>
      </c>
      <c r="N247" s="129">
        <v>0</v>
      </c>
      <c r="O247" s="129">
        <v>133319850</v>
      </c>
      <c r="P247" s="129">
        <v>0</v>
      </c>
      <c r="Q247" s="129">
        <v>133319850</v>
      </c>
      <c r="R247" s="129">
        <v>-292400</v>
      </c>
      <c r="S247" s="129">
        <v>0</v>
      </c>
      <c r="T247" s="129">
        <v>-292400</v>
      </c>
      <c r="U247" s="129">
        <v>880372</v>
      </c>
      <c r="V247" s="129">
        <v>0</v>
      </c>
      <c r="W247" s="129">
        <v>880372</v>
      </c>
      <c r="X247" s="129">
        <v>587972</v>
      </c>
      <c r="Y247" s="129">
        <v>0</v>
      </c>
      <c r="Z247" s="129">
        <v>0</v>
      </c>
      <c r="AA247" s="129">
        <v>0</v>
      </c>
      <c r="AB247" s="129">
        <v>587972</v>
      </c>
      <c r="AC247" s="129">
        <v>0</v>
      </c>
      <c r="AD247" s="129">
        <v>587972</v>
      </c>
      <c r="AE247" s="129">
        <v>-587972</v>
      </c>
      <c r="AF247" s="129">
        <v>0</v>
      </c>
      <c r="AG247" s="129">
        <v>-587972</v>
      </c>
      <c r="AH247" s="129">
        <v>-6488375</v>
      </c>
      <c r="AI247" s="129">
        <v>0</v>
      </c>
      <c r="AJ247" s="129">
        <v>-6488375</v>
      </c>
      <c r="AK247" s="129">
        <v>-11136</v>
      </c>
      <c r="AL247" s="129">
        <v>0</v>
      </c>
      <c r="AM247" s="129">
        <v>-11136</v>
      </c>
      <c r="AN247" s="129">
        <v>2737225</v>
      </c>
      <c r="AO247" s="129">
        <v>0</v>
      </c>
      <c r="AP247" s="129">
        <v>2737225</v>
      </c>
      <c r="AQ247" s="129">
        <v>-3751150</v>
      </c>
      <c r="AR247" s="129">
        <v>0</v>
      </c>
      <c r="AS247" s="129">
        <v>-3751150</v>
      </c>
      <c r="AT247" s="129">
        <v>-12216366</v>
      </c>
      <c r="AU247" s="129">
        <v>0</v>
      </c>
      <c r="AV247" s="129">
        <v>-12216366</v>
      </c>
      <c r="AW247" s="129">
        <v>-55000</v>
      </c>
      <c r="AX247" s="129">
        <v>0</v>
      </c>
      <c r="AY247" s="129">
        <v>-55000</v>
      </c>
      <c r="AZ247" s="129">
        <v>0</v>
      </c>
      <c r="BA247" s="129">
        <v>0</v>
      </c>
      <c r="BB247" s="129">
        <v>0</v>
      </c>
      <c r="BC247" s="129">
        <v>0</v>
      </c>
      <c r="BD247" s="129">
        <v>0</v>
      </c>
      <c r="BE247" s="129">
        <v>0</v>
      </c>
      <c r="BF247" s="129">
        <v>-16022516</v>
      </c>
      <c r="BG247" s="129">
        <v>0</v>
      </c>
      <c r="BH247" s="129">
        <v>0</v>
      </c>
      <c r="BI247" s="129">
        <v>0</v>
      </c>
      <c r="BJ247" s="129">
        <v>-16022516</v>
      </c>
      <c r="BK247" s="129">
        <v>0</v>
      </c>
      <c r="BL247" s="129">
        <v>-16022516</v>
      </c>
      <c r="BM247" s="129">
        <v>-20000</v>
      </c>
      <c r="BN247" s="129">
        <v>0</v>
      </c>
      <c r="BO247" s="129">
        <v>-20000</v>
      </c>
      <c r="BP247" s="129">
        <v>-2553812</v>
      </c>
      <c r="BQ247" s="129">
        <v>0</v>
      </c>
      <c r="BR247" s="129">
        <v>-2553812</v>
      </c>
      <c r="BS247" s="129">
        <v>-2573812</v>
      </c>
      <c r="BT247" s="129">
        <v>0</v>
      </c>
      <c r="BU247" s="129">
        <v>-4112188</v>
      </c>
      <c r="BV247" s="129">
        <v>0</v>
      </c>
      <c r="BW247" s="129">
        <v>-6686000</v>
      </c>
      <c r="BX247" s="129">
        <v>0</v>
      </c>
      <c r="BY247" s="129">
        <v>-6686000</v>
      </c>
      <c r="BZ247" s="129">
        <v>0</v>
      </c>
      <c r="CA247" s="129">
        <v>0</v>
      </c>
      <c r="CB247" s="129">
        <v>0</v>
      </c>
      <c r="CC247" s="129">
        <v>-102077</v>
      </c>
      <c r="CD247" s="129">
        <v>0</v>
      </c>
      <c r="CE247" s="129">
        <v>-102077</v>
      </c>
      <c r="CF247" s="129">
        <v>0</v>
      </c>
      <c r="CG247" s="129">
        <v>0</v>
      </c>
      <c r="CH247" s="129">
        <v>0</v>
      </c>
      <c r="CI247" s="129">
        <v>0</v>
      </c>
      <c r="CJ247" s="129">
        <v>0</v>
      </c>
      <c r="CK247" s="129">
        <v>0</v>
      </c>
      <c r="CL247" s="129">
        <v>0</v>
      </c>
      <c r="CM247" s="129">
        <v>0</v>
      </c>
      <c r="CN247" s="129">
        <v>0</v>
      </c>
      <c r="CO247" s="129">
        <v>-20000</v>
      </c>
      <c r="CP247" s="129">
        <v>0</v>
      </c>
      <c r="CQ247" s="129">
        <v>-20000</v>
      </c>
      <c r="CR247" s="129">
        <v>0</v>
      </c>
      <c r="CS247" s="129">
        <v>0</v>
      </c>
      <c r="CT247" s="129">
        <v>-122077</v>
      </c>
      <c r="CU247" s="129">
        <v>0</v>
      </c>
      <c r="CV247" s="129">
        <v>0</v>
      </c>
      <c r="CW247" s="129">
        <v>0</v>
      </c>
      <c r="CX247" s="129">
        <v>-122077</v>
      </c>
      <c r="CY247" s="129">
        <v>0</v>
      </c>
      <c r="CZ247" s="129">
        <v>-122077</v>
      </c>
      <c r="DA247" s="129">
        <v>0</v>
      </c>
      <c r="DB247" s="129">
        <v>0</v>
      </c>
      <c r="DC247" s="129">
        <v>0</v>
      </c>
      <c r="DD247" s="129">
        <v>-25183</v>
      </c>
      <c r="DE247" s="129">
        <v>0</v>
      </c>
      <c r="DF247" s="129">
        <v>-25183</v>
      </c>
      <c r="DG247" s="129">
        <v>0</v>
      </c>
      <c r="DH247" s="129">
        <v>0</v>
      </c>
      <c r="DI247" s="129">
        <v>0</v>
      </c>
      <c r="DJ247" s="129">
        <v>-25183</v>
      </c>
      <c r="DK247" s="129">
        <v>0</v>
      </c>
      <c r="DL247" s="129">
        <v>0</v>
      </c>
      <c r="DM247" s="129">
        <v>0</v>
      </c>
      <c r="DN247" s="129">
        <v>-25183</v>
      </c>
      <c r="DO247" s="129">
        <v>0</v>
      </c>
      <c r="DP247" s="129">
        <v>-25183</v>
      </c>
      <c r="DQ247" s="129">
        <v>111052046</v>
      </c>
      <c r="DR247" s="129">
        <v>0</v>
      </c>
      <c r="DS247" s="129">
        <v>111052046</v>
      </c>
      <c r="DT247" s="662" t="s">
        <v>531</v>
      </c>
      <c r="DU247" s="324" t="s">
        <v>486</v>
      </c>
      <c r="DV247" s="663" t="s">
        <v>1914</v>
      </c>
      <c r="DW247" s="529" t="s">
        <v>1453</v>
      </c>
    </row>
    <row r="248" spans="1:127" ht="12.75" x14ac:dyDescent="0.2">
      <c r="A248" s="664">
        <v>241</v>
      </c>
      <c r="B248" s="665" t="s">
        <v>355</v>
      </c>
      <c r="C248" s="666" t="s">
        <v>486</v>
      </c>
      <c r="D248" s="667" t="s">
        <v>1211</v>
      </c>
      <c r="E248" s="668" t="s">
        <v>526</v>
      </c>
      <c r="F248" s="753" t="s">
        <v>1885</v>
      </c>
      <c r="G248" s="129">
        <v>119698013</v>
      </c>
      <c r="H248" s="129">
        <v>0</v>
      </c>
      <c r="I248" s="129">
        <v>119698013</v>
      </c>
      <c r="J248" s="793">
        <v>49.9</v>
      </c>
      <c r="K248" s="129">
        <v>59729308</v>
      </c>
      <c r="L248" s="129">
        <v>0</v>
      </c>
      <c r="M248" s="129">
        <v>0</v>
      </c>
      <c r="N248" s="129">
        <v>0</v>
      </c>
      <c r="O248" s="129">
        <v>59729308</v>
      </c>
      <c r="P248" s="129">
        <v>0</v>
      </c>
      <c r="Q248" s="129">
        <v>59729308</v>
      </c>
      <c r="R248" s="129">
        <v>-164437</v>
      </c>
      <c r="S248" s="129">
        <v>0</v>
      </c>
      <c r="T248" s="129">
        <v>-164437</v>
      </c>
      <c r="U248" s="129">
        <v>385205</v>
      </c>
      <c r="V248" s="129">
        <v>0</v>
      </c>
      <c r="W248" s="129">
        <v>385205</v>
      </c>
      <c r="X248" s="129">
        <v>220768</v>
      </c>
      <c r="Y248" s="129">
        <v>0</v>
      </c>
      <c r="Z248" s="129">
        <v>0</v>
      </c>
      <c r="AA248" s="129">
        <v>0</v>
      </c>
      <c r="AB248" s="129">
        <v>220768</v>
      </c>
      <c r="AC248" s="129">
        <v>0</v>
      </c>
      <c r="AD248" s="129">
        <v>220768</v>
      </c>
      <c r="AE248" s="129">
        <v>-220768</v>
      </c>
      <c r="AF248" s="129">
        <v>0</v>
      </c>
      <c r="AG248" s="129">
        <v>-220768</v>
      </c>
      <c r="AH248" s="129">
        <v>-8174458</v>
      </c>
      <c r="AI248" s="129">
        <v>0</v>
      </c>
      <c r="AJ248" s="129">
        <v>-8174458</v>
      </c>
      <c r="AK248" s="129">
        <v>-8934</v>
      </c>
      <c r="AL248" s="129">
        <v>0</v>
      </c>
      <c r="AM248" s="129">
        <v>-8934</v>
      </c>
      <c r="AN248" s="129">
        <v>973915</v>
      </c>
      <c r="AO248" s="129">
        <v>0</v>
      </c>
      <c r="AP248" s="129">
        <v>973915</v>
      </c>
      <c r="AQ248" s="129">
        <v>-7200543</v>
      </c>
      <c r="AR248" s="129">
        <v>0</v>
      </c>
      <c r="AS248" s="129">
        <v>-7200543</v>
      </c>
      <c r="AT248" s="129">
        <v>-5418113</v>
      </c>
      <c r="AU248" s="129">
        <v>0</v>
      </c>
      <c r="AV248" s="129">
        <v>-5418113</v>
      </c>
      <c r="AW248" s="129">
        <v>-55089</v>
      </c>
      <c r="AX248" s="129">
        <v>0</v>
      </c>
      <c r="AY248" s="129">
        <v>-55089</v>
      </c>
      <c r="AZ248" s="129">
        <v>0</v>
      </c>
      <c r="BA248" s="129">
        <v>0</v>
      </c>
      <c r="BB248" s="129">
        <v>0</v>
      </c>
      <c r="BC248" s="129">
        <v>0</v>
      </c>
      <c r="BD248" s="129">
        <v>0</v>
      </c>
      <c r="BE248" s="129">
        <v>0</v>
      </c>
      <c r="BF248" s="129">
        <v>-12673745</v>
      </c>
      <c r="BG248" s="129">
        <v>0</v>
      </c>
      <c r="BH248" s="129">
        <v>0</v>
      </c>
      <c r="BI248" s="129">
        <v>0</v>
      </c>
      <c r="BJ248" s="129">
        <v>-12673745</v>
      </c>
      <c r="BK248" s="129">
        <v>0</v>
      </c>
      <c r="BL248" s="129">
        <v>-12673745</v>
      </c>
      <c r="BM248" s="129">
        <v>0</v>
      </c>
      <c r="BN248" s="129">
        <v>0</v>
      </c>
      <c r="BO248" s="129">
        <v>0</v>
      </c>
      <c r="BP248" s="129">
        <v>-781609</v>
      </c>
      <c r="BQ248" s="129">
        <v>0</v>
      </c>
      <c r="BR248" s="129">
        <v>-781609</v>
      </c>
      <c r="BS248" s="129">
        <v>-781609</v>
      </c>
      <c r="BT248" s="129">
        <v>0</v>
      </c>
      <c r="BU248" s="129">
        <v>-400000</v>
      </c>
      <c r="BV248" s="129">
        <v>0</v>
      </c>
      <c r="BW248" s="129">
        <v>-1181609</v>
      </c>
      <c r="BX248" s="129">
        <v>0</v>
      </c>
      <c r="BY248" s="129">
        <v>-1181609</v>
      </c>
      <c r="BZ248" s="129">
        <v>-82939</v>
      </c>
      <c r="CA248" s="129">
        <v>0</v>
      </c>
      <c r="CB248" s="129">
        <v>-82939</v>
      </c>
      <c r="CC248" s="129">
        <v>-34979</v>
      </c>
      <c r="CD248" s="129">
        <v>0</v>
      </c>
      <c r="CE248" s="129">
        <v>-34979</v>
      </c>
      <c r="CF248" s="129">
        <v>-3942</v>
      </c>
      <c r="CG248" s="129">
        <v>0</v>
      </c>
      <c r="CH248" s="129">
        <v>-3942</v>
      </c>
      <c r="CI248" s="129">
        <v>0</v>
      </c>
      <c r="CJ248" s="129">
        <v>0</v>
      </c>
      <c r="CK248" s="129">
        <v>0</v>
      </c>
      <c r="CL248" s="129">
        <v>0</v>
      </c>
      <c r="CM248" s="129">
        <v>0</v>
      </c>
      <c r="CN248" s="129">
        <v>0</v>
      </c>
      <c r="CO248" s="129">
        <v>0</v>
      </c>
      <c r="CP248" s="129">
        <v>0</v>
      </c>
      <c r="CQ248" s="129">
        <v>0</v>
      </c>
      <c r="CR248" s="129">
        <v>0</v>
      </c>
      <c r="CS248" s="129">
        <v>0</v>
      </c>
      <c r="CT248" s="129">
        <v>-121860</v>
      </c>
      <c r="CU248" s="129">
        <v>0</v>
      </c>
      <c r="CV248" s="129">
        <v>0</v>
      </c>
      <c r="CW248" s="129">
        <v>0</v>
      </c>
      <c r="CX248" s="129">
        <v>-121860</v>
      </c>
      <c r="CY248" s="129">
        <v>0</v>
      </c>
      <c r="CZ248" s="129">
        <v>-121860</v>
      </c>
      <c r="DA248" s="129">
        <v>0</v>
      </c>
      <c r="DB248" s="129">
        <v>0</v>
      </c>
      <c r="DC248" s="129">
        <v>0</v>
      </c>
      <c r="DD248" s="129">
        <v>-7855</v>
      </c>
      <c r="DE248" s="129">
        <v>0</v>
      </c>
      <c r="DF248" s="129">
        <v>-7855</v>
      </c>
      <c r="DG248" s="129">
        <v>0</v>
      </c>
      <c r="DH248" s="129">
        <v>0</v>
      </c>
      <c r="DI248" s="129">
        <v>0</v>
      </c>
      <c r="DJ248" s="129">
        <v>-7855</v>
      </c>
      <c r="DK248" s="129">
        <v>0</v>
      </c>
      <c r="DL248" s="129">
        <v>0</v>
      </c>
      <c r="DM248" s="129">
        <v>0</v>
      </c>
      <c r="DN248" s="129">
        <v>-7855</v>
      </c>
      <c r="DO248" s="129">
        <v>0</v>
      </c>
      <c r="DP248" s="129">
        <v>-7855</v>
      </c>
      <c r="DQ248" s="129">
        <v>45965007</v>
      </c>
      <c r="DR248" s="129">
        <v>0</v>
      </c>
      <c r="DS248" s="129">
        <v>45965007</v>
      </c>
      <c r="DT248" s="662" t="s">
        <v>526</v>
      </c>
      <c r="DU248" s="324" t="s">
        <v>486</v>
      </c>
      <c r="DV248" s="663" t="s">
        <v>1913</v>
      </c>
      <c r="DW248" s="529" t="s">
        <v>1454</v>
      </c>
    </row>
    <row r="249" spans="1:127" ht="12.75" x14ac:dyDescent="0.2">
      <c r="A249" s="664">
        <v>242</v>
      </c>
      <c r="B249" s="665" t="s">
        <v>357</v>
      </c>
      <c r="C249" s="666" t="s">
        <v>1257</v>
      </c>
      <c r="D249" s="667" t="s">
        <v>1214</v>
      </c>
      <c r="E249" s="668" t="s">
        <v>356</v>
      </c>
      <c r="F249" s="753" t="s">
        <v>1879</v>
      </c>
      <c r="G249" s="129">
        <v>772952747</v>
      </c>
      <c r="H249" s="129">
        <v>0</v>
      </c>
      <c r="I249" s="129">
        <v>772952747</v>
      </c>
      <c r="J249" s="793">
        <v>49.9</v>
      </c>
      <c r="K249" s="129">
        <v>385703421</v>
      </c>
      <c r="L249" s="129">
        <v>0</v>
      </c>
      <c r="M249" s="129">
        <v>0</v>
      </c>
      <c r="N249" s="129">
        <v>0</v>
      </c>
      <c r="O249" s="129">
        <v>385703421</v>
      </c>
      <c r="P249" s="129">
        <v>0</v>
      </c>
      <c r="Q249" s="129">
        <v>385703421</v>
      </c>
      <c r="R249" s="129">
        <v>-2665264</v>
      </c>
      <c r="S249" s="129">
        <v>0</v>
      </c>
      <c r="T249" s="129">
        <v>-2665264</v>
      </c>
      <c r="U249" s="129">
        <v>220102</v>
      </c>
      <c r="V249" s="129">
        <v>0</v>
      </c>
      <c r="W249" s="129">
        <v>220102</v>
      </c>
      <c r="X249" s="129">
        <v>-2445162</v>
      </c>
      <c r="Y249" s="129">
        <v>0</v>
      </c>
      <c r="Z249" s="129">
        <v>25000</v>
      </c>
      <c r="AA249" s="129">
        <v>0</v>
      </c>
      <c r="AB249" s="129">
        <v>-2420162</v>
      </c>
      <c r="AC249" s="129">
        <v>0</v>
      </c>
      <c r="AD249" s="129">
        <v>-2420162</v>
      </c>
      <c r="AE249" s="129">
        <v>2420162</v>
      </c>
      <c r="AF249" s="129">
        <v>0</v>
      </c>
      <c r="AG249" s="129">
        <v>2420162</v>
      </c>
      <c r="AH249" s="129">
        <v>-9770686</v>
      </c>
      <c r="AI249" s="129">
        <v>0</v>
      </c>
      <c r="AJ249" s="129">
        <v>-9770686</v>
      </c>
      <c r="AK249" s="129">
        <v>0</v>
      </c>
      <c r="AL249" s="129">
        <v>0</v>
      </c>
      <c r="AM249" s="129">
        <v>0</v>
      </c>
      <c r="AN249" s="129">
        <v>8460112</v>
      </c>
      <c r="AO249" s="129">
        <v>0</v>
      </c>
      <c r="AP249" s="129">
        <v>8460112</v>
      </c>
      <c r="AQ249" s="129">
        <v>-1310574</v>
      </c>
      <c r="AR249" s="129">
        <v>0</v>
      </c>
      <c r="AS249" s="129">
        <v>-1310574</v>
      </c>
      <c r="AT249" s="129">
        <v>-38196027</v>
      </c>
      <c r="AU249" s="129">
        <v>0</v>
      </c>
      <c r="AV249" s="129">
        <v>-38196027</v>
      </c>
      <c r="AW249" s="129">
        <v>-27724</v>
      </c>
      <c r="AX249" s="129">
        <v>0</v>
      </c>
      <c r="AY249" s="129">
        <v>-27724</v>
      </c>
      <c r="AZ249" s="129">
        <v>0</v>
      </c>
      <c r="BA249" s="129">
        <v>0</v>
      </c>
      <c r="BB249" s="129">
        <v>0</v>
      </c>
      <c r="BC249" s="129">
        <v>0</v>
      </c>
      <c r="BD249" s="129">
        <v>0</v>
      </c>
      <c r="BE249" s="129">
        <v>0</v>
      </c>
      <c r="BF249" s="129">
        <v>-39534325</v>
      </c>
      <c r="BG249" s="129">
        <v>0</v>
      </c>
      <c r="BH249" s="129">
        <v>0</v>
      </c>
      <c r="BI249" s="129">
        <v>0</v>
      </c>
      <c r="BJ249" s="129">
        <v>-39534325</v>
      </c>
      <c r="BK249" s="129">
        <v>0</v>
      </c>
      <c r="BL249" s="129">
        <v>-39534325</v>
      </c>
      <c r="BM249" s="129">
        <v>0</v>
      </c>
      <c r="BN249" s="129">
        <v>0</v>
      </c>
      <c r="BO249" s="129">
        <v>0</v>
      </c>
      <c r="BP249" s="129">
        <v>-14722754</v>
      </c>
      <c r="BQ249" s="129">
        <v>0</v>
      </c>
      <c r="BR249" s="129">
        <v>-14722754</v>
      </c>
      <c r="BS249" s="129">
        <v>-14722754</v>
      </c>
      <c r="BT249" s="129">
        <v>0</v>
      </c>
      <c r="BU249" s="129">
        <v>0</v>
      </c>
      <c r="BV249" s="129">
        <v>0</v>
      </c>
      <c r="BW249" s="129">
        <v>-14722754</v>
      </c>
      <c r="BX249" s="129">
        <v>0</v>
      </c>
      <c r="BY249" s="129">
        <v>-14722754</v>
      </c>
      <c r="BZ249" s="129">
        <v>-205618</v>
      </c>
      <c r="CA249" s="129">
        <v>0</v>
      </c>
      <c r="CB249" s="129">
        <v>-205618</v>
      </c>
      <c r="CC249" s="129">
        <v>-23387</v>
      </c>
      <c r="CD249" s="129">
        <v>0</v>
      </c>
      <c r="CE249" s="129">
        <v>-23387</v>
      </c>
      <c r="CF249" s="129">
        <v>0</v>
      </c>
      <c r="CG249" s="129">
        <v>0</v>
      </c>
      <c r="CH249" s="129">
        <v>0</v>
      </c>
      <c r="CI249" s="129">
        <v>0</v>
      </c>
      <c r="CJ249" s="129">
        <v>0</v>
      </c>
      <c r="CK249" s="129">
        <v>0</v>
      </c>
      <c r="CL249" s="129">
        <v>0</v>
      </c>
      <c r="CM249" s="129">
        <v>0</v>
      </c>
      <c r="CN249" s="129">
        <v>0</v>
      </c>
      <c r="CO249" s="129">
        <v>0</v>
      </c>
      <c r="CP249" s="129">
        <v>0</v>
      </c>
      <c r="CQ249" s="129">
        <v>0</v>
      </c>
      <c r="CR249" s="129">
        <v>0</v>
      </c>
      <c r="CS249" s="129">
        <v>0</v>
      </c>
      <c r="CT249" s="129">
        <v>-229005</v>
      </c>
      <c r="CU249" s="129">
        <v>0</v>
      </c>
      <c r="CV249" s="129">
        <v>0</v>
      </c>
      <c r="CW249" s="129">
        <v>0</v>
      </c>
      <c r="CX249" s="129">
        <v>-229005</v>
      </c>
      <c r="CY249" s="129">
        <v>0</v>
      </c>
      <c r="CZ249" s="129">
        <v>-229005</v>
      </c>
      <c r="DA249" s="129">
        <v>0</v>
      </c>
      <c r="DB249" s="129">
        <v>0</v>
      </c>
      <c r="DC249" s="129">
        <v>0</v>
      </c>
      <c r="DD249" s="129">
        <v>-381981</v>
      </c>
      <c r="DE249" s="129">
        <v>0</v>
      </c>
      <c r="DF249" s="129">
        <v>-381981</v>
      </c>
      <c r="DG249" s="129">
        <v>0</v>
      </c>
      <c r="DH249" s="129">
        <v>0</v>
      </c>
      <c r="DI249" s="129">
        <v>0</v>
      </c>
      <c r="DJ249" s="129">
        <v>-381981</v>
      </c>
      <c r="DK249" s="129">
        <v>0</v>
      </c>
      <c r="DL249" s="129">
        <v>0</v>
      </c>
      <c r="DM249" s="129">
        <v>0</v>
      </c>
      <c r="DN249" s="129">
        <v>-381981</v>
      </c>
      <c r="DO249" s="129">
        <v>0</v>
      </c>
      <c r="DP249" s="129">
        <v>-381981</v>
      </c>
      <c r="DQ249" s="129">
        <v>328415194</v>
      </c>
      <c r="DR249" s="129">
        <v>0</v>
      </c>
      <c r="DS249" s="129">
        <v>328415194</v>
      </c>
      <c r="DT249" s="662" t="s">
        <v>356</v>
      </c>
      <c r="DU249" s="324" t="s">
        <v>576</v>
      </c>
      <c r="DV249" s="669" t="s">
        <v>485</v>
      </c>
      <c r="DW249" s="529" t="s">
        <v>1455</v>
      </c>
    </row>
    <row r="250" spans="1:127" ht="12.75" x14ac:dyDescent="0.2">
      <c r="A250" s="664">
        <v>243</v>
      </c>
      <c r="B250" s="665" t="s">
        <v>359</v>
      </c>
      <c r="C250" s="666" t="s">
        <v>1201</v>
      </c>
      <c r="D250" s="667" t="s">
        <v>1202</v>
      </c>
      <c r="E250" s="668" t="s">
        <v>358</v>
      </c>
      <c r="F250" s="753" t="s">
        <v>1876</v>
      </c>
      <c r="G250" s="129">
        <v>114981935</v>
      </c>
      <c r="H250" s="129">
        <v>0</v>
      </c>
      <c r="I250" s="129">
        <v>114981935</v>
      </c>
      <c r="J250" s="793">
        <v>49.9</v>
      </c>
      <c r="K250" s="129">
        <v>57375986</v>
      </c>
      <c r="L250" s="129">
        <v>0</v>
      </c>
      <c r="M250" s="129">
        <v>-3896275</v>
      </c>
      <c r="N250" s="129">
        <v>0</v>
      </c>
      <c r="O250" s="129">
        <v>53479711</v>
      </c>
      <c r="P250" s="129">
        <v>0</v>
      </c>
      <c r="Q250" s="129">
        <v>53479711</v>
      </c>
      <c r="R250" s="129">
        <v>-103916</v>
      </c>
      <c r="S250" s="129">
        <v>0</v>
      </c>
      <c r="T250" s="129">
        <v>-103916</v>
      </c>
      <c r="U250" s="129">
        <v>50542</v>
      </c>
      <c r="V250" s="129">
        <v>0</v>
      </c>
      <c r="W250" s="129">
        <v>50542</v>
      </c>
      <c r="X250" s="129">
        <v>-53374</v>
      </c>
      <c r="Y250" s="129">
        <v>0</v>
      </c>
      <c r="Z250" s="129">
        <v>0</v>
      </c>
      <c r="AA250" s="129">
        <v>0</v>
      </c>
      <c r="AB250" s="129">
        <v>-53374</v>
      </c>
      <c r="AC250" s="129">
        <v>0</v>
      </c>
      <c r="AD250" s="129">
        <v>-53374</v>
      </c>
      <c r="AE250" s="129">
        <v>53374</v>
      </c>
      <c r="AF250" s="129">
        <v>0</v>
      </c>
      <c r="AG250" s="129">
        <v>53374</v>
      </c>
      <c r="AH250" s="129">
        <v>-2589248</v>
      </c>
      <c r="AI250" s="129">
        <v>0</v>
      </c>
      <c r="AJ250" s="129">
        <v>-2589248</v>
      </c>
      <c r="AK250" s="129">
        <v>0</v>
      </c>
      <c r="AL250" s="129">
        <v>0</v>
      </c>
      <c r="AM250" s="129">
        <v>0</v>
      </c>
      <c r="AN250" s="129">
        <v>1193326</v>
      </c>
      <c r="AO250" s="129">
        <v>0</v>
      </c>
      <c r="AP250" s="129">
        <v>1193326</v>
      </c>
      <c r="AQ250" s="129">
        <v>-1395922</v>
      </c>
      <c r="AR250" s="129">
        <v>0</v>
      </c>
      <c r="AS250" s="129">
        <v>-1395922</v>
      </c>
      <c r="AT250" s="129">
        <v>-2604487</v>
      </c>
      <c r="AU250" s="129">
        <v>0</v>
      </c>
      <c r="AV250" s="129">
        <v>-2604487</v>
      </c>
      <c r="AW250" s="129">
        <v>-17469</v>
      </c>
      <c r="AX250" s="129">
        <v>0</v>
      </c>
      <c r="AY250" s="129">
        <v>-17469</v>
      </c>
      <c r="AZ250" s="129">
        <v>0</v>
      </c>
      <c r="BA250" s="129">
        <v>0</v>
      </c>
      <c r="BB250" s="129">
        <v>0</v>
      </c>
      <c r="BC250" s="129">
        <v>0</v>
      </c>
      <c r="BD250" s="129">
        <v>0</v>
      </c>
      <c r="BE250" s="129">
        <v>0</v>
      </c>
      <c r="BF250" s="129">
        <v>-4017878</v>
      </c>
      <c r="BG250" s="129">
        <v>0</v>
      </c>
      <c r="BH250" s="129">
        <v>0</v>
      </c>
      <c r="BI250" s="129">
        <v>0</v>
      </c>
      <c r="BJ250" s="129">
        <v>-4017878</v>
      </c>
      <c r="BK250" s="129">
        <v>0</v>
      </c>
      <c r="BL250" s="129">
        <v>-4017878</v>
      </c>
      <c r="BM250" s="129">
        <v>-48000</v>
      </c>
      <c r="BN250" s="129">
        <v>0</v>
      </c>
      <c r="BO250" s="129">
        <v>-48000</v>
      </c>
      <c r="BP250" s="129">
        <v>-1759711</v>
      </c>
      <c r="BQ250" s="129">
        <v>0</v>
      </c>
      <c r="BR250" s="129">
        <v>-1759711</v>
      </c>
      <c r="BS250" s="129">
        <v>-1807711</v>
      </c>
      <c r="BT250" s="129">
        <v>0</v>
      </c>
      <c r="BU250" s="129">
        <v>-500000</v>
      </c>
      <c r="BV250" s="129">
        <v>0</v>
      </c>
      <c r="BW250" s="129">
        <v>-2307711</v>
      </c>
      <c r="BX250" s="129">
        <v>0</v>
      </c>
      <c r="BY250" s="129">
        <v>-2307711</v>
      </c>
      <c r="BZ250" s="129">
        <v>-50277</v>
      </c>
      <c r="CA250" s="129">
        <v>0</v>
      </c>
      <c r="CB250" s="129">
        <v>-50277</v>
      </c>
      <c r="CC250" s="129">
        <v>-100523</v>
      </c>
      <c r="CD250" s="129">
        <v>0</v>
      </c>
      <c r="CE250" s="129">
        <v>-100523</v>
      </c>
      <c r="CF250" s="129">
        <v>-3702</v>
      </c>
      <c r="CG250" s="129">
        <v>0</v>
      </c>
      <c r="CH250" s="129">
        <v>-3702</v>
      </c>
      <c r="CI250" s="129">
        <v>0</v>
      </c>
      <c r="CJ250" s="129">
        <v>0</v>
      </c>
      <c r="CK250" s="129">
        <v>0</v>
      </c>
      <c r="CL250" s="129">
        <v>0</v>
      </c>
      <c r="CM250" s="129">
        <v>0</v>
      </c>
      <c r="CN250" s="129">
        <v>0</v>
      </c>
      <c r="CO250" s="129">
        <v>0</v>
      </c>
      <c r="CP250" s="129">
        <v>0</v>
      </c>
      <c r="CQ250" s="129">
        <v>0</v>
      </c>
      <c r="CR250" s="129">
        <v>0</v>
      </c>
      <c r="CS250" s="129">
        <v>0</v>
      </c>
      <c r="CT250" s="129">
        <v>-154502</v>
      </c>
      <c r="CU250" s="129">
        <v>0</v>
      </c>
      <c r="CV250" s="129">
        <v>0</v>
      </c>
      <c r="CW250" s="129">
        <v>0</v>
      </c>
      <c r="CX250" s="129">
        <v>-154502</v>
      </c>
      <c r="CY250" s="129">
        <v>0</v>
      </c>
      <c r="CZ250" s="129">
        <v>-154502</v>
      </c>
      <c r="DA250" s="129">
        <v>0</v>
      </c>
      <c r="DB250" s="129">
        <v>0</v>
      </c>
      <c r="DC250" s="129">
        <v>0</v>
      </c>
      <c r="DD250" s="129">
        <v>-12076</v>
      </c>
      <c r="DE250" s="129">
        <v>0</v>
      </c>
      <c r="DF250" s="129">
        <v>-12076</v>
      </c>
      <c r="DG250" s="129">
        <v>0</v>
      </c>
      <c r="DH250" s="129">
        <v>0</v>
      </c>
      <c r="DI250" s="129">
        <v>0</v>
      </c>
      <c r="DJ250" s="129">
        <v>-12076</v>
      </c>
      <c r="DK250" s="129">
        <v>0</v>
      </c>
      <c r="DL250" s="129">
        <v>-1433142</v>
      </c>
      <c r="DM250" s="129">
        <v>0</v>
      </c>
      <c r="DN250" s="129">
        <v>-1445218</v>
      </c>
      <c r="DO250" s="129">
        <v>0</v>
      </c>
      <c r="DP250" s="129">
        <v>-1445218</v>
      </c>
      <c r="DQ250" s="129">
        <v>45501028</v>
      </c>
      <c r="DR250" s="129">
        <v>0</v>
      </c>
      <c r="DS250" s="129">
        <v>45501028</v>
      </c>
      <c r="DT250" s="662" t="s">
        <v>358</v>
      </c>
      <c r="DU250" s="324" t="s">
        <v>566</v>
      </c>
      <c r="DV250" s="663" t="s">
        <v>512</v>
      </c>
      <c r="DW250" s="529" t="s">
        <v>1456</v>
      </c>
    </row>
    <row r="251" spans="1:127" ht="12.75" x14ac:dyDescent="0.2">
      <c r="A251" s="664">
        <v>244</v>
      </c>
      <c r="B251" s="665" t="s">
        <v>361</v>
      </c>
      <c r="C251" s="666" t="s">
        <v>1201</v>
      </c>
      <c r="D251" s="667" t="s">
        <v>1211</v>
      </c>
      <c r="E251" s="668" t="s">
        <v>360</v>
      </c>
      <c r="F251" s="753" t="s">
        <v>1896</v>
      </c>
      <c r="G251" s="129">
        <v>143045870</v>
      </c>
      <c r="H251" s="129">
        <v>3654775</v>
      </c>
      <c r="I251" s="129">
        <v>146700645</v>
      </c>
      <c r="J251" s="793">
        <v>49.9</v>
      </c>
      <c r="K251" s="129">
        <v>71379889</v>
      </c>
      <c r="L251" s="129">
        <v>1823733</v>
      </c>
      <c r="M251" s="129">
        <v>0</v>
      </c>
      <c r="N251" s="129">
        <v>0</v>
      </c>
      <c r="O251" s="129">
        <v>71379889</v>
      </c>
      <c r="P251" s="129">
        <v>1823733</v>
      </c>
      <c r="Q251" s="129">
        <v>73203622</v>
      </c>
      <c r="R251" s="129">
        <v>-91799</v>
      </c>
      <c r="S251" s="129">
        <v>0</v>
      </c>
      <c r="T251" s="129">
        <v>-91799</v>
      </c>
      <c r="U251" s="129">
        <v>84959</v>
      </c>
      <c r="V251" s="129">
        <v>0</v>
      </c>
      <c r="W251" s="129">
        <v>84959</v>
      </c>
      <c r="X251" s="129">
        <v>-6840</v>
      </c>
      <c r="Y251" s="129">
        <v>0</v>
      </c>
      <c r="Z251" s="129">
        <v>0</v>
      </c>
      <c r="AA251" s="129">
        <v>0</v>
      </c>
      <c r="AB251" s="129">
        <v>-6840</v>
      </c>
      <c r="AC251" s="129">
        <v>0</v>
      </c>
      <c r="AD251" s="129">
        <v>-6840</v>
      </c>
      <c r="AE251" s="129">
        <v>6840</v>
      </c>
      <c r="AF251" s="129">
        <v>0</v>
      </c>
      <c r="AG251" s="129">
        <v>6840</v>
      </c>
      <c r="AH251" s="129">
        <v>-3179037</v>
      </c>
      <c r="AI251" s="129">
        <v>-19440</v>
      </c>
      <c r="AJ251" s="129">
        <v>-3198477</v>
      </c>
      <c r="AK251" s="129">
        <v>0</v>
      </c>
      <c r="AL251" s="129">
        <v>0</v>
      </c>
      <c r="AM251" s="129">
        <v>0</v>
      </c>
      <c r="AN251" s="129">
        <v>1326958</v>
      </c>
      <c r="AO251" s="129">
        <v>43152</v>
      </c>
      <c r="AP251" s="129">
        <v>1370110</v>
      </c>
      <c r="AQ251" s="129">
        <v>-1852079</v>
      </c>
      <c r="AR251" s="129">
        <v>23712</v>
      </c>
      <c r="AS251" s="129">
        <v>-1828367</v>
      </c>
      <c r="AT251" s="129">
        <v>-5041559</v>
      </c>
      <c r="AU251" s="129">
        <v>-1220608</v>
      </c>
      <c r="AV251" s="129">
        <v>-6262167</v>
      </c>
      <c r="AW251" s="129">
        <v>-98980</v>
      </c>
      <c r="AX251" s="129">
        <v>0</v>
      </c>
      <c r="AY251" s="129">
        <v>-98980</v>
      </c>
      <c r="AZ251" s="129">
        <v>0</v>
      </c>
      <c r="BA251" s="129">
        <v>0</v>
      </c>
      <c r="BB251" s="129">
        <v>0</v>
      </c>
      <c r="BC251" s="129">
        <v>0</v>
      </c>
      <c r="BD251" s="129">
        <v>0</v>
      </c>
      <c r="BE251" s="129">
        <v>0</v>
      </c>
      <c r="BF251" s="129">
        <v>-6992618</v>
      </c>
      <c r="BG251" s="129">
        <v>-1196896</v>
      </c>
      <c r="BH251" s="129">
        <v>0</v>
      </c>
      <c r="BI251" s="129">
        <v>0</v>
      </c>
      <c r="BJ251" s="129">
        <v>-6992618</v>
      </c>
      <c r="BK251" s="129">
        <v>-1196896</v>
      </c>
      <c r="BL251" s="129">
        <v>-8189514</v>
      </c>
      <c r="BM251" s="129">
        <v>0</v>
      </c>
      <c r="BN251" s="129">
        <v>0</v>
      </c>
      <c r="BO251" s="129">
        <v>0</v>
      </c>
      <c r="BP251" s="129">
        <v>-1400000</v>
      </c>
      <c r="BQ251" s="129">
        <v>0</v>
      </c>
      <c r="BR251" s="129">
        <v>-1400000</v>
      </c>
      <c r="BS251" s="129">
        <v>-1400000</v>
      </c>
      <c r="BT251" s="129">
        <v>0</v>
      </c>
      <c r="BU251" s="129">
        <v>0</v>
      </c>
      <c r="BV251" s="129">
        <v>0</v>
      </c>
      <c r="BW251" s="129">
        <v>-1400000</v>
      </c>
      <c r="BX251" s="129">
        <v>0</v>
      </c>
      <c r="BY251" s="129">
        <v>-1400000</v>
      </c>
      <c r="BZ251" s="129">
        <v>-142450</v>
      </c>
      <c r="CA251" s="129">
        <v>0</v>
      </c>
      <c r="CB251" s="129">
        <v>-142450</v>
      </c>
      <c r="CC251" s="129">
        <v>-20804</v>
      </c>
      <c r="CD251" s="129">
        <v>0</v>
      </c>
      <c r="CE251" s="129">
        <v>-20804</v>
      </c>
      <c r="CF251" s="129">
        <v>0</v>
      </c>
      <c r="CG251" s="129">
        <v>0</v>
      </c>
      <c r="CH251" s="129">
        <v>0</v>
      </c>
      <c r="CI251" s="129">
        <v>0</v>
      </c>
      <c r="CJ251" s="129">
        <v>0</v>
      </c>
      <c r="CK251" s="129">
        <v>0</v>
      </c>
      <c r="CL251" s="129">
        <v>0</v>
      </c>
      <c r="CM251" s="129">
        <v>0</v>
      </c>
      <c r="CN251" s="129">
        <v>0</v>
      </c>
      <c r="CO251" s="129">
        <v>0</v>
      </c>
      <c r="CP251" s="129">
        <v>0</v>
      </c>
      <c r="CQ251" s="129">
        <v>0</v>
      </c>
      <c r="CR251" s="129">
        <v>0</v>
      </c>
      <c r="CS251" s="129">
        <v>0</v>
      </c>
      <c r="CT251" s="129">
        <v>-163254</v>
      </c>
      <c r="CU251" s="129">
        <v>0</v>
      </c>
      <c r="CV251" s="129">
        <v>0</v>
      </c>
      <c r="CW251" s="129">
        <v>0</v>
      </c>
      <c r="CX251" s="129">
        <v>-163254</v>
      </c>
      <c r="CY251" s="129">
        <v>0</v>
      </c>
      <c r="CZ251" s="129">
        <v>-163254</v>
      </c>
      <c r="DA251" s="129">
        <v>0</v>
      </c>
      <c r="DB251" s="129">
        <v>0</v>
      </c>
      <c r="DC251" s="129">
        <v>0</v>
      </c>
      <c r="DD251" s="129">
        <v>-14487</v>
      </c>
      <c r="DE251" s="129">
        <v>0</v>
      </c>
      <c r="DF251" s="129">
        <v>-14487</v>
      </c>
      <c r="DG251" s="129">
        <v>-1500</v>
      </c>
      <c r="DH251" s="129">
        <v>0</v>
      </c>
      <c r="DI251" s="129">
        <v>-1500</v>
      </c>
      <c r="DJ251" s="129">
        <v>-15987</v>
      </c>
      <c r="DK251" s="129">
        <v>0</v>
      </c>
      <c r="DL251" s="129">
        <v>0</v>
      </c>
      <c r="DM251" s="129">
        <v>0</v>
      </c>
      <c r="DN251" s="129">
        <v>-15987</v>
      </c>
      <c r="DO251" s="129">
        <v>0</v>
      </c>
      <c r="DP251" s="129">
        <v>-15987</v>
      </c>
      <c r="DQ251" s="129">
        <v>62801190</v>
      </c>
      <c r="DR251" s="129">
        <v>626837</v>
      </c>
      <c r="DS251" s="129">
        <v>63428027</v>
      </c>
      <c r="DT251" s="662" t="s">
        <v>360</v>
      </c>
      <c r="DU251" s="324" t="s">
        <v>536</v>
      </c>
      <c r="DV251" s="663" t="s">
        <v>512</v>
      </c>
      <c r="DW251" s="529" t="s">
        <v>1457</v>
      </c>
    </row>
    <row r="252" spans="1:127" ht="12.75" x14ac:dyDescent="0.2">
      <c r="A252" s="664">
        <v>245</v>
      </c>
      <c r="B252" s="665" t="s">
        <v>362</v>
      </c>
      <c r="C252" s="666" t="s">
        <v>1217</v>
      </c>
      <c r="D252" s="667" t="s">
        <v>1204</v>
      </c>
      <c r="E252" s="668" t="s">
        <v>817</v>
      </c>
      <c r="F252" s="753" t="s">
        <v>1891</v>
      </c>
      <c r="G252" s="129">
        <v>134044111</v>
      </c>
      <c r="H252" s="129">
        <v>0</v>
      </c>
      <c r="I252" s="129">
        <v>134044111</v>
      </c>
      <c r="J252" s="793">
        <v>49.9</v>
      </c>
      <c r="K252" s="129">
        <v>66888011</v>
      </c>
      <c r="L252" s="129">
        <v>0</v>
      </c>
      <c r="M252" s="129">
        <v>50000</v>
      </c>
      <c r="N252" s="129">
        <v>0</v>
      </c>
      <c r="O252" s="129">
        <v>66938011</v>
      </c>
      <c r="P252" s="129">
        <v>0</v>
      </c>
      <c r="Q252" s="129">
        <v>66938011</v>
      </c>
      <c r="R252" s="129">
        <v>-50785</v>
      </c>
      <c r="S252" s="129">
        <v>0</v>
      </c>
      <c r="T252" s="129">
        <v>-50785</v>
      </c>
      <c r="U252" s="129">
        <v>442045</v>
      </c>
      <c r="V252" s="129">
        <v>0</v>
      </c>
      <c r="W252" s="129">
        <v>442045</v>
      </c>
      <c r="X252" s="129">
        <v>391260</v>
      </c>
      <c r="Y252" s="129">
        <v>0</v>
      </c>
      <c r="Z252" s="129">
        <v>0</v>
      </c>
      <c r="AA252" s="129">
        <v>0</v>
      </c>
      <c r="AB252" s="129">
        <v>391260</v>
      </c>
      <c r="AC252" s="129">
        <v>0</v>
      </c>
      <c r="AD252" s="129">
        <v>391260</v>
      </c>
      <c r="AE252" s="129">
        <v>-391260</v>
      </c>
      <c r="AF252" s="129">
        <v>0</v>
      </c>
      <c r="AG252" s="129">
        <v>-391260</v>
      </c>
      <c r="AH252" s="129">
        <v>-5801433</v>
      </c>
      <c r="AI252" s="129">
        <v>0</v>
      </c>
      <c r="AJ252" s="129">
        <v>-5801433</v>
      </c>
      <c r="AK252" s="129">
        <v>-8142</v>
      </c>
      <c r="AL252" s="129">
        <v>0</v>
      </c>
      <c r="AM252" s="129">
        <v>-8142</v>
      </c>
      <c r="AN252" s="129">
        <v>1269041</v>
      </c>
      <c r="AO252" s="129">
        <v>0</v>
      </c>
      <c r="AP252" s="129">
        <v>1269041</v>
      </c>
      <c r="AQ252" s="129">
        <v>-4532392</v>
      </c>
      <c r="AR252" s="129">
        <v>0</v>
      </c>
      <c r="AS252" s="129">
        <v>-4532392</v>
      </c>
      <c r="AT252" s="129">
        <v>-3683191</v>
      </c>
      <c r="AU252" s="129">
        <v>0</v>
      </c>
      <c r="AV252" s="129">
        <v>-3683191</v>
      </c>
      <c r="AW252" s="129">
        <v>-76134</v>
      </c>
      <c r="AX252" s="129">
        <v>0</v>
      </c>
      <c r="AY252" s="129">
        <v>-76134</v>
      </c>
      <c r="AZ252" s="129">
        <v>0</v>
      </c>
      <c r="BA252" s="129">
        <v>0</v>
      </c>
      <c r="BB252" s="129">
        <v>0</v>
      </c>
      <c r="BC252" s="129">
        <v>0</v>
      </c>
      <c r="BD252" s="129">
        <v>0</v>
      </c>
      <c r="BE252" s="129">
        <v>0</v>
      </c>
      <c r="BF252" s="129">
        <v>-8291717</v>
      </c>
      <c r="BG252" s="129">
        <v>0</v>
      </c>
      <c r="BH252" s="129">
        <v>-20000</v>
      </c>
      <c r="BI252" s="129">
        <v>0</v>
      </c>
      <c r="BJ252" s="129">
        <v>-8311717</v>
      </c>
      <c r="BK252" s="129">
        <v>0</v>
      </c>
      <c r="BL252" s="129">
        <v>-8311717</v>
      </c>
      <c r="BM252" s="129">
        <v>0</v>
      </c>
      <c r="BN252" s="129">
        <v>0</v>
      </c>
      <c r="BO252" s="129">
        <v>0</v>
      </c>
      <c r="BP252" s="129">
        <v>-1987656</v>
      </c>
      <c r="BQ252" s="129">
        <v>0</v>
      </c>
      <c r="BR252" s="129">
        <v>-1987656</v>
      </c>
      <c r="BS252" s="129">
        <v>-1987656</v>
      </c>
      <c r="BT252" s="129">
        <v>0</v>
      </c>
      <c r="BU252" s="129">
        <v>-430000</v>
      </c>
      <c r="BV252" s="129">
        <v>0</v>
      </c>
      <c r="BW252" s="129">
        <v>-2417656</v>
      </c>
      <c r="BX252" s="129">
        <v>0</v>
      </c>
      <c r="BY252" s="129">
        <v>-2417656</v>
      </c>
      <c r="BZ252" s="129">
        <v>-161839</v>
      </c>
      <c r="CA252" s="129">
        <v>0</v>
      </c>
      <c r="CB252" s="129">
        <v>-161839</v>
      </c>
      <c r="CC252" s="129">
        <v>-17240</v>
      </c>
      <c r="CD252" s="129">
        <v>0</v>
      </c>
      <c r="CE252" s="129">
        <v>-17240</v>
      </c>
      <c r="CF252" s="129">
        <v>0</v>
      </c>
      <c r="CG252" s="129">
        <v>0</v>
      </c>
      <c r="CH252" s="129">
        <v>0</v>
      </c>
      <c r="CI252" s="129">
        <v>0</v>
      </c>
      <c r="CJ252" s="129">
        <v>0</v>
      </c>
      <c r="CK252" s="129">
        <v>0</v>
      </c>
      <c r="CL252" s="129">
        <v>0</v>
      </c>
      <c r="CM252" s="129">
        <v>0</v>
      </c>
      <c r="CN252" s="129">
        <v>0</v>
      </c>
      <c r="CO252" s="129">
        <v>0</v>
      </c>
      <c r="CP252" s="129">
        <v>0</v>
      </c>
      <c r="CQ252" s="129">
        <v>0</v>
      </c>
      <c r="CR252" s="129">
        <v>0</v>
      </c>
      <c r="CS252" s="129">
        <v>0</v>
      </c>
      <c r="CT252" s="129">
        <v>-179079</v>
      </c>
      <c r="CU252" s="129">
        <v>0</v>
      </c>
      <c r="CV252" s="129">
        <v>-180000</v>
      </c>
      <c r="CW252" s="129">
        <v>0</v>
      </c>
      <c r="CX252" s="129">
        <v>-359079</v>
      </c>
      <c r="CY252" s="129">
        <v>0</v>
      </c>
      <c r="CZ252" s="129">
        <v>-359079</v>
      </c>
      <c r="DA252" s="129">
        <v>0</v>
      </c>
      <c r="DB252" s="129">
        <v>0</v>
      </c>
      <c r="DC252" s="129">
        <v>0</v>
      </c>
      <c r="DD252" s="129">
        <v>-19624</v>
      </c>
      <c r="DE252" s="129">
        <v>0</v>
      </c>
      <c r="DF252" s="129">
        <v>-19624</v>
      </c>
      <c r="DG252" s="129">
        <v>0</v>
      </c>
      <c r="DH252" s="129">
        <v>0</v>
      </c>
      <c r="DI252" s="129">
        <v>0</v>
      </c>
      <c r="DJ252" s="129">
        <v>-19624</v>
      </c>
      <c r="DK252" s="129">
        <v>0</v>
      </c>
      <c r="DL252" s="129">
        <v>0</v>
      </c>
      <c r="DM252" s="129">
        <v>0</v>
      </c>
      <c r="DN252" s="129">
        <v>-19624</v>
      </c>
      <c r="DO252" s="129">
        <v>0</v>
      </c>
      <c r="DP252" s="129">
        <v>-19624</v>
      </c>
      <c r="DQ252" s="129">
        <v>56221195</v>
      </c>
      <c r="DR252" s="129">
        <v>0</v>
      </c>
      <c r="DS252" s="129">
        <v>56221195</v>
      </c>
      <c r="DT252" s="662" t="s">
        <v>817</v>
      </c>
      <c r="DU252" s="324" t="s">
        <v>570</v>
      </c>
      <c r="DV252" s="663" t="s">
        <v>571</v>
      </c>
      <c r="DW252" s="529" t="s">
        <v>1458</v>
      </c>
    </row>
    <row r="253" spans="1:127" ht="12.75" x14ac:dyDescent="0.2">
      <c r="A253" s="664">
        <v>246</v>
      </c>
      <c r="B253" s="665" t="s">
        <v>364</v>
      </c>
      <c r="C253" s="666" t="s">
        <v>1201</v>
      </c>
      <c r="D253" s="667" t="s">
        <v>1228</v>
      </c>
      <c r="E253" s="668" t="s">
        <v>363</v>
      </c>
      <c r="F253" s="753" t="s">
        <v>1875</v>
      </c>
      <c r="G253" s="129">
        <v>125644098</v>
      </c>
      <c r="H253" s="129">
        <v>0</v>
      </c>
      <c r="I253" s="129">
        <v>125644098</v>
      </c>
      <c r="J253" s="793">
        <v>49.9</v>
      </c>
      <c r="K253" s="129">
        <v>62696405</v>
      </c>
      <c r="L253" s="129">
        <v>0</v>
      </c>
      <c r="M253" s="129">
        <v>-1227495</v>
      </c>
      <c r="N253" s="129">
        <v>0</v>
      </c>
      <c r="O253" s="129">
        <v>61468910</v>
      </c>
      <c r="P253" s="129">
        <v>0</v>
      </c>
      <c r="Q253" s="129">
        <v>61468910</v>
      </c>
      <c r="R253" s="129">
        <v>-198637</v>
      </c>
      <c r="S253" s="129">
        <v>0</v>
      </c>
      <c r="T253" s="129">
        <v>-198637</v>
      </c>
      <c r="U253" s="129">
        <v>227670</v>
      </c>
      <c r="V253" s="129">
        <v>0</v>
      </c>
      <c r="W253" s="129">
        <v>227670</v>
      </c>
      <c r="X253" s="129">
        <v>29033</v>
      </c>
      <c r="Y253" s="129">
        <v>0</v>
      </c>
      <c r="Z253" s="129">
        <v>0</v>
      </c>
      <c r="AA253" s="129">
        <v>0</v>
      </c>
      <c r="AB253" s="129">
        <v>29033</v>
      </c>
      <c r="AC253" s="129">
        <v>0</v>
      </c>
      <c r="AD253" s="129">
        <v>29033</v>
      </c>
      <c r="AE253" s="129">
        <v>-29033</v>
      </c>
      <c r="AF253" s="129">
        <v>0</v>
      </c>
      <c r="AG253" s="129">
        <v>-29033</v>
      </c>
      <c r="AH253" s="129">
        <v>-5098486</v>
      </c>
      <c r="AI253" s="129">
        <v>0</v>
      </c>
      <c r="AJ253" s="129">
        <v>-5098486</v>
      </c>
      <c r="AK253" s="129">
        <v>0</v>
      </c>
      <c r="AL253" s="129">
        <v>0</v>
      </c>
      <c r="AM253" s="129">
        <v>0</v>
      </c>
      <c r="AN253" s="129">
        <v>1159460</v>
      </c>
      <c r="AO253" s="129">
        <v>0</v>
      </c>
      <c r="AP253" s="129">
        <v>1159460</v>
      </c>
      <c r="AQ253" s="129">
        <v>-3939026</v>
      </c>
      <c r="AR253" s="129">
        <v>0</v>
      </c>
      <c r="AS253" s="129">
        <v>-3939026</v>
      </c>
      <c r="AT253" s="129">
        <v>-2996902</v>
      </c>
      <c r="AU253" s="129">
        <v>0</v>
      </c>
      <c r="AV253" s="129">
        <v>-2996902</v>
      </c>
      <c r="AW253" s="129">
        <v>-68403</v>
      </c>
      <c r="AX253" s="129">
        <v>0</v>
      </c>
      <c r="AY253" s="129">
        <v>-68403</v>
      </c>
      <c r="AZ253" s="129">
        <v>-16710</v>
      </c>
      <c r="BA253" s="129">
        <v>0</v>
      </c>
      <c r="BB253" s="129">
        <v>-16710</v>
      </c>
      <c r="BC253" s="129">
        <v>0</v>
      </c>
      <c r="BD253" s="129">
        <v>0</v>
      </c>
      <c r="BE253" s="129">
        <v>0</v>
      </c>
      <c r="BF253" s="129">
        <v>-7021041</v>
      </c>
      <c r="BG253" s="129">
        <v>0</v>
      </c>
      <c r="BH253" s="129">
        <v>0</v>
      </c>
      <c r="BI253" s="129">
        <v>0</v>
      </c>
      <c r="BJ253" s="129">
        <v>-7021041</v>
      </c>
      <c r="BK253" s="129">
        <v>0</v>
      </c>
      <c r="BL253" s="129">
        <v>-7021041</v>
      </c>
      <c r="BM253" s="129">
        <v>0</v>
      </c>
      <c r="BN253" s="129">
        <v>0</v>
      </c>
      <c r="BO253" s="129">
        <v>0</v>
      </c>
      <c r="BP253" s="129">
        <v>-3208825</v>
      </c>
      <c r="BQ253" s="129">
        <v>0</v>
      </c>
      <c r="BR253" s="129">
        <v>-3208825</v>
      </c>
      <c r="BS253" s="129">
        <v>-3208825</v>
      </c>
      <c r="BT253" s="129">
        <v>0</v>
      </c>
      <c r="BU253" s="129">
        <v>0</v>
      </c>
      <c r="BV253" s="129">
        <v>0</v>
      </c>
      <c r="BW253" s="129">
        <v>-3208825</v>
      </c>
      <c r="BX253" s="129">
        <v>0</v>
      </c>
      <c r="BY253" s="129">
        <v>-3208825</v>
      </c>
      <c r="BZ253" s="129">
        <v>-279721</v>
      </c>
      <c r="CA253" s="129">
        <v>0</v>
      </c>
      <c r="CB253" s="129">
        <v>-279721</v>
      </c>
      <c r="CC253" s="129">
        <v>-81399</v>
      </c>
      <c r="CD253" s="129">
        <v>0</v>
      </c>
      <c r="CE253" s="129">
        <v>-81399</v>
      </c>
      <c r="CF253" s="129">
        <v>-7301</v>
      </c>
      <c r="CG253" s="129">
        <v>0</v>
      </c>
      <c r="CH253" s="129">
        <v>-7301</v>
      </c>
      <c r="CI253" s="129">
        <v>0</v>
      </c>
      <c r="CJ253" s="129">
        <v>0</v>
      </c>
      <c r="CK253" s="129">
        <v>0</v>
      </c>
      <c r="CL253" s="129">
        <v>0</v>
      </c>
      <c r="CM253" s="129">
        <v>0</v>
      </c>
      <c r="CN253" s="129">
        <v>0</v>
      </c>
      <c r="CO253" s="129">
        <v>-41283</v>
      </c>
      <c r="CP253" s="129">
        <v>0</v>
      </c>
      <c r="CQ253" s="129">
        <v>-41283</v>
      </c>
      <c r="CR253" s="129">
        <v>0</v>
      </c>
      <c r="CS253" s="129">
        <v>0</v>
      </c>
      <c r="CT253" s="129">
        <v>-409704</v>
      </c>
      <c r="CU253" s="129">
        <v>0</v>
      </c>
      <c r="CV253" s="129">
        <v>0</v>
      </c>
      <c r="CW253" s="129">
        <v>0</v>
      </c>
      <c r="CX253" s="129">
        <v>-409704</v>
      </c>
      <c r="CY253" s="129">
        <v>0</v>
      </c>
      <c r="CZ253" s="129">
        <v>-409704</v>
      </c>
      <c r="DA253" s="129">
        <v>-16044</v>
      </c>
      <c r="DB253" s="129">
        <v>0</v>
      </c>
      <c r="DC253" s="129">
        <v>-16044</v>
      </c>
      <c r="DD253" s="129">
        <v>-19420</v>
      </c>
      <c r="DE253" s="129">
        <v>0</v>
      </c>
      <c r="DF253" s="129">
        <v>-19420</v>
      </c>
      <c r="DG253" s="129">
        <v>0</v>
      </c>
      <c r="DH253" s="129">
        <v>0</v>
      </c>
      <c r="DI253" s="129">
        <v>0</v>
      </c>
      <c r="DJ253" s="129">
        <v>-35464</v>
      </c>
      <c r="DK253" s="129">
        <v>0</v>
      </c>
      <c r="DL253" s="129">
        <v>0</v>
      </c>
      <c r="DM253" s="129">
        <v>0</v>
      </c>
      <c r="DN253" s="129">
        <v>-35464</v>
      </c>
      <c r="DO253" s="129">
        <v>0</v>
      </c>
      <c r="DP253" s="129">
        <v>-35464</v>
      </c>
      <c r="DQ253" s="129">
        <v>50822909</v>
      </c>
      <c r="DR253" s="129">
        <v>0</v>
      </c>
      <c r="DS253" s="129">
        <v>50822909</v>
      </c>
      <c r="DT253" s="662" t="s">
        <v>363</v>
      </c>
      <c r="DU253" s="324" t="s">
        <v>564</v>
      </c>
      <c r="DV253" s="663" t="s">
        <v>1917</v>
      </c>
      <c r="DW253" s="529" t="s">
        <v>1459</v>
      </c>
    </row>
    <row r="254" spans="1:127" ht="12.75" x14ac:dyDescent="0.2">
      <c r="A254" s="664">
        <v>247</v>
      </c>
      <c r="B254" s="665" t="s">
        <v>366</v>
      </c>
      <c r="C254" s="666" t="s">
        <v>1201</v>
      </c>
      <c r="D254" s="667" t="s">
        <v>1228</v>
      </c>
      <c r="E254" s="668" t="s">
        <v>365</v>
      </c>
      <c r="F254" s="753" t="s">
        <v>1882</v>
      </c>
      <c r="G254" s="129">
        <v>56065990</v>
      </c>
      <c r="H254" s="129">
        <v>0</v>
      </c>
      <c r="I254" s="129">
        <v>56065990</v>
      </c>
      <c r="J254" s="793">
        <v>49.9</v>
      </c>
      <c r="K254" s="129">
        <v>27976929</v>
      </c>
      <c r="L254" s="129">
        <v>0</v>
      </c>
      <c r="M254" s="129">
        <v>-632433</v>
      </c>
      <c r="N254" s="129">
        <v>0</v>
      </c>
      <c r="O254" s="129">
        <v>27344496</v>
      </c>
      <c r="P254" s="129">
        <v>0</v>
      </c>
      <c r="Q254" s="129">
        <v>27344496</v>
      </c>
      <c r="R254" s="129">
        <v>-338957</v>
      </c>
      <c r="S254" s="129">
        <v>0</v>
      </c>
      <c r="T254" s="129">
        <v>-338957</v>
      </c>
      <c r="U254" s="129">
        <v>45121</v>
      </c>
      <c r="V254" s="129">
        <v>0</v>
      </c>
      <c r="W254" s="129">
        <v>45121</v>
      </c>
      <c r="X254" s="129">
        <v>-293836</v>
      </c>
      <c r="Y254" s="129">
        <v>0</v>
      </c>
      <c r="Z254" s="129">
        <v>0</v>
      </c>
      <c r="AA254" s="129">
        <v>0</v>
      </c>
      <c r="AB254" s="129">
        <v>-293836</v>
      </c>
      <c r="AC254" s="129">
        <v>0</v>
      </c>
      <c r="AD254" s="129">
        <v>-293836</v>
      </c>
      <c r="AE254" s="129">
        <v>293836</v>
      </c>
      <c r="AF254" s="129">
        <v>0</v>
      </c>
      <c r="AG254" s="129">
        <v>293836</v>
      </c>
      <c r="AH254" s="129">
        <v>-4169725</v>
      </c>
      <c r="AI254" s="129">
        <v>0</v>
      </c>
      <c r="AJ254" s="129">
        <v>-4169725</v>
      </c>
      <c r="AK254" s="129">
        <v>0</v>
      </c>
      <c r="AL254" s="129">
        <v>0</v>
      </c>
      <c r="AM254" s="129">
        <v>0</v>
      </c>
      <c r="AN254" s="129">
        <v>446220</v>
      </c>
      <c r="AO254" s="129">
        <v>0</v>
      </c>
      <c r="AP254" s="129">
        <v>446220</v>
      </c>
      <c r="AQ254" s="129">
        <v>-3723505</v>
      </c>
      <c r="AR254" s="129">
        <v>0</v>
      </c>
      <c r="AS254" s="129">
        <v>-3723505</v>
      </c>
      <c r="AT254" s="129">
        <v>-1414974</v>
      </c>
      <c r="AU254" s="129">
        <v>0</v>
      </c>
      <c r="AV254" s="129">
        <v>-1414974</v>
      </c>
      <c r="AW254" s="129">
        <v>-49522</v>
      </c>
      <c r="AX254" s="129">
        <v>0</v>
      </c>
      <c r="AY254" s="129">
        <v>-49522</v>
      </c>
      <c r="AZ254" s="129">
        <v>-11827</v>
      </c>
      <c r="BA254" s="129">
        <v>0</v>
      </c>
      <c r="BB254" s="129">
        <v>-11827</v>
      </c>
      <c r="BC254" s="129">
        <v>0</v>
      </c>
      <c r="BD254" s="129">
        <v>0</v>
      </c>
      <c r="BE254" s="129">
        <v>0</v>
      </c>
      <c r="BF254" s="129">
        <v>-5199828</v>
      </c>
      <c r="BG254" s="129">
        <v>0</v>
      </c>
      <c r="BH254" s="129">
        <v>0</v>
      </c>
      <c r="BI254" s="129">
        <v>0</v>
      </c>
      <c r="BJ254" s="129">
        <v>-5199828</v>
      </c>
      <c r="BK254" s="129">
        <v>0</v>
      </c>
      <c r="BL254" s="129">
        <v>-5199828</v>
      </c>
      <c r="BM254" s="129">
        <v>-50000</v>
      </c>
      <c r="BN254" s="129">
        <v>0</v>
      </c>
      <c r="BO254" s="129">
        <v>-50000</v>
      </c>
      <c r="BP254" s="129">
        <v>-540699</v>
      </c>
      <c r="BQ254" s="129">
        <v>0</v>
      </c>
      <c r="BR254" s="129">
        <v>-540699</v>
      </c>
      <c r="BS254" s="129">
        <v>-590699</v>
      </c>
      <c r="BT254" s="129">
        <v>0</v>
      </c>
      <c r="BU254" s="129">
        <v>0</v>
      </c>
      <c r="BV254" s="129">
        <v>0</v>
      </c>
      <c r="BW254" s="129">
        <v>-590699</v>
      </c>
      <c r="BX254" s="129">
        <v>0</v>
      </c>
      <c r="BY254" s="129">
        <v>-590699</v>
      </c>
      <c r="BZ254" s="129">
        <v>-44994</v>
      </c>
      <c r="CA254" s="129">
        <v>0</v>
      </c>
      <c r="CB254" s="129">
        <v>-44994</v>
      </c>
      <c r="CC254" s="129">
        <v>-383783</v>
      </c>
      <c r="CD254" s="129">
        <v>0</v>
      </c>
      <c r="CE254" s="129">
        <v>-383783</v>
      </c>
      <c r="CF254" s="129">
        <v>-3210</v>
      </c>
      <c r="CG254" s="129">
        <v>0</v>
      </c>
      <c r="CH254" s="129">
        <v>-3210</v>
      </c>
      <c r="CI254" s="129">
        <v>0</v>
      </c>
      <c r="CJ254" s="129">
        <v>0</v>
      </c>
      <c r="CK254" s="129">
        <v>0</v>
      </c>
      <c r="CL254" s="129">
        <v>0</v>
      </c>
      <c r="CM254" s="129">
        <v>0</v>
      </c>
      <c r="CN254" s="129">
        <v>0</v>
      </c>
      <c r="CO254" s="129">
        <v>0</v>
      </c>
      <c r="CP254" s="129">
        <v>0</v>
      </c>
      <c r="CQ254" s="129">
        <v>0</v>
      </c>
      <c r="CR254" s="129">
        <v>0</v>
      </c>
      <c r="CS254" s="129">
        <v>0</v>
      </c>
      <c r="CT254" s="129">
        <v>-431987</v>
      </c>
      <c r="CU254" s="129">
        <v>0</v>
      </c>
      <c r="CV254" s="129">
        <v>0</v>
      </c>
      <c r="CW254" s="129">
        <v>0</v>
      </c>
      <c r="CX254" s="129">
        <v>-431987</v>
      </c>
      <c r="CY254" s="129">
        <v>0</v>
      </c>
      <c r="CZ254" s="129">
        <v>-431987</v>
      </c>
      <c r="DA254" s="129">
        <v>-11827</v>
      </c>
      <c r="DB254" s="129">
        <v>0</v>
      </c>
      <c r="DC254" s="129">
        <v>-11827</v>
      </c>
      <c r="DD254" s="129">
        <v>0</v>
      </c>
      <c r="DE254" s="129">
        <v>0</v>
      </c>
      <c r="DF254" s="129">
        <v>0</v>
      </c>
      <c r="DG254" s="129">
        <v>0</v>
      </c>
      <c r="DH254" s="129">
        <v>0</v>
      </c>
      <c r="DI254" s="129">
        <v>0</v>
      </c>
      <c r="DJ254" s="129">
        <v>-11827</v>
      </c>
      <c r="DK254" s="129">
        <v>0</v>
      </c>
      <c r="DL254" s="129">
        <v>0</v>
      </c>
      <c r="DM254" s="129">
        <v>0</v>
      </c>
      <c r="DN254" s="129">
        <v>-11827</v>
      </c>
      <c r="DO254" s="129">
        <v>0</v>
      </c>
      <c r="DP254" s="129">
        <v>-11827</v>
      </c>
      <c r="DQ254" s="129">
        <v>20816319</v>
      </c>
      <c r="DR254" s="129">
        <v>0</v>
      </c>
      <c r="DS254" s="129">
        <v>20816319</v>
      </c>
      <c r="DT254" s="662" t="s">
        <v>365</v>
      </c>
      <c r="DU254" s="324" t="s">
        <v>564</v>
      </c>
      <c r="DV254" s="663" t="s">
        <v>1917</v>
      </c>
      <c r="DW254" s="529" t="s">
        <v>1460</v>
      </c>
    </row>
    <row r="255" spans="1:127" ht="12.75" x14ac:dyDescent="0.2">
      <c r="A255" s="664">
        <v>248</v>
      </c>
      <c r="B255" s="665" t="s">
        <v>368</v>
      </c>
      <c r="C255" s="666" t="s">
        <v>1201</v>
      </c>
      <c r="D255" s="667" t="s">
        <v>1211</v>
      </c>
      <c r="E255" s="668" t="s">
        <v>367</v>
      </c>
      <c r="F255" s="753" t="s">
        <v>1879</v>
      </c>
      <c r="G255" s="129">
        <v>108473182</v>
      </c>
      <c r="H255" s="129">
        <v>0</v>
      </c>
      <c r="I255" s="129">
        <v>108473182</v>
      </c>
      <c r="J255" s="793">
        <v>49.9</v>
      </c>
      <c r="K255" s="129">
        <v>54128118</v>
      </c>
      <c r="L255" s="129">
        <v>0</v>
      </c>
      <c r="M255" s="129">
        <v>-699349</v>
      </c>
      <c r="N255" s="129">
        <v>0</v>
      </c>
      <c r="O255" s="129">
        <v>53428769</v>
      </c>
      <c r="P255" s="129">
        <v>0</v>
      </c>
      <c r="Q255" s="129">
        <v>53428769</v>
      </c>
      <c r="R255" s="129">
        <v>-15589</v>
      </c>
      <c r="S255" s="129">
        <v>0</v>
      </c>
      <c r="T255" s="129">
        <v>-15589</v>
      </c>
      <c r="U255" s="129">
        <v>163273</v>
      </c>
      <c r="V255" s="129">
        <v>0</v>
      </c>
      <c r="W255" s="129">
        <v>163273</v>
      </c>
      <c r="X255" s="129">
        <v>147684</v>
      </c>
      <c r="Y255" s="129">
        <v>0</v>
      </c>
      <c r="Z255" s="129">
        <v>0</v>
      </c>
      <c r="AA255" s="129">
        <v>0</v>
      </c>
      <c r="AB255" s="129">
        <v>147684</v>
      </c>
      <c r="AC255" s="129">
        <v>0</v>
      </c>
      <c r="AD255" s="129">
        <v>147684</v>
      </c>
      <c r="AE255" s="129">
        <v>-147684</v>
      </c>
      <c r="AF255" s="129">
        <v>0</v>
      </c>
      <c r="AG255" s="129">
        <v>-147684</v>
      </c>
      <c r="AH255" s="129">
        <v>-1982355</v>
      </c>
      <c r="AI255" s="129">
        <v>0</v>
      </c>
      <c r="AJ255" s="129">
        <v>-1982355</v>
      </c>
      <c r="AK255" s="129">
        <v>0</v>
      </c>
      <c r="AL255" s="129">
        <v>0</v>
      </c>
      <c r="AM255" s="129">
        <v>0</v>
      </c>
      <c r="AN255" s="129">
        <v>1151713</v>
      </c>
      <c r="AO255" s="129">
        <v>0</v>
      </c>
      <c r="AP255" s="129">
        <v>1151713</v>
      </c>
      <c r="AQ255" s="129">
        <v>-830642</v>
      </c>
      <c r="AR255" s="129">
        <v>0</v>
      </c>
      <c r="AS255" s="129">
        <v>-830642</v>
      </c>
      <c r="AT255" s="129">
        <v>-2549797</v>
      </c>
      <c r="AU255" s="129">
        <v>0</v>
      </c>
      <c r="AV255" s="129">
        <v>-2549797</v>
      </c>
      <c r="AW255" s="129">
        <v>-4506</v>
      </c>
      <c r="AX255" s="129">
        <v>0</v>
      </c>
      <c r="AY255" s="129">
        <v>-4506</v>
      </c>
      <c r="AZ255" s="129">
        <v>0</v>
      </c>
      <c r="BA255" s="129">
        <v>0</v>
      </c>
      <c r="BB255" s="129">
        <v>0</v>
      </c>
      <c r="BC255" s="129">
        <v>0</v>
      </c>
      <c r="BD255" s="129">
        <v>0</v>
      </c>
      <c r="BE255" s="129">
        <v>0</v>
      </c>
      <c r="BF255" s="129">
        <v>-3384945</v>
      </c>
      <c r="BG255" s="129">
        <v>0</v>
      </c>
      <c r="BH255" s="129">
        <v>0</v>
      </c>
      <c r="BI255" s="129">
        <v>0</v>
      </c>
      <c r="BJ255" s="129">
        <v>-3384945</v>
      </c>
      <c r="BK255" s="129">
        <v>0</v>
      </c>
      <c r="BL255" s="129">
        <v>-3384945</v>
      </c>
      <c r="BM255" s="129">
        <v>0</v>
      </c>
      <c r="BN255" s="129">
        <v>0</v>
      </c>
      <c r="BO255" s="129">
        <v>0</v>
      </c>
      <c r="BP255" s="129">
        <v>-1017965</v>
      </c>
      <c r="BQ255" s="129">
        <v>0</v>
      </c>
      <c r="BR255" s="129">
        <v>-1017965</v>
      </c>
      <c r="BS255" s="129">
        <v>-1017965</v>
      </c>
      <c r="BT255" s="129">
        <v>0</v>
      </c>
      <c r="BU255" s="129">
        <v>0</v>
      </c>
      <c r="BV255" s="129">
        <v>0</v>
      </c>
      <c r="BW255" s="129">
        <v>-1017965</v>
      </c>
      <c r="BX255" s="129">
        <v>0</v>
      </c>
      <c r="BY255" s="129">
        <v>-1017965</v>
      </c>
      <c r="BZ255" s="129">
        <v>-107616</v>
      </c>
      <c r="CA255" s="129">
        <v>0</v>
      </c>
      <c r="CB255" s="129">
        <v>-107616</v>
      </c>
      <c r="CC255" s="129">
        <v>-46207</v>
      </c>
      <c r="CD255" s="129">
        <v>0</v>
      </c>
      <c r="CE255" s="129">
        <v>-46207</v>
      </c>
      <c r="CF255" s="129">
        <v>0</v>
      </c>
      <c r="CG255" s="129">
        <v>0</v>
      </c>
      <c r="CH255" s="129">
        <v>0</v>
      </c>
      <c r="CI255" s="129">
        <v>0</v>
      </c>
      <c r="CJ255" s="129">
        <v>0</v>
      </c>
      <c r="CK255" s="129">
        <v>0</v>
      </c>
      <c r="CL255" s="129">
        <v>0</v>
      </c>
      <c r="CM255" s="129">
        <v>0</v>
      </c>
      <c r="CN255" s="129">
        <v>0</v>
      </c>
      <c r="CO255" s="129">
        <v>0</v>
      </c>
      <c r="CP255" s="129">
        <v>0</v>
      </c>
      <c r="CQ255" s="129">
        <v>0</v>
      </c>
      <c r="CR255" s="129">
        <v>0</v>
      </c>
      <c r="CS255" s="129">
        <v>0</v>
      </c>
      <c r="CT255" s="129">
        <v>-153823</v>
      </c>
      <c r="CU255" s="129">
        <v>0</v>
      </c>
      <c r="CV255" s="129">
        <v>0</v>
      </c>
      <c r="CW255" s="129">
        <v>0</v>
      </c>
      <c r="CX255" s="129">
        <v>-153823</v>
      </c>
      <c r="CY255" s="129">
        <v>0</v>
      </c>
      <c r="CZ255" s="129">
        <v>-153823</v>
      </c>
      <c r="DA255" s="129">
        <v>0</v>
      </c>
      <c r="DB255" s="129">
        <v>0</v>
      </c>
      <c r="DC255" s="129">
        <v>0</v>
      </c>
      <c r="DD255" s="129">
        <v>-1000</v>
      </c>
      <c r="DE255" s="129">
        <v>0</v>
      </c>
      <c r="DF255" s="129">
        <v>-1000</v>
      </c>
      <c r="DG255" s="129">
        <v>0</v>
      </c>
      <c r="DH255" s="129">
        <v>0</v>
      </c>
      <c r="DI255" s="129">
        <v>0</v>
      </c>
      <c r="DJ255" s="129">
        <v>-1000</v>
      </c>
      <c r="DK255" s="129">
        <v>0</v>
      </c>
      <c r="DL255" s="129">
        <v>0</v>
      </c>
      <c r="DM255" s="129">
        <v>0</v>
      </c>
      <c r="DN255" s="129">
        <v>-1000</v>
      </c>
      <c r="DO255" s="129">
        <v>0</v>
      </c>
      <c r="DP255" s="129">
        <v>-1000</v>
      </c>
      <c r="DQ255" s="129">
        <v>49018720</v>
      </c>
      <c r="DR255" s="129">
        <v>0</v>
      </c>
      <c r="DS255" s="129">
        <v>49018720</v>
      </c>
      <c r="DT255" s="662" t="s">
        <v>367</v>
      </c>
      <c r="DU255" s="324" t="s">
        <v>536</v>
      </c>
      <c r="DV255" s="663" t="s">
        <v>512</v>
      </c>
      <c r="DW255" s="529" t="s">
        <v>1461</v>
      </c>
    </row>
    <row r="256" spans="1:127" ht="12.75" x14ac:dyDescent="0.2">
      <c r="A256" s="664">
        <v>249</v>
      </c>
      <c r="B256" s="665" t="s">
        <v>370</v>
      </c>
      <c r="C256" s="666" t="s">
        <v>1217</v>
      </c>
      <c r="D256" s="667" t="s">
        <v>1204</v>
      </c>
      <c r="E256" s="668" t="s">
        <v>369</v>
      </c>
      <c r="F256" s="753" t="s">
        <v>1903</v>
      </c>
      <c r="G256" s="129">
        <v>225122441</v>
      </c>
      <c r="H256" s="129">
        <v>0</v>
      </c>
      <c r="I256" s="129">
        <v>225122441</v>
      </c>
      <c r="J256" s="793">
        <v>49.9</v>
      </c>
      <c r="K256" s="129">
        <v>112336098</v>
      </c>
      <c r="L256" s="129">
        <v>0</v>
      </c>
      <c r="M256" s="129">
        <v>0</v>
      </c>
      <c r="N256" s="129">
        <v>0</v>
      </c>
      <c r="O256" s="129">
        <v>112336098</v>
      </c>
      <c r="P256" s="129">
        <v>0</v>
      </c>
      <c r="Q256" s="129">
        <v>112336098</v>
      </c>
      <c r="R256" s="129">
        <v>-160104</v>
      </c>
      <c r="S256" s="129">
        <v>0</v>
      </c>
      <c r="T256" s="129">
        <v>-160104</v>
      </c>
      <c r="U256" s="129">
        <v>1372714</v>
      </c>
      <c r="V256" s="129">
        <v>0</v>
      </c>
      <c r="W256" s="129">
        <v>1372714</v>
      </c>
      <c r="X256" s="129">
        <v>1212610</v>
      </c>
      <c r="Y256" s="129">
        <v>0</v>
      </c>
      <c r="Z256" s="129">
        <v>0</v>
      </c>
      <c r="AA256" s="129">
        <v>0</v>
      </c>
      <c r="AB256" s="129">
        <v>1212610</v>
      </c>
      <c r="AC256" s="129">
        <v>0</v>
      </c>
      <c r="AD256" s="129">
        <v>1212610</v>
      </c>
      <c r="AE256" s="129">
        <v>-1212610</v>
      </c>
      <c r="AF256" s="129">
        <v>0</v>
      </c>
      <c r="AG256" s="129">
        <v>-1212610</v>
      </c>
      <c r="AH256" s="129">
        <v>-12963786</v>
      </c>
      <c r="AI256" s="129">
        <v>0</v>
      </c>
      <c r="AJ256" s="129">
        <v>-12963786</v>
      </c>
      <c r="AK256" s="129">
        <v>-2848</v>
      </c>
      <c r="AL256" s="129">
        <v>0</v>
      </c>
      <c r="AM256" s="129">
        <v>-2848</v>
      </c>
      <c r="AN256" s="129">
        <v>1922062</v>
      </c>
      <c r="AO256" s="129">
        <v>0</v>
      </c>
      <c r="AP256" s="129">
        <v>1922062</v>
      </c>
      <c r="AQ256" s="129">
        <v>-11041724</v>
      </c>
      <c r="AR256" s="129">
        <v>0</v>
      </c>
      <c r="AS256" s="129">
        <v>-11041724</v>
      </c>
      <c r="AT256" s="129">
        <v>-5376576</v>
      </c>
      <c r="AU256" s="129">
        <v>0</v>
      </c>
      <c r="AV256" s="129">
        <v>-5376576</v>
      </c>
      <c r="AW256" s="129">
        <v>-241879</v>
      </c>
      <c r="AX256" s="129">
        <v>0</v>
      </c>
      <c r="AY256" s="129">
        <v>-241879</v>
      </c>
      <c r="AZ256" s="129">
        <v>0</v>
      </c>
      <c r="BA256" s="129">
        <v>0</v>
      </c>
      <c r="BB256" s="129">
        <v>0</v>
      </c>
      <c r="BC256" s="129">
        <v>0</v>
      </c>
      <c r="BD256" s="129">
        <v>0</v>
      </c>
      <c r="BE256" s="129">
        <v>0</v>
      </c>
      <c r="BF256" s="129">
        <v>-16660179</v>
      </c>
      <c r="BG256" s="129">
        <v>0</v>
      </c>
      <c r="BH256" s="129">
        <v>0</v>
      </c>
      <c r="BI256" s="129">
        <v>0</v>
      </c>
      <c r="BJ256" s="129">
        <v>-16660179</v>
      </c>
      <c r="BK256" s="129">
        <v>0</v>
      </c>
      <c r="BL256" s="129">
        <v>-16660179</v>
      </c>
      <c r="BM256" s="129">
        <v>0</v>
      </c>
      <c r="BN256" s="129">
        <v>0</v>
      </c>
      <c r="BO256" s="129">
        <v>0</v>
      </c>
      <c r="BP256" s="129">
        <v>-2519122</v>
      </c>
      <c r="BQ256" s="129">
        <v>0</v>
      </c>
      <c r="BR256" s="129">
        <v>-2519122</v>
      </c>
      <c r="BS256" s="129">
        <v>-2519122</v>
      </c>
      <c r="BT256" s="129">
        <v>0</v>
      </c>
      <c r="BU256" s="129">
        <v>-2000000</v>
      </c>
      <c r="BV256" s="129">
        <v>0</v>
      </c>
      <c r="BW256" s="129">
        <v>-4519122</v>
      </c>
      <c r="BX256" s="129">
        <v>0</v>
      </c>
      <c r="BY256" s="129">
        <v>-4519122</v>
      </c>
      <c r="BZ256" s="129">
        <v>0</v>
      </c>
      <c r="CA256" s="129">
        <v>0</v>
      </c>
      <c r="CB256" s="129">
        <v>0</v>
      </c>
      <c r="CC256" s="129">
        <v>-49289</v>
      </c>
      <c r="CD256" s="129">
        <v>0</v>
      </c>
      <c r="CE256" s="129">
        <v>-49289</v>
      </c>
      <c r="CF256" s="129">
        <v>-21253</v>
      </c>
      <c r="CG256" s="129">
        <v>0</v>
      </c>
      <c r="CH256" s="129">
        <v>-21253</v>
      </c>
      <c r="CI256" s="129">
        <v>0</v>
      </c>
      <c r="CJ256" s="129">
        <v>0</v>
      </c>
      <c r="CK256" s="129">
        <v>0</v>
      </c>
      <c r="CL256" s="129">
        <v>0</v>
      </c>
      <c r="CM256" s="129">
        <v>0</v>
      </c>
      <c r="CN256" s="129">
        <v>0</v>
      </c>
      <c r="CO256" s="129">
        <v>0</v>
      </c>
      <c r="CP256" s="129">
        <v>0</v>
      </c>
      <c r="CQ256" s="129">
        <v>0</v>
      </c>
      <c r="CR256" s="129">
        <v>0</v>
      </c>
      <c r="CS256" s="129">
        <v>0</v>
      </c>
      <c r="CT256" s="129">
        <v>-70542</v>
      </c>
      <c r="CU256" s="129">
        <v>0</v>
      </c>
      <c r="CV256" s="129">
        <v>0</v>
      </c>
      <c r="CW256" s="129">
        <v>0</v>
      </c>
      <c r="CX256" s="129">
        <v>-70542</v>
      </c>
      <c r="CY256" s="129">
        <v>0</v>
      </c>
      <c r="CZ256" s="129">
        <v>-70542</v>
      </c>
      <c r="DA256" s="129">
        <v>0</v>
      </c>
      <c r="DB256" s="129">
        <v>0</v>
      </c>
      <c r="DC256" s="129">
        <v>0</v>
      </c>
      <c r="DD256" s="129">
        <v>-27889</v>
      </c>
      <c r="DE256" s="129">
        <v>0</v>
      </c>
      <c r="DF256" s="129">
        <v>-27889</v>
      </c>
      <c r="DG256" s="129">
        <v>0</v>
      </c>
      <c r="DH256" s="129">
        <v>0</v>
      </c>
      <c r="DI256" s="129">
        <v>0</v>
      </c>
      <c r="DJ256" s="129">
        <v>-27889</v>
      </c>
      <c r="DK256" s="129">
        <v>0</v>
      </c>
      <c r="DL256" s="129">
        <v>0</v>
      </c>
      <c r="DM256" s="129">
        <v>0</v>
      </c>
      <c r="DN256" s="129">
        <v>-27889</v>
      </c>
      <c r="DO256" s="129">
        <v>0</v>
      </c>
      <c r="DP256" s="129">
        <v>-27889</v>
      </c>
      <c r="DQ256" s="129">
        <v>92270976</v>
      </c>
      <c r="DR256" s="129">
        <v>0</v>
      </c>
      <c r="DS256" s="129">
        <v>92270976</v>
      </c>
      <c r="DT256" s="662" t="s">
        <v>369</v>
      </c>
      <c r="DU256" s="324" t="s">
        <v>570</v>
      </c>
      <c r="DV256" s="663" t="s">
        <v>1915</v>
      </c>
      <c r="DW256" s="529" t="s">
        <v>1462</v>
      </c>
    </row>
    <row r="257" spans="1:127" ht="12.75" x14ac:dyDescent="0.2">
      <c r="A257" s="664">
        <v>250</v>
      </c>
      <c r="B257" s="665" t="s">
        <v>372</v>
      </c>
      <c r="C257" s="666" t="s">
        <v>486</v>
      </c>
      <c r="D257" s="667" t="s">
        <v>1283</v>
      </c>
      <c r="E257" s="668" t="s">
        <v>511</v>
      </c>
      <c r="F257" s="753" t="s">
        <v>1881</v>
      </c>
      <c r="G257" s="129">
        <v>200569701</v>
      </c>
      <c r="H257" s="129">
        <v>661175</v>
      </c>
      <c r="I257" s="129">
        <v>201230876</v>
      </c>
      <c r="J257" s="793">
        <v>49.9</v>
      </c>
      <c r="K257" s="129">
        <v>100084281</v>
      </c>
      <c r="L257" s="129">
        <v>329926</v>
      </c>
      <c r="M257" s="129">
        <v>0</v>
      </c>
      <c r="N257" s="129">
        <v>0</v>
      </c>
      <c r="O257" s="129">
        <v>100084281</v>
      </c>
      <c r="P257" s="129">
        <v>329926</v>
      </c>
      <c r="Q257" s="129">
        <v>100414207</v>
      </c>
      <c r="R257" s="129">
        <v>-81086</v>
      </c>
      <c r="S257" s="129">
        <v>0</v>
      </c>
      <c r="T257" s="129">
        <v>-81086</v>
      </c>
      <c r="U257" s="129">
        <v>986166</v>
      </c>
      <c r="V257" s="129">
        <v>28342</v>
      </c>
      <c r="W257" s="129">
        <v>1014508</v>
      </c>
      <c r="X257" s="129">
        <v>905080</v>
      </c>
      <c r="Y257" s="129">
        <v>28342</v>
      </c>
      <c r="Z257" s="129">
        <v>0</v>
      </c>
      <c r="AA257" s="129">
        <v>0</v>
      </c>
      <c r="AB257" s="129">
        <v>905080</v>
      </c>
      <c r="AC257" s="129">
        <v>28342</v>
      </c>
      <c r="AD257" s="129">
        <v>933422</v>
      </c>
      <c r="AE257" s="129">
        <v>-905080</v>
      </c>
      <c r="AF257" s="129">
        <v>-28342</v>
      </c>
      <c r="AG257" s="129">
        <v>-933422</v>
      </c>
      <c r="AH257" s="129">
        <v>-5800000</v>
      </c>
      <c r="AI257" s="129">
        <v>-41667</v>
      </c>
      <c r="AJ257" s="129">
        <v>-5841667</v>
      </c>
      <c r="AK257" s="129">
        <v>0</v>
      </c>
      <c r="AL257" s="129">
        <v>0</v>
      </c>
      <c r="AM257" s="129">
        <v>0</v>
      </c>
      <c r="AN257" s="129">
        <v>2048204</v>
      </c>
      <c r="AO257" s="129">
        <v>7061</v>
      </c>
      <c r="AP257" s="129">
        <v>2055265</v>
      </c>
      <c r="AQ257" s="129">
        <v>-3751796</v>
      </c>
      <c r="AR257" s="129">
        <v>-34606</v>
      </c>
      <c r="AS257" s="129">
        <v>-3786402</v>
      </c>
      <c r="AT257" s="129">
        <v>-5271343</v>
      </c>
      <c r="AU257" s="129">
        <v>0</v>
      </c>
      <c r="AV257" s="129">
        <v>-5271343</v>
      </c>
      <c r="AW257" s="129">
        <v>-53371</v>
      </c>
      <c r="AX257" s="129">
        <v>0</v>
      </c>
      <c r="AY257" s="129">
        <v>-53371</v>
      </c>
      <c r="AZ257" s="129">
        <v>0</v>
      </c>
      <c r="BA257" s="129">
        <v>0</v>
      </c>
      <c r="BB257" s="129">
        <v>0</v>
      </c>
      <c r="BC257" s="129">
        <v>0</v>
      </c>
      <c r="BD257" s="129">
        <v>0</v>
      </c>
      <c r="BE257" s="129">
        <v>0</v>
      </c>
      <c r="BF257" s="129">
        <v>-9076510</v>
      </c>
      <c r="BG257" s="129">
        <v>-34606</v>
      </c>
      <c r="BH257" s="129">
        <v>0</v>
      </c>
      <c r="BI257" s="129">
        <v>0</v>
      </c>
      <c r="BJ257" s="129">
        <v>-9076510</v>
      </c>
      <c r="BK257" s="129">
        <v>-34606</v>
      </c>
      <c r="BL257" s="129">
        <v>-9111116</v>
      </c>
      <c r="BM257" s="129">
        <v>-45000</v>
      </c>
      <c r="BN257" s="129">
        <v>0</v>
      </c>
      <c r="BO257" s="129">
        <v>-45000</v>
      </c>
      <c r="BP257" s="129">
        <v>-3689286</v>
      </c>
      <c r="BQ257" s="129">
        <v>-10714</v>
      </c>
      <c r="BR257" s="129">
        <v>-3700000</v>
      </c>
      <c r="BS257" s="129">
        <v>-3734286</v>
      </c>
      <c r="BT257" s="129">
        <v>-10714</v>
      </c>
      <c r="BU257" s="129">
        <v>0</v>
      </c>
      <c r="BV257" s="129">
        <v>0</v>
      </c>
      <c r="BW257" s="129">
        <v>-3734286</v>
      </c>
      <c r="BX257" s="129">
        <v>-10714</v>
      </c>
      <c r="BY257" s="129">
        <v>-3745000</v>
      </c>
      <c r="BZ257" s="129">
        <v>-182387</v>
      </c>
      <c r="CA257" s="129">
        <v>0</v>
      </c>
      <c r="CB257" s="129">
        <v>-182387</v>
      </c>
      <c r="CC257" s="129">
        <v>-83000</v>
      </c>
      <c r="CD257" s="129">
        <v>0</v>
      </c>
      <c r="CE257" s="129">
        <v>-83000</v>
      </c>
      <c r="CF257" s="129">
        <v>-11907</v>
      </c>
      <c r="CG257" s="129">
        <v>0</v>
      </c>
      <c r="CH257" s="129">
        <v>-11907</v>
      </c>
      <c r="CI257" s="129">
        <v>0</v>
      </c>
      <c r="CJ257" s="129">
        <v>0</v>
      </c>
      <c r="CK257" s="129">
        <v>0</v>
      </c>
      <c r="CL257" s="129">
        <v>0</v>
      </c>
      <c r="CM257" s="129">
        <v>0</v>
      </c>
      <c r="CN257" s="129">
        <v>0</v>
      </c>
      <c r="CO257" s="129">
        <v>-29845</v>
      </c>
      <c r="CP257" s="129">
        <v>-11153</v>
      </c>
      <c r="CQ257" s="129">
        <v>-40998</v>
      </c>
      <c r="CR257" s="129">
        <v>0</v>
      </c>
      <c r="CS257" s="129">
        <v>-11153</v>
      </c>
      <c r="CT257" s="129">
        <v>-307139</v>
      </c>
      <c r="CU257" s="129">
        <v>-11153</v>
      </c>
      <c r="CV257" s="129">
        <v>0</v>
      </c>
      <c r="CW257" s="129">
        <v>0</v>
      </c>
      <c r="CX257" s="129">
        <v>-307139</v>
      </c>
      <c r="CY257" s="129">
        <v>-11153</v>
      </c>
      <c r="CZ257" s="129">
        <v>-318292</v>
      </c>
      <c r="DA257" s="129">
        <v>0</v>
      </c>
      <c r="DB257" s="129">
        <v>0</v>
      </c>
      <c r="DC257" s="129">
        <v>0</v>
      </c>
      <c r="DD257" s="129">
        <v>-21736</v>
      </c>
      <c r="DE257" s="129">
        <v>0</v>
      </c>
      <c r="DF257" s="129">
        <v>-21736</v>
      </c>
      <c r="DG257" s="129">
        <v>0</v>
      </c>
      <c r="DH257" s="129">
        <v>0</v>
      </c>
      <c r="DI257" s="129">
        <v>0</v>
      </c>
      <c r="DJ257" s="129">
        <v>-21736</v>
      </c>
      <c r="DK257" s="129">
        <v>0</v>
      </c>
      <c r="DL257" s="129">
        <v>0</v>
      </c>
      <c r="DM257" s="129">
        <v>0</v>
      </c>
      <c r="DN257" s="129">
        <v>-21736</v>
      </c>
      <c r="DO257" s="129">
        <v>0</v>
      </c>
      <c r="DP257" s="129">
        <v>-21736</v>
      </c>
      <c r="DQ257" s="129">
        <v>87849690</v>
      </c>
      <c r="DR257" s="129">
        <v>301795</v>
      </c>
      <c r="DS257" s="129">
        <v>88151485</v>
      </c>
      <c r="DT257" s="662" t="s">
        <v>511</v>
      </c>
      <c r="DU257" s="324" t="s">
        <v>486</v>
      </c>
      <c r="DV257" s="663" t="s">
        <v>509</v>
      </c>
      <c r="DW257" s="529" t="s">
        <v>1463</v>
      </c>
    </row>
    <row r="258" spans="1:127" ht="12.75" x14ac:dyDescent="0.2">
      <c r="A258" s="664">
        <v>251</v>
      </c>
      <c r="B258" s="665" t="s">
        <v>374</v>
      </c>
      <c r="C258" s="666" t="s">
        <v>486</v>
      </c>
      <c r="D258" s="667" t="s">
        <v>1228</v>
      </c>
      <c r="E258" s="668" t="s">
        <v>563</v>
      </c>
      <c r="F258" s="753" t="s">
        <v>1886</v>
      </c>
      <c r="G258" s="129">
        <v>231159427</v>
      </c>
      <c r="H258" s="129">
        <v>3781025</v>
      </c>
      <c r="I258" s="129">
        <v>234940452</v>
      </c>
      <c r="J258" s="793">
        <v>49.9</v>
      </c>
      <c r="K258" s="129">
        <v>115348554</v>
      </c>
      <c r="L258" s="129">
        <v>1886731</v>
      </c>
      <c r="M258" s="129">
        <v>489905</v>
      </c>
      <c r="N258" s="129">
        <v>113248</v>
      </c>
      <c r="O258" s="129">
        <v>115838459</v>
      </c>
      <c r="P258" s="129">
        <v>1999979</v>
      </c>
      <c r="Q258" s="129">
        <v>117838438</v>
      </c>
      <c r="R258" s="129">
        <v>-712524</v>
      </c>
      <c r="S258" s="129">
        <v>-1591</v>
      </c>
      <c r="T258" s="129">
        <v>-714115</v>
      </c>
      <c r="U258" s="129">
        <v>865579</v>
      </c>
      <c r="V258" s="129">
        <v>0</v>
      </c>
      <c r="W258" s="129">
        <v>865579</v>
      </c>
      <c r="X258" s="129">
        <v>153055</v>
      </c>
      <c r="Y258" s="129">
        <v>-1591</v>
      </c>
      <c r="Z258" s="129">
        <v>0</v>
      </c>
      <c r="AA258" s="129">
        <v>0</v>
      </c>
      <c r="AB258" s="129">
        <v>153055</v>
      </c>
      <c r="AC258" s="129">
        <v>-1591</v>
      </c>
      <c r="AD258" s="129">
        <v>151464</v>
      </c>
      <c r="AE258" s="129">
        <v>-153055</v>
      </c>
      <c r="AF258" s="129">
        <v>1591</v>
      </c>
      <c r="AG258" s="129">
        <v>-151464</v>
      </c>
      <c r="AH258" s="129">
        <v>-11232943</v>
      </c>
      <c r="AI258" s="129">
        <v>-54689</v>
      </c>
      <c r="AJ258" s="129">
        <v>-11287632</v>
      </c>
      <c r="AK258" s="129">
        <v>-3979</v>
      </c>
      <c r="AL258" s="129">
        <v>0</v>
      </c>
      <c r="AM258" s="129">
        <v>-3979</v>
      </c>
      <c r="AN258" s="129">
        <v>2212079</v>
      </c>
      <c r="AO258" s="129">
        <v>0</v>
      </c>
      <c r="AP258" s="129">
        <v>2212079</v>
      </c>
      <c r="AQ258" s="129">
        <v>-9020864</v>
      </c>
      <c r="AR258" s="129">
        <v>-54689</v>
      </c>
      <c r="AS258" s="129">
        <v>-9075553</v>
      </c>
      <c r="AT258" s="129">
        <v>-7222304</v>
      </c>
      <c r="AU258" s="129">
        <v>-322</v>
      </c>
      <c r="AV258" s="129">
        <v>-7222626</v>
      </c>
      <c r="AW258" s="129">
        <v>-69222</v>
      </c>
      <c r="AX258" s="129">
        <v>0</v>
      </c>
      <c r="AY258" s="129">
        <v>-69222</v>
      </c>
      <c r="AZ258" s="129">
        <v>0</v>
      </c>
      <c r="BA258" s="129">
        <v>0</v>
      </c>
      <c r="BB258" s="129">
        <v>0</v>
      </c>
      <c r="BC258" s="129">
        <v>0</v>
      </c>
      <c r="BD258" s="129">
        <v>0</v>
      </c>
      <c r="BE258" s="129">
        <v>0</v>
      </c>
      <c r="BF258" s="129">
        <v>-16312390</v>
      </c>
      <c r="BG258" s="129">
        <v>-55011</v>
      </c>
      <c r="BH258" s="129">
        <v>0</v>
      </c>
      <c r="BI258" s="129">
        <v>0</v>
      </c>
      <c r="BJ258" s="129">
        <v>-16312390</v>
      </c>
      <c r="BK258" s="129">
        <v>-55011</v>
      </c>
      <c r="BL258" s="129">
        <v>-16367401</v>
      </c>
      <c r="BM258" s="129">
        <v>-94091</v>
      </c>
      <c r="BN258" s="129">
        <v>0</v>
      </c>
      <c r="BO258" s="129">
        <v>-94091</v>
      </c>
      <c r="BP258" s="129">
        <v>-3065308</v>
      </c>
      <c r="BQ258" s="129">
        <v>-44390</v>
      </c>
      <c r="BR258" s="129">
        <v>-3109698</v>
      </c>
      <c r="BS258" s="129">
        <v>-3159399</v>
      </c>
      <c r="BT258" s="129">
        <v>-44390</v>
      </c>
      <c r="BU258" s="129">
        <v>0</v>
      </c>
      <c r="BV258" s="129">
        <v>0</v>
      </c>
      <c r="BW258" s="129">
        <v>-3159399</v>
      </c>
      <c r="BX258" s="129">
        <v>-44390</v>
      </c>
      <c r="BY258" s="129">
        <v>-3203789</v>
      </c>
      <c r="BZ258" s="129">
        <v>-173110</v>
      </c>
      <c r="CA258" s="129">
        <v>0</v>
      </c>
      <c r="CB258" s="129">
        <v>-173110</v>
      </c>
      <c r="CC258" s="129">
        <v>-141392</v>
      </c>
      <c r="CD258" s="129">
        <v>0</v>
      </c>
      <c r="CE258" s="129">
        <v>-141392</v>
      </c>
      <c r="CF258" s="129">
        <v>-9979</v>
      </c>
      <c r="CG258" s="129">
        <v>0</v>
      </c>
      <c r="CH258" s="129">
        <v>-9979</v>
      </c>
      <c r="CI258" s="129">
        <v>0</v>
      </c>
      <c r="CJ258" s="129">
        <v>0</v>
      </c>
      <c r="CK258" s="129">
        <v>0</v>
      </c>
      <c r="CL258" s="129">
        <v>0</v>
      </c>
      <c r="CM258" s="129">
        <v>0</v>
      </c>
      <c r="CN258" s="129">
        <v>0</v>
      </c>
      <c r="CO258" s="129">
        <v>0</v>
      </c>
      <c r="CP258" s="129">
        <v>-438552</v>
      </c>
      <c r="CQ258" s="129">
        <v>-438552</v>
      </c>
      <c r="CR258" s="129">
        <v>-438552</v>
      </c>
      <c r="CS258" s="129">
        <v>0</v>
      </c>
      <c r="CT258" s="129">
        <v>-324481</v>
      </c>
      <c r="CU258" s="129">
        <v>-438552</v>
      </c>
      <c r="CV258" s="129">
        <v>0</v>
      </c>
      <c r="CW258" s="129">
        <v>0</v>
      </c>
      <c r="CX258" s="129">
        <v>-324481</v>
      </c>
      <c r="CY258" s="129">
        <v>-438552</v>
      </c>
      <c r="CZ258" s="129">
        <v>-763033</v>
      </c>
      <c r="DA258" s="129">
        <v>0</v>
      </c>
      <c r="DB258" s="129">
        <v>0</v>
      </c>
      <c r="DC258" s="129">
        <v>0</v>
      </c>
      <c r="DD258" s="129">
        <v>-17131</v>
      </c>
      <c r="DE258" s="129">
        <v>0</v>
      </c>
      <c r="DF258" s="129">
        <v>-17131</v>
      </c>
      <c r="DG258" s="129">
        <v>-1500</v>
      </c>
      <c r="DH258" s="129">
        <v>0</v>
      </c>
      <c r="DI258" s="129">
        <v>-1500</v>
      </c>
      <c r="DJ258" s="129">
        <v>-18631</v>
      </c>
      <c r="DK258" s="129">
        <v>0</v>
      </c>
      <c r="DL258" s="129">
        <v>0</v>
      </c>
      <c r="DM258" s="129">
        <v>0</v>
      </c>
      <c r="DN258" s="129">
        <v>-18631</v>
      </c>
      <c r="DO258" s="129">
        <v>0</v>
      </c>
      <c r="DP258" s="129">
        <v>-18631</v>
      </c>
      <c r="DQ258" s="129">
        <v>96176613</v>
      </c>
      <c r="DR258" s="129">
        <v>1460435</v>
      </c>
      <c r="DS258" s="129">
        <v>97637048</v>
      </c>
      <c r="DT258" s="662" t="s">
        <v>563</v>
      </c>
      <c r="DU258" s="324" t="s">
        <v>486</v>
      </c>
      <c r="DV258" s="663" t="s">
        <v>1917</v>
      </c>
      <c r="DW258" s="529" t="s">
        <v>1464</v>
      </c>
    </row>
    <row r="259" spans="1:127" ht="12.75" x14ac:dyDescent="0.2">
      <c r="A259" s="664">
        <v>252</v>
      </c>
      <c r="B259" s="665" t="s">
        <v>376</v>
      </c>
      <c r="C259" s="666" t="s">
        <v>1201</v>
      </c>
      <c r="D259" s="667" t="s">
        <v>1228</v>
      </c>
      <c r="E259" s="668" t="s">
        <v>375</v>
      </c>
      <c r="F259" s="753" t="s">
        <v>1906</v>
      </c>
      <c r="G259" s="129">
        <v>148711297</v>
      </c>
      <c r="H259" s="129">
        <v>0</v>
      </c>
      <c r="I259" s="129">
        <v>148711297</v>
      </c>
      <c r="J259" s="793">
        <v>49.9</v>
      </c>
      <c r="K259" s="129">
        <v>74206937</v>
      </c>
      <c r="L259" s="129">
        <v>0</v>
      </c>
      <c r="M259" s="129">
        <v>0</v>
      </c>
      <c r="N259" s="129">
        <v>0</v>
      </c>
      <c r="O259" s="129">
        <v>74206937</v>
      </c>
      <c r="P259" s="129">
        <v>0</v>
      </c>
      <c r="Q259" s="129">
        <v>74206937</v>
      </c>
      <c r="R259" s="129">
        <v>-128170</v>
      </c>
      <c r="S259" s="129">
        <v>0</v>
      </c>
      <c r="T259" s="129">
        <v>-128170</v>
      </c>
      <c r="U259" s="129">
        <v>151873</v>
      </c>
      <c r="V259" s="129">
        <v>0</v>
      </c>
      <c r="W259" s="129">
        <v>151873</v>
      </c>
      <c r="X259" s="129">
        <v>23703</v>
      </c>
      <c r="Y259" s="129">
        <v>0</v>
      </c>
      <c r="Z259" s="129">
        <v>0</v>
      </c>
      <c r="AA259" s="129">
        <v>0</v>
      </c>
      <c r="AB259" s="129">
        <v>23703</v>
      </c>
      <c r="AC259" s="129">
        <v>0</v>
      </c>
      <c r="AD259" s="129">
        <v>23703</v>
      </c>
      <c r="AE259" s="129">
        <v>-23703</v>
      </c>
      <c r="AF259" s="129">
        <v>0</v>
      </c>
      <c r="AG259" s="129">
        <v>-23703</v>
      </c>
      <c r="AH259" s="129">
        <v>-6472467</v>
      </c>
      <c r="AI259" s="129">
        <v>0</v>
      </c>
      <c r="AJ259" s="129">
        <v>-6472467</v>
      </c>
      <c r="AK259" s="129">
        <v>0</v>
      </c>
      <c r="AL259" s="129">
        <v>0</v>
      </c>
      <c r="AM259" s="129">
        <v>0</v>
      </c>
      <c r="AN259" s="129">
        <v>1340633</v>
      </c>
      <c r="AO259" s="129">
        <v>0</v>
      </c>
      <c r="AP259" s="129">
        <v>1340633</v>
      </c>
      <c r="AQ259" s="129">
        <v>-5131834</v>
      </c>
      <c r="AR259" s="129">
        <v>0</v>
      </c>
      <c r="AS259" s="129">
        <v>-5131834</v>
      </c>
      <c r="AT259" s="129">
        <v>-4597294</v>
      </c>
      <c r="AU259" s="129">
        <v>0</v>
      </c>
      <c r="AV259" s="129">
        <v>-4597294</v>
      </c>
      <c r="AW259" s="129">
        <v>-126321</v>
      </c>
      <c r="AX259" s="129">
        <v>0</v>
      </c>
      <c r="AY259" s="129">
        <v>-126321</v>
      </c>
      <c r="AZ259" s="129">
        <v>-23168</v>
      </c>
      <c r="BA259" s="129">
        <v>0</v>
      </c>
      <c r="BB259" s="129">
        <v>-23168</v>
      </c>
      <c r="BC259" s="129">
        <v>0</v>
      </c>
      <c r="BD259" s="129">
        <v>0</v>
      </c>
      <c r="BE259" s="129">
        <v>0</v>
      </c>
      <c r="BF259" s="129">
        <v>-9878617</v>
      </c>
      <c r="BG259" s="129">
        <v>0</v>
      </c>
      <c r="BH259" s="129">
        <v>0</v>
      </c>
      <c r="BI259" s="129">
        <v>0</v>
      </c>
      <c r="BJ259" s="129">
        <v>-9878617</v>
      </c>
      <c r="BK259" s="129">
        <v>0</v>
      </c>
      <c r="BL259" s="129">
        <v>-9878617</v>
      </c>
      <c r="BM259" s="129">
        <v>-115041</v>
      </c>
      <c r="BN259" s="129">
        <v>0</v>
      </c>
      <c r="BO259" s="129">
        <v>-115041</v>
      </c>
      <c r="BP259" s="129">
        <v>-2096866</v>
      </c>
      <c r="BQ259" s="129">
        <v>0</v>
      </c>
      <c r="BR259" s="129">
        <v>-2096866</v>
      </c>
      <c r="BS259" s="129">
        <v>-2211908</v>
      </c>
      <c r="BT259" s="129">
        <v>0</v>
      </c>
      <c r="BU259" s="129">
        <v>0</v>
      </c>
      <c r="BV259" s="129">
        <v>0</v>
      </c>
      <c r="BW259" s="129">
        <v>-2211908</v>
      </c>
      <c r="BX259" s="129">
        <v>0</v>
      </c>
      <c r="BY259" s="129">
        <v>-2211908</v>
      </c>
      <c r="BZ259" s="129">
        <v>-12342</v>
      </c>
      <c r="CA259" s="129">
        <v>0</v>
      </c>
      <c r="CB259" s="129">
        <v>-12342</v>
      </c>
      <c r="CC259" s="129">
        <v>-31923</v>
      </c>
      <c r="CD259" s="129">
        <v>0</v>
      </c>
      <c r="CE259" s="129">
        <v>-31923</v>
      </c>
      <c r="CF259" s="129">
        <v>0</v>
      </c>
      <c r="CG259" s="129">
        <v>0</v>
      </c>
      <c r="CH259" s="129">
        <v>0</v>
      </c>
      <c r="CI259" s="129">
        <v>0</v>
      </c>
      <c r="CJ259" s="129">
        <v>0</v>
      </c>
      <c r="CK259" s="129">
        <v>0</v>
      </c>
      <c r="CL259" s="129">
        <v>0</v>
      </c>
      <c r="CM259" s="129">
        <v>0</v>
      </c>
      <c r="CN259" s="129">
        <v>0</v>
      </c>
      <c r="CO259" s="129">
        <v>0</v>
      </c>
      <c r="CP259" s="129">
        <v>0</v>
      </c>
      <c r="CQ259" s="129">
        <v>0</v>
      </c>
      <c r="CR259" s="129">
        <v>0</v>
      </c>
      <c r="CS259" s="129">
        <v>0</v>
      </c>
      <c r="CT259" s="129">
        <v>-44265</v>
      </c>
      <c r="CU259" s="129">
        <v>0</v>
      </c>
      <c r="CV259" s="129">
        <v>0</v>
      </c>
      <c r="CW259" s="129">
        <v>0</v>
      </c>
      <c r="CX259" s="129">
        <v>-44265</v>
      </c>
      <c r="CY259" s="129">
        <v>0</v>
      </c>
      <c r="CZ259" s="129">
        <v>-44265</v>
      </c>
      <c r="DA259" s="129">
        <v>-21734</v>
      </c>
      <c r="DB259" s="129">
        <v>0</v>
      </c>
      <c r="DC259" s="129">
        <v>-21734</v>
      </c>
      <c r="DD259" s="129">
        <v>-19503</v>
      </c>
      <c r="DE259" s="129">
        <v>0</v>
      </c>
      <c r="DF259" s="129">
        <v>-19503</v>
      </c>
      <c r="DG259" s="129">
        <v>0</v>
      </c>
      <c r="DH259" s="129">
        <v>0</v>
      </c>
      <c r="DI259" s="129">
        <v>0</v>
      </c>
      <c r="DJ259" s="129">
        <v>-41237</v>
      </c>
      <c r="DK259" s="129">
        <v>0</v>
      </c>
      <c r="DL259" s="129">
        <v>0</v>
      </c>
      <c r="DM259" s="129">
        <v>0</v>
      </c>
      <c r="DN259" s="129">
        <v>-41237</v>
      </c>
      <c r="DO259" s="129">
        <v>0</v>
      </c>
      <c r="DP259" s="129">
        <v>-41237</v>
      </c>
      <c r="DQ259" s="129">
        <v>62054614</v>
      </c>
      <c r="DR259" s="129">
        <v>0</v>
      </c>
      <c r="DS259" s="129">
        <v>62054614</v>
      </c>
      <c r="DT259" s="662" t="s">
        <v>375</v>
      </c>
      <c r="DU259" s="324" t="s">
        <v>567</v>
      </c>
      <c r="DV259" s="663" t="s">
        <v>512</v>
      </c>
      <c r="DW259" s="529" t="s">
        <v>1465</v>
      </c>
    </row>
    <row r="260" spans="1:127" ht="12.75" x14ac:dyDescent="0.2">
      <c r="A260" s="664">
        <v>253</v>
      </c>
      <c r="B260" s="665" t="s">
        <v>378</v>
      </c>
      <c r="C260" s="666" t="s">
        <v>1201</v>
      </c>
      <c r="D260" s="667" t="s">
        <v>1224</v>
      </c>
      <c r="E260" s="668" t="s">
        <v>377</v>
      </c>
      <c r="F260" s="753" t="s">
        <v>1877</v>
      </c>
      <c r="G260" s="129">
        <v>80883930</v>
      </c>
      <c r="H260" s="129">
        <v>0</v>
      </c>
      <c r="I260" s="129">
        <v>80883930</v>
      </c>
      <c r="J260" s="793">
        <v>49.9</v>
      </c>
      <c r="K260" s="129">
        <v>40361081</v>
      </c>
      <c r="L260" s="129">
        <v>0</v>
      </c>
      <c r="M260" s="129">
        <v>0</v>
      </c>
      <c r="N260" s="129">
        <v>0</v>
      </c>
      <c r="O260" s="129">
        <v>40361081</v>
      </c>
      <c r="P260" s="129">
        <v>0</v>
      </c>
      <c r="Q260" s="129">
        <v>40361081</v>
      </c>
      <c r="R260" s="129">
        <v>-153206</v>
      </c>
      <c r="S260" s="129">
        <v>0</v>
      </c>
      <c r="T260" s="129">
        <v>-153206</v>
      </c>
      <c r="U260" s="129">
        <v>144179</v>
      </c>
      <c r="V260" s="129">
        <v>0</v>
      </c>
      <c r="W260" s="129">
        <v>144179</v>
      </c>
      <c r="X260" s="129">
        <v>-9027</v>
      </c>
      <c r="Y260" s="129">
        <v>0</v>
      </c>
      <c r="Z260" s="129">
        <v>0</v>
      </c>
      <c r="AA260" s="129">
        <v>0</v>
      </c>
      <c r="AB260" s="129">
        <v>-9027</v>
      </c>
      <c r="AC260" s="129">
        <v>0</v>
      </c>
      <c r="AD260" s="129">
        <v>-9027</v>
      </c>
      <c r="AE260" s="129">
        <v>9027</v>
      </c>
      <c r="AF260" s="129">
        <v>0</v>
      </c>
      <c r="AG260" s="129">
        <v>9027</v>
      </c>
      <c r="AH260" s="129">
        <v>-4722529</v>
      </c>
      <c r="AI260" s="129">
        <v>0</v>
      </c>
      <c r="AJ260" s="129">
        <v>-4722529</v>
      </c>
      <c r="AK260" s="129">
        <v>0</v>
      </c>
      <c r="AL260" s="129">
        <v>0</v>
      </c>
      <c r="AM260" s="129">
        <v>0</v>
      </c>
      <c r="AN260" s="129">
        <v>639096</v>
      </c>
      <c r="AO260" s="129">
        <v>0</v>
      </c>
      <c r="AP260" s="129">
        <v>639096</v>
      </c>
      <c r="AQ260" s="129">
        <v>-4083433</v>
      </c>
      <c r="AR260" s="129">
        <v>0</v>
      </c>
      <c r="AS260" s="129">
        <v>-4083433</v>
      </c>
      <c r="AT260" s="129">
        <v>-2573702</v>
      </c>
      <c r="AU260" s="129">
        <v>0</v>
      </c>
      <c r="AV260" s="129">
        <v>-2573702</v>
      </c>
      <c r="AW260" s="129">
        <v>-38566</v>
      </c>
      <c r="AX260" s="129">
        <v>0</v>
      </c>
      <c r="AY260" s="129">
        <v>-38566</v>
      </c>
      <c r="AZ260" s="129">
        <v>-29264</v>
      </c>
      <c r="BA260" s="129">
        <v>0</v>
      </c>
      <c r="BB260" s="129">
        <v>-29264</v>
      </c>
      <c r="BC260" s="129">
        <v>0</v>
      </c>
      <c r="BD260" s="129">
        <v>0</v>
      </c>
      <c r="BE260" s="129">
        <v>0</v>
      </c>
      <c r="BF260" s="129">
        <v>-6724965</v>
      </c>
      <c r="BG260" s="129">
        <v>0</v>
      </c>
      <c r="BH260" s="129">
        <v>0</v>
      </c>
      <c r="BI260" s="129">
        <v>0</v>
      </c>
      <c r="BJ260" s="129">
        <v>-6724965</v>
      </c>
      <c r="BK260" s="129">
        <v>0</v>
      </c>
      <c r="BL260" s="129">
        <v>-6724965</v>
      </c>
      <c r="BM260" s="129">
        <v>0</v>
      </c>
      <c r="BN260" s="129">
        <v>0</v>
      </c>
      <c r="BO260" s="129">
        <v>0</v>
      </c>
      <c r="BP260" s="129">
        <v>-915156</v>
      </c>
      <c r="BQ260" s="129">
        <v>0</v>
      </c>
      <c r="BR260" s="129">
        <v>-915156</v>
      </c>
      <c r="BS260" s="129">
        <v>-915156</v>
      </c>
      <c r="BT260" s="129">
        <v>0</v>
      </c>
      <c r="BU260" s="129">
        <v>0</v>
      </c>
      <c r="BV260" s="129">
        <v>0</v>
      </c>
      <c r="BW260" s="129">
        <v>-915156</v>
      </c>
      <c r="BX260" s="129">
        <v>0</v>
      </c>
      <c r="BY260" s="129">
        <v>-915156</v>
      </c>
      <c r="BZ260" s="129">
        <v>-106460</v>
      </c>
      <c r="CA260" s="129">
        <v>0</v>
      </c>
      <c r="CB260" s="129">
        <v>-106460</v>
      </c>
      <c r="CC260" s="129">
        <v>-102157</v>
      </c>
      <c r="CD260" s="129">
        <v>0</v>
      </c>
      <c r="CE260" s="129">
        <v>-102157</v>
      </c>
      <c r="CF260" s="129">
        <v>0</v>
      </c>
      <c r="CG260" s="129">
        <v>0</v>
      </c>
      <c r="CH260" s="129">
        <v>0</v>
      </c>
      <c r="CI260" s="129">
        <v>0</v>
      </c>
      <c r="CJ260" s="129">
        <v>0</v>
      </c>
      <c r="CK260" s="129">
        <v>0</v>
      </c>
      <c r="CL260" s="129">
        <v>0</v>
      </c>
      <c r="CM260" s="129">
        <v>0</v>
      </c>
      <c r="CN260" s="129">
        <v>0</v>
      </c>
      <c r="CO260" s="129">
        <v>0</v>
      </c>
      <c r="CP260" s="129">
        <v>0</v>
      </c>
      <c r="CQ260" s="129">
        <v>0</v>
      </c>
      <c r="CR260" s="129">
        <v>0</v>
      </c>
      <c r="CS260" s="129">
        <v>0</v>
      </c>
      <c r="CT260" s="129">
        <v>-208617</v>
      </c>
      <c r="CU260" s="129">
        <v>0</v>
      </c>
      <c r="CV260" s="129">
        <v>0</v>
      </c>
      <c r="CW260" s="129">
        <v>0</v>
      </c>
      <c r="CX260" s="129">
        <v>-208617</v>
      </c>
      <c r="CY260" s="129">
        <v>0</v>
      </c>
      <c r="CZ260" s="129">
        <v>-208617</v>
      </c>
      <c r="DA260" s="129">
        <v>-29264</v>
      </c>
      <c r="DB260" s="129">
        <v>0</v>
      </c>
      <c r="DC260" s="129">
        <v>-29264</v>
      </c>
      <c r="DD260" s="129">
        <v>-35451</v>
      </c>
      <c r="DE260" s="129">
        <v>0</v>
      </c>
      <c r="DF260" s="129">
        <v>-35451</v>
      </c>
      <c r="DG260" s="129">
        <v>-1500</v>
      </c>
      <c r="DH260" s="129">
        <v>0</v>
      </c>
      <c r="DI260" s="129">
        <v>-1500</v>
      </c>
      <c r="DJ260" s="129">
        <v>-66215</v>
      </c>
      <c r="DK260" s="129">
        <v>0</v>
      </c>
      <c r="DL260" s="129">
        <v>0</v>
      </c>
      <c r="DM260" s="129">
        <v>0</v>
      </c>
      <c r="DN260" s="129">
        <v>-66215</v>
      </c>
      <c r="DO260" s="129">
        <v>0</v>
      </c>
      <c r="DP260" s="129">
        <v>-66215</v>
      </c>
      <c r="DQ260" s="129">
        <v>32437101</v>
      </c>
      <c r="DR260" s="129">
        <v>0</v>
      </c>
      <c r="DS260" s="129">
        <v>32437101</v>
      </c>
      <c r="DT260" s="662" t="s">
        <v>377</v>
      </c>
      <c r="DU260" s="324" t="s">
        <v>529</v>
      </c>
      <c r="DV260" s="663" t="s">
        <v>512</v>
      </c>
      <c r="DW260" s="529" t="s">
        <v>1466</v>
      </c>
    </row>
    <row r="261" spans="1:127" ht="12.75" x14ac:dyDescent="0.2">
      <c r="A261" s="664">
        <v>254</v>
      </c>
      <c r="B261" s="665" t="s">
        <v>380</v>
      </c>
      <c r="C261" s="666" t="s">
        <v>1217</v>
      </c>
      <c r="D261" s="667" t="s">
        <v>1283</v>
      </c>
      <c r="E261" s="668" t="s">
        <v>379</v>
      </c>
      <c r="F261" s="753" t="s">
        <v>1894</v>
      </c>
      <c r="G261" s="129">
        <v>229474258</v>
      </c>
      <c r="H261" s="129">
        <v>2922000</v>
      </c>
      <c r="I261" s="129">
        <v>232396258</v>
      </c>
      <c r="J261" s="793">
        <v>49.9</v>
      </c>
      <c r="K261" s="129">
        <v>114507655</v>
      </c>
      <c r="L261" s="129">
        <v>1458078</v>
      </c>
      <c r="M261" s="129">
        <v>300000</v>
      </c>
      <c r="N261" s="129">
        <v>200000</v>
      </c>
      <c r="O261" s="129">
        <v>114807655</v>
      </c>
      <c r="P261" s="129">
        <v>1658078</v>
      </c>
      <c r="Q261" s="129">
        <v>116465733</v>
      </c>
      <c r="R261" s="129">
        <v>-364168</v>
      </c>
      <c r="S261" s="129">
        <v>0</v>
      </c>
      <c r="T261" s="129">
        <v>-364168</v>
      </c>
      <c r="U261" s="129">
        <v>1036010</v>
      </c>
      <c r="V261" s="129">
        <v>0</v>
      </c>
      <c r="W261" s="129">
        <v>1036010</v>
      </c>
      <c r="X261" s="129">
        <v>671842</v>
      </c>
      <c r="Y261" s="129">
        <v>0</v>
      </c>
      <c r="Z261" s="129">
        <v>0</v>
      </c>
      <c r="AA261" s="129">
        <v>0</v>
      </c>
      <c r="AB261" s="129">
        <v>671842</v>
      </c>
      <c r="AC261" s="129">
        <v>0</v>
      </c>
      <c r="AD261" s="129">
        <v>671842</v>
      </c>
      <c r="AE261" s="129">
        <v>-671842</v>
      </c>
      <c r="AF261" s="129">
        <v>0</v>
      </c>
      <c r="AG261" s="129">
        <v>-671842</v>
      </c>
      <c r="AH261" s="129">
        <v>-8990834</v>
      </c>
      <c r="AI261" s="129">
        <v>0</v>
      </c>
      <c r="AJ261" s="129">
        <v>-8990834</v>
      </c>
      <c r="AK261" s="129">
        <v>0</v>
      </c>
      <c r="AL261" s="129">
        <v>0</v>
      </c>
      <c r="AM261" s="129">
        <v>0</v>
      </c>
      <c r="AN261" s="129">
        <v>2266750</v>
      </c>
      <c r="AO261" s="129">
        <v>36855</v>
      </c>
      <c r="AP261" s="129">
        <v>2303605</v>
      </c>
      <c r="AQ261" s="129">
        <v>-6724084</v>
      </c>
      <c r="AR261" s="129">
        <v>36855</v>
      </c>
      <c r="AS261" s="129">
        <v>-6687229</v>
      </c>
      <c r="AT261" s="129">
        <v>-8656691</v>
      </c>
      <c r="AU261" s="129">
        <v>-43008</v>
      </c>
      <c r="AV261" s="129">
        <v>-8699699</v>
      </c>
      <c r="AW261" s="129">
        <v>-39567</v>
      </c>
      <c r="AX261" s="129">
        <v>0</v>
      </c>
      <c r="AY261" s="129">
        <v>-39567</v>
      </c>
      <c r="AZ261" s="129">
        <v>-1777</v>
      </c>
      <c r="BA261" s="129">
        <v>0</v>
      </c>
      <c r="BB261" s="129">
        <v>-1777</v>
      </c>
      <c r="BC261" s="129">
        <v>0</v>
      </c>
      <c r="BD261" s="129">
        <v>0</v>
      </c>
      <c r="BE261" s="129">
        <v>0</v>
      </c>
      <c r="BF261" s="129">
        <v>-15422119</v>
      </c>
      <c r="BG261" s="129">
        <v>-6153</v>
      </c>
      <c r="BH261" s="129">
        <v>0</v>
      </c>
      <c r="BI261" s="129">
        <v>0</v>
      </c>
      <c r="BJ261" s="129">
        <v>-15422119</v>
      </c>
      <c r="BK261" s="129">
        <v>-6153</v>
      </c>
      <c r="BL261" s="129">
        <v>-15428272</v>
      </c>
      <c r="BM261" s="129">
        <v>0</v>
      </c>
      <c r="BN261" s="129">
        <v>0</v>
      </c>
      <c r="BO261" s="129">
        <v>0</v>
      </c>
      <c r="BP261" s="129">
        <v>-2006104</v>
      </c>
      <c r="BQ261" s="129">
        <v>0</v>
      </c>
      <c r="BR261" s="129">
        <v>-2006104</v>
      </c>
      <c r="BS261" s="129">
        <v>-2006104</v>
      </c>
      <c r="BT261" s="129">
        <v>0</v>
      </c>
      <c r="BU261" s="129">
        <v>-1500000</v>
      </c>
      <c r="BV261" s="129">
        <v>0</v>
      </c>
      <c r="BW261" s="129">
        <v>-3506104</v>
      </c>
      <c r="BX261" s="129">
        <v>0</v>
      </c>
      <c r="BY261" s="129">
        <v>-3506104</v>
      </c>
      <c r="BZ261" s="129">
        <v>-58608</v>
      </c>
      <c r="CA261" s="129">
        <v>0</v>
      </c>
      <c r="CB261" s="129">
        <v>-58608</v>
      </c>
      <c r="CC261" s="129">
        <v>-92655</v>
      </c>
      <c r="CD261" s="129">
        <v>0</v>
      </c>
      <c r="CE261" s="129">
        <v>-92655</v>
      </c>
      <c r="CF261" s="129">
        <v>-512</v>
      </c>
      <c r="CG261" s="129">
        <v>0</v>
      </c>
      <c r="CH261" s="129">
        <v>-512</v>
      </c>
      <c r="CI261" s="129">
        <v>0</v>
      </c>
      <c r="CJ261" s="129">
        <v>0</v>
      </c>
      <c r="CK261" s="129">
        <v>0</v>
      </c>
      <c r="CL261" s="129">
        <v>0</v>
      </c>
      <c r="CM261" s="129">
        <v>0</v>
      </c>
      <c r="CN261" s="129">
        <v>0</v>
      </c>
      <c r="CO261" s="129">
        <v>0</v>
      </c>
      <c r="CP261" s="129">
        <v>0</v>
      </c>
      <c r="CQ261" s="129">
        <v>0</v>
      </c>
      <c r="CR261" s="129">
        <v>0</v>
      </c>
      <c r="CS261" s="129">
        <v>0</v>
      </c>
      <c r="CT261" s="129">
        <v>-151775</v>
      </c>
      <c r="CU261" s="129">
        <v>0</v>
      </c>
      <c r="CV261" s="129">
        <v>0</v>
      </c>
      <c r="CW261" s="129">
        <v>0</v>
      </c>
      <c r="CX261" s="129">
        <v>-151775</v>
      </c>
      <c r="CY261" s="129">
        <v>0</v>
      </c>
      <c r="CZ261" s="129">
        <v>-151775</v>
      </c>
      <c r="DA261" s="129">
        <v>-1777</v>
      </c>
      <c r="DB261" s="129">
        <v>0</v>
      </c>
      <c r="DC261" s="129">
        <v>-1777</v>
      </c>
      <c r="DD261" s="129">
        <v>-22790</v>
      </c>
      <c r="DE261" s="129">
        <v>0</v>
      </c>
      <c r="DF261" s="129">
        <v>-22790</v>
      </c>
      <c r="DG261" s="129">
        <v>0</v>
      </c>
      <c r="DH261" s="129">
        <v>0</v>
      </c>
      <c r="DI261" s="129">
        <v>0</v>
      </c>
      <c r="DJ261" s="129">
        <v>-24567</v>
      </c>
      <c r="DK261" s="129">
        <v>0</v>
      </c>
      <c r="DL261" s="129">
        <v>0</v>
      </c>
      <c r="DM261" s="129">
        <v>0</v>
      </c>
      <c r="DN261" s="129">
        <v>-24567</v>
      </c>
      <c r="DO261" s="129">
        <v>0</v>
      </c>
      <c r="DP261" s="129">
        <v>-24567</v>
      </c>
      <c r="DQ261" s="129">
        <v>96374932</v>
      </c>
      <c r="DR261" s="129">
        <v>1651925</v>
      </c>
      <c r="DS261" s="129">
        <v>98026857</v>
      </c>
      <c r="DT261" s="662" t="s">
        <v>379</v>
      </c>
      <c r="DU261" s="324" t="s">
        <v>570</v>
      </c>
      <c r="DV261" s="663" t="s">
        <v>573</v>
      </c>
      <c r="DW261" s="529" t="s">
        <v>1467</v>
      </c>
    </row>
    <row r="262" spans="1:127" ht="12.75" x14ac:dyDescent="0.2">
      <c r="A262" s="664">
        <v>255</v>
      </c>
      <c r="B262" s="665" t="s">
        <v>382</v>
      </c>
      <c r="C262" s="666" t="s">
        <v>1201</v>
      </c>
      <c r="D262" s="667" t="s">
        <v>1202</v>
      </c>
      <c r="E262" s="668" t="s">
        <v>381</v>
      </c>
      <c r="F262" s="753" t="s">
        <v>1909</v>
      </c>
      <c r="G262" s="129">
        <v>88039940</v>
      </c>
      <c r="H262" s="129">
        <v>0</v>
      </c>
      <c r="I262" s="129">
        <v>88039940</v>
      </c>
      <c r="J262" s="793">
        <v>49.9</v>
      </c>
      <c r="K262" s="129">
        <v>43931930</v>
      </c>
      <c r="L262" s="129">
        <v>0</v>
      </c>
      <c r="M262" s="129">
        <v>0</v>
      </c>
      <c r="N262" s="129">
        <v>0</v>
      </c>
      <c r="O262" s="129">
        <v>43931930</v>
      </c>
      <c r="P262" s="129">
        <v>0</v>
      </c>
      <c r="Q262" s="129">
        <v>43931930</v>
      </c>
      <c r="R262" s="129">
        <v>-98760</v>
      </c>
      <c r="S262" s="129">
        <v>0</v>
      </c>
      <c r="T262" s="129">
        <v>-98760</v>
      </c>
      <c r="U262" s="129">
        <v>84294</v>
      </c>
      <c r="V262" s="129">
        <v>0</v>
      </c>
      <c r="W262" s="129">
        <v>84294</v>
      </c>
      <c r="X262" s="129">
        <v>-14466</v>
      </c>
      <c r="Y262" s="129">
        <v>0</v>
      </c>
      <c r="Z262" s="129">
        <v>0</v>
      </c>
      <c r="AA262" s="129">
        <v>0</v>
      </c>
      <c r="AB262" s="129">
        <v>-14466</v>
      </c>
      <c r="AC262" s="129">
        <v>0</v>
      </c>
      <c r="AD262" s="129">
        <v>-14466</v>
      </c>
      <c r="AE262" s="129">
        <v>14466</v>
      </c>
      <c r="AF262" s="129">
        <v>0</v>
      </c>
      <c r="AG262" s="129">
        <v>14466</v>
      </c>
      <c r="AH262" s="129">
        <v>-3064439</v>
      </c>
      <c r="AI262" s="129">
        <v>0</v>
      </c>
      <c r="AJ262" s="129">
        <v>-3064439</v>
      </c>
      <c r="AK262" s="129">
        <v>-7857</v>
      </c>
      <c r="AL262" s="129">
        <v>0</v>
      </c>
      <c r="AM262" s="129">
        <v>-7857</v>
      </c>
      <c r="AN262" s="129">
        <v>833129</v>
      </c>
      <c r="AO262" s="129">
        <v>0</v>
      </c>
      <c r="AP262" s="129">
        <v>833129</v>
      </c>
      <c r="AQ262" s="129">
        <v>-2231310</v>
      </c>
      <c r="AR262" s="129">
        <v>0</v>
      </c>
      <c r="AS262" s="129">
        <v>-2231310</v>
      </c>
      <c r="AT262" s="129">
        <v>-1853551</v>
      </c>
      <c r="AU262" s="129">
        <v>0</v>
      </c>
      <c r="AV262" s="129">
        <v>-1853551</v>
      </c>
      <c r="AW262" s="129">
        <v>-6318</v>
      </c>
      <c r="AX262" s="129">
        <v>0</v>
      </c>
      <c r="AY262" s="129">
        <v>-6318</v>
      </c>
      <c r="AZ262" s="129">
        <v>0</v>
      </c>
      <c r="BA262" s="129">
        <v>0</v>
      </c>
      <c r="BB262" s="129">
        <v>0</v>
      </c>
      <c r="BC262" s="129">
        <v>0</v>
      </c>
      <c r="BD262" s="129">
        <v>0</v>
      </c>
      <c r="BE262" s="129">
        <v>0</v>
      </c>
      <c r="BF262" s="129">
        <v>-4091179</v>
      </c>
      <c r="BG262" s="129">
        <v>0</v>
      </c>
      <c r="BH262" s="129">
        <v>0</v>
      </c>
      <c r="BI262" s="129">
        <v>0</v>
      </c>
      <c r="BJ262" s="129">
        <v>-4091179</v>
      </c>
      <c r="BK262" s="129">
        <v>0</v>
      </c>
      <c r="BL262" s="129">
        <v>-4091179</v>
      </c>
      <c r="BM262" s="129">
        <v>0</v>
      </c>
      <c r="BN262" s="129">
        <v>0</v>
      </c>
      <c r="BO262" s="129">
        <v>0</v>
      </c>
      <c r="BP262" s="129">
        <v>-1400000</v>
      </c>
      <c r="BQ262" s="129">
        <v>0</v>
      </c>
      <c r="BR262" s="129">
        <v>-1400000</v>
      </c>
      <c r="BS262" s="129">
        <v>-1400000</v>
      </c>
      <c r="BT262" s="129">
        <v>0</v>
      </c>
      <c r="BU262" s="129">
        <v>0</v>
      </c>
      <c r="BV262" s="129">
        <v>0</v>
      </c>
      <c r="BW262" s="129">
        <v>-1400000</v>
      </c>
      <c r="BX262" s="129">
        <v>0</v>
      </c>
      <c r="BY262" s="129">
        <v>-1400000</v>
      </c>
      <c r="BZ262" s="129">
        <v>-100280</v>
      </c>
      <c r="CA262" s="129">
        <v>0</v>
      </c>
      <c r="CB262" s="129">
        <v>-100280</v>
      </c>
      <c r="CC262" s="129">
        <v>-102271</v>
      </c>
      <c r="CD262" s="129">
        <v>0</v>
      </c>
      <c r="CE262" s="129">
        <v>-102271</v>
      </c>
      <c r="CF262" s="129">
        <v>-1580</v>
      </c>
      <c r="CG262" s="129">
        <v>0</v>
      </c>
      <c r="CH262" s="129">
        <v>-1580</v>
      </c>
      <c r="CI262" s="129">
        <v>0</v>
      </c>
      <c r="CJ262" s="129">
        <v>0</v>
      </c>
      <c r="CK262" s="129">
        <v>0</v>
      </c>
      <c r="CL262" s="129">
        <v>0</v>
      </c>
      <c r="CM262" s="129">
        <v>0</v>
      </c>
      <c r="CN262" s="129">
        <v>0</v>
      </c>
      <c r="CO262" s="129">
        <v>0</v>
      </c>
      <c r="CP262" s="129">
        <v>0</v>
      </c>
      <c r="CQ262" s="129">
        <v>0</v>
      </c>
      <c r="CR262" s="129">
        <v>0</v>
      </c>
      <c r="CS262" s="129">
        <v>0</v>
      </c>
      <c r="CT262" s="129">
        <v>-204131</v>
      </c>
      <c r="CU262" s="129">
        <v>0</v>
      </c>
      <c r="CV262" s="129">
        <v>0</v>
      </c>
      <c r="CW262" s="129">
        <v>0</v>
      </c>
      <c r="CX262" s="129">
        <v>-204131</v>
      </c>
      <c r="CY262" s="129">
        <v>0</v>
      </c>
      <c r="CZ262" s="129">
        <v>-204131</v>
      </c>
      <c r="DA262" s="129">
        <v>0</v>
      </c>
      <c r="DB262" s="129">
        <v>0</v>
      </c>
      <c r="DC262" s="129">
        <v>0</v>
      </c>
      <c r="DD262" s="129">
        <v>-17130</v>
      </c>
      <c r="DE262" s="129">
        <v>0</v>
      </c>
      <c r="DF262" s="129">
        <v>-17130</v>
      </c>
      <c r="DG262" s="129">
        <v>0</v>
      </c>
      <c r="DH262" s="129">
        <v>0</v>
      </c>
      <c r="DI262" s="129">
        <v>0</v>
      </c>
      <c r="DJ262" s="129">
        <v>-17130</v>
      </c>
      <c r="DK262" s="129">
        <v>0</v>
      </c>
      <c r="DL262" s="129">
        <v>0</v>
      </c>
      <c r="DM262" s="129">
        <v>0</v>
      </c>
      <c r="DN262" s="129">
        <v>-17130</v>
      </c>
      <c r="DO262" s="129">
        <v>0</v>
      </c>
      <c r="DP262" s="129">
        <v>-17130</v>
      </c>
      <c r="DQ262" s="129">
        <v>38205024</v>
      </c>
      <c r="DR262" s="129">
        <v>0</v>
      </c>
      <c r="DS262" s="129">
        <v>38205024</v>
      </c>
      <c r="DT262" s="662" t="s">
        <v>381</v>
      </c>
      <c r="DU262" s="324" t="s">
        <v>566</v>
      </c>
      <c r="DV262" s="663" t="s">
        <v>512</v>
      </c>
      <c r="DW262" s="529" t="s">
        <v>1468</v>
      </c>
    </row>
    <row r="263" spans="1:127" ht="12.75" x14ac:dyDescent="0.2">
      <c r="A263" s="664">
        <v>256</v>
      </c>
      <c r="B263" s="665" t="s">
        <v>384</v>
      </c>
      <c r="C263" s="666" t="s">
        <v>1213</v>
      </c>
      <c r="D263" s="667" t="s">
        <v>1214</v>
      </c>
      <c r="E263" s="668" t="s">
        <v>383</v>
      </c>
      <c r="F263" s="753" t="s">
        <v>1911</v>
      </c>
      <c r="G263" s="129">
        <v>147505863</v>
      </c>
      <c r="H263" s="129">
        <v>0</v>
      </c>
      <c r="I263" s="129">
        <v>147505863</v>
      </c>
      <c r="J263" s="793">
        <v>49.9</v>
      </c>
      <c r="K263" s="129">
        <v>73605426</v>
      </c>
      <c r="L263" s="129">
        <v>0</v>
      </c>
      <c r="M263" s="129">
        <v>100000</v>
      </c>
      <c r="N263" s="129">
        <v>0</v>
      </c>
      <c r="O263" s="129">
        <v>73705426</v>
      </c>
      <c r="P263" s="129">
        <v>0</v>
      </c>
      <c r="Q263" s="129">
        <v>73705426</v>
      </c>
      <c r="R263" s="129">
        <v>-94979</v>
      </c>
      <c r="S263" s="129">
        <v>0</v>
      </c>
      <c r="T263" s="129">
        <v>-94979</v>
      </c>
      <c r="U263" s="129">
        <v>116013</v>
      </c>
      <c r="V263" s="129">
        <v>0</v>
      </c>
      <c r="W263" s="129">
        <v>116013</v>
      </c>
      <c r="X263" s="129">
        <v>21034</v>
      </c>
      <c r="Y263" s="129">
        <v>0</v>
      </c>
      <c r="Z263" s="129">
        <v>0</v>
      </c>
      <c r="AA263" s="129">
        <v>0</v>
      </c>
      <c r="AB263" s="129">
        <v>21034</v>
      </c>
      <c r="AC263" s="129">
        <v>0</v>
      </c>
      <c r="AD263" s="129">
        <v>21034</v>
      </c>
      <c r="AE263" s="129">
        <v>-21034</v>
      </c>
      <c r="AF263" s="129">
        <v>0</v>
      </c>
      <c r="AG263" s="129">
        <v>-21034</v>
      </c>
      <c r="AH263" s="129">
        <v>-5148873</v>
      </c>
      <c r="AI263" s="129">
        <v>0</v>
      </c>
      <c r="AJ263" s="129">
        <v>-5148873</v>
      </c>
      <c r="AK263" s="129">
        <v>-8184</v>
      </c>
      <c r="AL263" s="129">
        <v>0</v>
      </c>
      <c r="AM263" s="129">
        <v>-8184</v>
      </c>
      <c r="AN263" s="129">
        <v>1415637</v>
      </c>
      <c r="AO263" s="129">
        <v>0</v>
      </c>
      <c r="AP263" s="129">
        <v>1415637</v>
      </c>
      <c r="AQ263" s="129">
        <v>-3733236</v>
      </c>
      <c r="AR263" s="129">
        <v>0</v>
      </c>
      <c r="AS263" s="129">
        <v>-3733236</v>
      </c>
      <c r="AT263" s="129">
        <v>-7628384</v>
      </c>
      <c r="AU263" s="129">
        <v>0</v>
      </c>
      <c r="AV263" s="129">
        <v>-7628384</v>
      </c>
      <c r="AW263" s="129">
        <v>-38134</v>
      </c>
      <c r="AX263" s="129">
        <v>0</v>
      </c>
      <c r="AY263" s="129">
        <v>-38134</v>
      </c>
      <c r="AZ263" s="129">
        <v>0</v>
      </c>
      <c r="BA263" s="129">
        <v>0</v>
      </c>
      <c r="BB263" s="129">
        <v>0</v>
      </c>
      <c r="BC263" s="129">
        <v>0</v>
      </c>
      <c r="BD263" s="129">
        <v>0</v>
      </c>
      <c r="BE263" s="129">
        <v>0</v>
      </c>
      <c r="BF263" s="129">
        <v>-11399754</v>
      </c>
      <c r="BG263" s="129">
        <v>0</v>
      </c>
      <c r="BH263" s="129">
        <v>0</v>
      </c>
      <c r="BI263" s="129">
        <v>0</v>
      </c>
      <c r="BJ263" s="129">
        <v>-11399754</v>
      </c>
      <c r="BK263" s="129">
        <v>0</v>
      </c>
      <c r="BL263" s="129">
        <v>-11399754</v>
      </c>
      <c r="BM263" s="129">
        <v>-50000</v>
      </c>
      <c r="BN263" s="129">
        <v>0</v>
      </c>
      <c r="BO263" s="129">
        <v>-50000</v>
      </c>
      <c r="BP263" s="129">
        <v>-653043</v>
      </c>
      <c r="BQ263" s="129">
        <v>0</v>
      </c>
      <c r="BR263" s="129">
        <v>-653043</v>
      </c>
      <c r="BS263" s="129">
        <v>-703043</v>
      </c>
      <c r="BT263" s="129">
        <v>0</v>
      </c>
      <c r="BU263" s="129">
        <v>-50000</v>
      </c>
      <c r="BV263" s="129">
        <v>0</v>
      </c>
      <c r="BW263" s="129">
        <v>-753043</v>
      </c>
      <c r="BX263" s="129">
        <v>0</v>
      </c>
      <c r="BY263" s="129">
        <v>-753043</v>
      </c>
      <c r="BZ263" s="129">
        <v>0</v>
      </c>
      <c r="CA263" s="129">
        <v>0</v>
      </c>
      <c r="CB263" s="129">
        <v>0</v>
      </c>
      <c r="CC263" s="129">
        <v>-38863</v>
      </c>
      <c r="CD263" s="129">
        <v>0</v>
      </c>
      <c r="CE263" s="129">
        <v>-38863</v>
      </c>
      <c r="CF263" s="129">
        <v>0</v>
      </c>
      <c r="CG263" s="129">
        <v>0</v>
      </c>
      <c r="CH263" s="129">
        <v>0</v>
      </c>
      <c r="CI263" s="129">
        <v>0</v>
      </c>
      <c r="CJ263" s="129">
        <v>0</v>
      </c>
      <c r="CK263" s="129">
        <v>0</v>
      </c>
      <c r="CL263" s="129">
        <v>0</v>
      </c>
      <c r="CM263" s="129">
        <v>0</v>
      </c>
      <c r="CN263" s="129">
        <v>0</v>
      </c>
      <c r="CO263" s="129">
        <v>0</v>
      </c>
      <c r="CP263" s="129">
        <v>0</v>
      </c>
      <c r="CQ263" s="129">
        <v>0</v>
      </c>
      <c r="CR263" s="129">
        <v>0</v>
      </c>
      <c r="CS263" s="129">
        <v>0</v>
      </c>
      <c r="CT263" s="129">
        <v>-38863</v>
      </c>
      <c r="CU263" s="129">
        <v>0</v>
      </c>
      <c r="CV263" s="129">
        <v>0</v>
      </c>
      <c r="CW263" s="129">
        <v>0</v>
      </c>
      <c r="CX263" s="129">
        <v>-38863</v>
      </c>
      <c r="CY263" s="129">
        <v>0</v>
      </c>
      <c r="CZ263" s="129">
        <v>-38863</v>
      </c>
      <c r="DA263" s="129">
        <v>0</v>
      </c>
      <c r="DB263" s="129">
        <v>0</v>
      </c>
      <c r="DC263" s="129">
        <v>0</v>
      </c>
      <c r="DD263" s="129">
        <v>-13953</v>
      </c>
      <c r="DE263" s="129">
        <v>0</v>
      </c>
      <c r="DF263" s="129">
        <v>-13953</v>
      </c>
      <c r="DG263" s="129">
        <v>0</v>
      </c>
      <c r="DH263" s="129">
        <v>0</v>
      </c>
      <c r="DI263" s="129">
        <v>0</v>
      </c>
      <c r="DJ263" s="129">
        <v>-13953</v>
      </c>
      <c r="DK263" s="129">
        <v>0</v>
      </c>
      <c r="DL263" s="129">
        <v>0</v>
      </c>
      <c r="DM263" s="129">
        <v>0</v>
      </c>
      <c r="DN263" s="129">
        <v>-13953</v>
      </c>
      <c r="DO263" s="129">
        <v>0</v>
      </c>
      <c r="DP263" s="129">
        <v>-13953</v>
      </c>
      <c r="DQ263" s="129">
        <v>61520847</v>
      </c>
      <c r="DR263" s="129">
        <v>0</v>
      </c>
      <c r="DS263" s="129">
        <v>61520847</v>
      </c>
      <c r="DT263" s="662" t="s">
        <v>383</v>
      </c>
      <c r="DU263" s="324" t="s">
        <v>576</v>
      </c>
      <c r="DV263" s="669" t="s">
        <v>485</v>
      </c>
      <c r="DW263" s="529" t="s">
        <v>1469</v>
      </c>
    </row>
    <row r="264" spans="1:127" ht="12.75" x14ac:dyDescent="0.2">
      <c r="A264" s="664">
        <v>257</v>
      </c>
      <c r="B264" s="665" t="s">
        <v>386</v>
      </c>
      <c r="C264" s="666" t="s">
        <v>1201</v>
      </c>
      <c r="D264" s="667" t="s">
        <v>1202</v>
      </c>
      <c r="E264" s="668" t="s">
        <v>385</v>
      </c>
      <c r="F264" s="753" t="s">
        <v>1889</v>
      </c>
      <c r="G264" s="129">
        <v>131555035</v>
      </c>
      <c r="H264" s="129">
        <v>0</v>
      </c>
      <c r="I264" s="129">
        <v>131555035</v>
      </c>
      <c r="J264" s="793">
        <v>49.9</v>
      </c>
      <c r="K264" s="129">
        <v>65645962</v>
      </c>
      <c r="L264" s="129">
        <v>0</v>
      </c>
      <c r="M264" s="129">
        <v>0</v>
      </c>
      <c r="N264" s="129">
        <v>0</v>
      </c>
      <c r="O264" s="129">
        <v>65645962</v>
      </c>
      <c r="P264" s="129">
        <v>0</v>
      </c>
      <c r="Q264" s="129">
        <v>65645962</v>
      </c>
      <c r="R264" s="129">
        <v>-111690</v>
      </c>
      <c r="S264" s="129">
        <v>0</v>
      </c>
      <c r="T264" s="129">
        <v>-111690</v>
      </c>
      <c r="U264" s="129">
        <v>39724</v>
      </c>
      <c r="V264" s="129">
        <v>0</v>
      </c>
      <c r="W264" s="129">
        <v>39724</v>
      </c>
      <c r="X264" s="129">
        <v>-71966</v>
      </c>
      <c r="Y264" s="129">
        <v>0</v>
      </c>
      <c r="Z264" s="129">
        <v>0</v>
      </c>
      <c r="AA264" s="129">
        <v>0</v>
      </c>
      <c r="AB264" s="129">
        <v>-71966</v>
      </c>
      <c r="AC264" s="129">
        <v>0</v>
      </c>
      <c r="AD264" s="129">
        <v>-71966</v>
      </c>
      <c r="AE264" s="129">
        <v>71966</v>
      </c>
      <c r="AF264" s="129">
        <v>0</v>
      </c>
      <c r="AG264" s="129">
        <v>71966</v>
      </c>
      <c r="AH264" s="129">
        <v>-6255773</v>
      </c>
      <c r="AI264" s="129">
        <v>0</v>
      </c>
      <c r="AJ264" s="129">
        <v>-6255773</v>
      </c>
      <c r="AK264" s="129">
        <v>-12986</v>
      </c>
      <c r="AL264" s="129">
        <v>0</v>
      </c>
      <c r="AM264" s="129">
        <v>-12986</v>
      </c>
      <c r="AN264" s="129">
        <v>1226622</v>
      </c>
      <c r="AO264" s="129">
        <v>0</v>
      </c>
      <c r="AP264" s="129">
        <v>1226622</v>
      </c>
      <c r="AQ264" s="129">
        <v>-5029151</v>
      </c>
      <c r="AR264" s="129">
        <v>0</v>
      </c>
      <c r="AS264" s="129">
        <v>-5029151</v>
      </c>
      <c r="AT264" s="129">
        <v>-3452819</v>
      </c>
      <c r="AU264" s="129">
        <v>0</v>
      </c>
      <c r="AV264" s="129">
        <v>-3452819</v>
      </c>
      <c r="AW264" s="129">
        <v>-103930</v>
      </c>
      <c r="AX264" s="129">
        <v>0</v>
      </c>
      <c r="AY264" s="129">
        <v>-103930</v>
      </c>
      <c r="AZ264" s="129">
        <v>-23494</v>
      </c>
      <c r="BA264" s="129">
        <v>0</v>
      </c>
      <c r="BB264" s="129">
        <v>-23494</v>
      </c>
      <c r="BC264" s="129">
        <v>0</v>
      </c>
      <c r="BD264" s="129">
        <v>0</v>
      </c>
      <c r="BE264" s="129">
        <v>0</v>
      </c>
      <c r="BF264" s="129">
        <v>-8609394</v>
      </c>
      <c r="BG264" s="129">
        <v>0</v>
      </c>
      <c r="BH264" s="129">
        <v>-50000</v>
      </c>
      <c r="BI264" s="129">
        <v>0</v>
      </c>
      <c r="BJ264" s="129">
        <v>-8659394</v>
      </c>
      <c r="BK264" s="129">
        <v>0</v>
      </c>
      <c r="BL264" s="129">
        <v>-8659394</v>
      </c>
      <c r="BM264" s="129">
        <v>-50000</v>
      </c>
      <c r="BN264" s="129">
        <v>0</v>
      </c>
      <c r="BO264" s="129">
        <v>-50000</v>
      </c>
      <c r="BP264" s="129">
        <v>-1094738</v>
      </c>
      <c r="BQ264" s="129">
        <v>0</v>
      </c>
      <c r="BR264" s="129">
        <v>-1094738</v>
      </c>
      <c r="BS264" s="129">
        <v>-1144738</v>
      </c>
      <c r="BT264" s="129">
        <v>0</v>
      </c>
      <c r="BU264" s="129">
        <v>-200000</v>
      </c>
      <c r="BV264" s="129">
        <v>0</v>
      </c>
      <c r="BW264" s="129">
        <v>-1344738</v>
      </c>
      <c r="BX264" s="129">
        <v>0</v>
      </c>
      <c r="BY264" s="129">
        <v>-1344738</v>
      </c>
      <c r="BZ264" s="129">
        <v>-205985</v>
      </c>
      <c r="CA264" s="129">
        <v>0</v>
      </c>
      <c r="CB264" s="129">
        <v>-205985</v>
      </c>
      <c r="CC264" s="129">
        <v>-111471</v>
      </c>
      <c r="CD264" s="129">
        <v>0</v>
      </c>
      <c r="CE264" s="129">
        <v>-111471</v>
      </c>
      <c r="CF264" s="129">
        <v>-25982</v>
      </c>
      <c r="CG264" s="129">
        <v>0</v>
      </c>
      <c r="CH264" s="129">
        <v>-25982</v>
      </c>
      <c r="CI264" s="129">
        <v>0</v>
      </c>
      <c r="CJ264" s="129">
        <v>0</v>
      </c>
      <c r="CK264" s="129">
        <v>0</v>
      </c>
      <c r="CL264" s="129">
        <v>-16342</v>
      </c>
      <c r="CM264" s="129">
        <v>0</v>
      </c>
      <c r="CN264" s="129">
        <v>-16342</v>
      </c>
      <c r="CO264" s="129">
        <v>0</v>
      </c>
      <c r="CP264" s="129">
        <v>0</v>
      </c>
      <c r="CQ264" s="129">
        <v>0</v>
      </c>
      <c r="CR264" s="129">
        <v>0</v>
      </c>
      <c r="CS264" s="129">
        <v>0</v>
      </c>
      <c r="CT264" s="129">
        <v>-359780</v>
      </c>
      <c r="CU264" s="129">
        <v>0</v>
      </c>
      <c r="CV264" s="129">
        <v>0</v>
      </c>
      <c r="CW264" s="129">
        <v>0</v>
      </c>
      <c r="CX264" s="129">
        <v>-359780</v>
      </c>
      <c r="CY264" s="129">
        <v>0</v>
      </c>
      <c r="CZ264" s="129">
        <v>-359780</v>
      </c>
      <c r="DA264" s="129">
        <v>-4163</v>
      </c>
      <c r="DB264" s="129">
        <v>0</v>
      </c>
      <c r="DC264" s="129">
        <v>-4163</v>
      </c>
      <c r="DD264" s="129">
        <v>-39093</v>
      </c>
      <c r="DE264" s="129">
        <v>0</v>
      </c>
      <c r="DF264" s="129">
        <v>-39093</v>
      </c>
      <c r="DG264" s="129">
        <v>-1500</v>
      </c>
      <c r="DH264" s="129">
        <v>0</v>
      </c>
      <c r="DI264" s="129">
        <v>-1500</v>
      </c>
      <c r="DJ264" s="129">
        <v>-44756</v>
      </c>
      <c r="DK264" s="129">
        <v>0</v>
      </c>
      <c r="DL264" s="129">
        <v>0</v>
      </c>
      <c r="DM264" s="129">
        <v>0</v>
      </c>
      <c r="DN264" s="129">
        <v>-44756</v>
      </c>
      <c r="DO264" s="129">
        <v>0</v>
      </c>
      <c r="DP264" s="129">
        <v>-44756</v>
      </c>
      <c r="DQ264" s="129">
        <v>55165328</v>
      </c>
      <c r="DR264" s="129">
        <v>0</v>
      </c>
      <c r="DS264" s="129">
        <v>55165328</v>
      </c>
      <c r="DT264" s="662" t="s">
        <v>385</v>
      </c>
      <c r="DU264" s="324" t="s">
        <v>543</v>
      </c>
      <c r="DV264" s="663" t="s">
        <v>542</v>
      </c>
      <c r="DW264" s="529" t="s">
        <v>1470</v>
      </c>
    </row>
    <row r="265" spans="1:127" ht="12.75" x14ac:dyDescent="0.2">
      <c r="A265" s="664">
        <v>258</v>
      </c>
      <c r="B265" s="665" t="s">
        <v>387</v>
      </c>
      <c r="C265" s="666" t="s">
        <v>486</v>
      </c>
      <c r="D265" s="667" t="s">
        <v>1224</v>
      </c>
      <c r="E265" s="668" t="s">
        <v>569</v>
      </c>
      <c r="F265" s="753" t="s">
        <v>1884</v>
      </c>
      <c r="G265" s="129">
        <v>258533231</v>
      </c>
      <c r="H265" s="129">
        <v>0</v>
      </c>
      <c r="I265" s="129">
        <v>258533231</v>
      </c>
      <c r="J265" s="793">
        <v>49.9</v>
      </c>
      <c r="K265" s="129">
        <v>129008082</v>
      </c>
      <c r="L265" s="129">
        <v>0</v>
      </c>
      <c r="M265" s="129">
        <v>0</v>
      </c>
      <c r="N265" s="129">
        <v>0</v>
      </c>
      <c r="O265" s="129">
        <v>129008082</v>
      </c>
      <c r="P265" s="129">
        <v>0</v>
      </c>
      <c r="Q265" s="129">
        <v>129008082</v>
      </c>
      <c r="R265" s="129">
        <v>-161491</v>
      </c>
      <c r="S265" s="129">
        <v>0</v>
      </c>
      <c r="T265" s="129">
        <v>-161491</v>
      </c>
      <c r="U265" s="129">
        <v>1080548</v>
      </c>
      <c r="V265" s="129">
        <v>0</v>
      </c>
      <c r="W265" s="129">
        <v>1080548</v>
      </c>
      <c r="X265" s="129">
        <v>919057</v>
      </c>
      <c r="Y265" s="129">
        <v>0</v>
      </c>
      <c r="Z265" s="129">
        <v>0</v>
      </c>
      <c r="AA265" s="129">
        <v>0</v>
      </c>
      <c r="AB265" s="129">
        <v>919057</v>
      </c>
      <c r="AC265" s="129">
        <v>0</v>
      </c>
      <c r="AD265" s="129">
        <v>919057</v>
      </c>
      <c r="AE265" s="129">
        <v>-919057</v>
      </c>
      <c r="AF265" s="129">
        <v>0</v>
      </c>
      <c r="AG265" s="129">
        <v>-919057</v>
      </c>
      <c r="AH265" s="129">
        <v>-5746896</v>
      </c>
      <c r="AI265" s="129">
        <v>0</v>
      </c>
      <c r="AJ265" s="129">
        <v>-5746896</v>
      </c>
      <c r="AK265" s="129">
        <v>-7560</v>
      </c>
      <c r="AL265" s="129">
        <v>0</v>
      </c>
      <c r="AM265" s="129">
        <v>-7560</v>
      </c>
      <c r="AN265" s="129">
        <v>2770941</v>
      </c>
      <c r="AO265" s="129">
        <v>0</v>
      </c>
      <c r="AP265" s="129">
        <v>2770941</v>
      </c>
      <c r="AQ265" s="129">
        <v>-2975955</v>
      </c>
      <c r="AR265" s="129">
        <v>0</v>
      </c>
      <c r="AS265" s="129">
        <v>-2975955</v>
      </c>
      <c r="AT265" s="129">
        <v>-7216911</v>
      </c>
      <c r="AU265" s="129">
        <v>0</v>
      </c>
      <c r="AV265" s="129">
        <v>-7216911</v>
      </c>
      <c r="AW265" s="129">
        <v>-90194</v>
      </c>
      <c r="AX265" s="129">
        <v>0</v>
      </c>
      <c r="AY265" s="129">
        <v>-90194</v>
      </c>
      <c r="AZ265" s="129">
        <v>-5649</v>
      </c>
      <c r="BA265" s="129">
        <v>0</v>
      </c>
      <c r="BB265" s="129">
        <v>-5649</v>
      </c>
      <c r="BC265" s="129">
        <v>0</v>
      </c>
      <c r="BD265" s="129">
        <v>0</v>
      </c>
      <c r="BE265" s="129">
        <v>0</v>
      </c>
      <c r="BF265" s="129">
        <v>-10288709</v>
      </c>
      <c r="BG265" s="129">
        <v>0</v>
      </c>
      <c r="BH265" s="129">
        <v>0</v>
      </c>
      <c r="BI265" s="129">
        <v>0</v>
      </c>
      <c r="BJ265" s="129">
        <v>-10288709</v>
      </c>
      <c r="BK265" s="129">
        <v>0</v>
      </c>
      <c r="BL265" s="129">
        <v>-10288709</v>
      </c>
      <c r="BM265" s="129">
        <v>-112320</v>
      </c>
      <c r="BN265" s="129">
        <v>0</v>
      </c>
      <c r="BO265" s="129">
        <v>-112320</v>
      </c>
      <c r="BP265" s="129">
        <v>-2517314</v>
      </c>
      <c r="BQ265" s="129">
        <v>0</v>
      </c>
      <c r="BR265" s="129">
        <v>-2517314</v>
      </c>
      <c r="BS265" s="129">
        <v>-2629634</v>
      </c>
      <c r="BT265" s="129">
        <v>0</v>
      </c>
      <c r="BU265" s="129">
        <v>-2647151</v>
      </c>
      <c r="BV265" s="129">
        <v>0</v>
      </c>
      <c r="BW265" s="129">
        <v>-5276785</v>
      </c>
      <c r="BX265" s="129">
        <v>0</v>
      </c>
      <c r="BY265" s="129">
        <v>-5276785</v>
      </c>
      <c r="BZ265" s="129">
        <v>-280779</v>
      </c>
      <c r="CA265" s="129">
        <v>0</v>
      </c>
      <c r="CB265" s="129">
        <v>-280779</v>
      </c>
      <c r="CC265" s="129">
        <v>-60935</v>
      </c>
      <c r="CD265" s="129">
        <v>0</v>
      </c>
      <c r="CE265" s="129">
        <v>-60935</v>
      </c>
      <c r="CF265" s="129">
        <v>-22548</v>
      </c>
      <c r="CG265" s="129">
        <v>0</v>
      </c>
      <c r="CH265" s="129">
        <v>-22548</v>
      </c>
      <c r="CI265" s="129">
        <v>0</v>
      </c>
      <c r="CJ265" s="129">
        <v>0</v>
      </c>
      <c r="CK265" s="129">
        <v>0</v>
      </c>
      <c r="CL265" s="129">
        <v>0</v>
      </c>
      <c r="CM265" s="129">
        <v>0</v>
      </c>
      <c r="CN265" s="129">
        <v>0</v>
      </c>
      <c r="CO265" s="129">
        <v>0</v>
      </c>
      <c r="CP265" s="129">
        <v>0</v>
      </c>
      <c r="CQ265" s="129">
        <v>0</v>
      </c>
      <c r="CR265" s="129">
        <v>0</v>
      </c>
      <c r="CS265" s="129">
        <v>0</v>
      </c>
      <c r="CT265" s="129">
        <v>-364262</v>
      </c>
      <c r="CU265" s="129">
        <v>0</v>
      </c>
      <c r="CV265" s="129">
        <v>0</v>
      </c>
      <c r="CW265" s="129">
        <v>0</v>
      </c>
      <c r="CX265" s="129">
        <v>-364262</v>
      </c>
      <c r="CY265" s="129">
        <v>0</v>
      </c>
      <c r="CZ265" s="129">
        <v>-364262</v>
      </c>
      <c r="DA265" s="129">
        <v>-5650</v>
      </c>
      <c r="DB265" s="129">
        <v>0</v>
      </c>
      <c r="DC265" s="129">
        <v>-5650</v>
      </c>
      <c r="DD265" s="129">
        <v>-9560</v>
      </c>
      <c r="DE265" s="129">
        <v>0</v>
      </c>
      <c r="DF265" s="129">
        <v>-9560</v>
      </c>
      <c r="DG265" s="129">
        <v>0</v>
      </c>
      <c r="DH265" s="129">
        <v>0</v>
      </c>
      <c r="DI265" s="129">
        <v>0</v>
      </c>
      <c r="DJ265" s="129">
        <v>-15210</v>
      </c>
      <c r="DK265" s="129">
        <v>0</v>
      </c>
      <c r="DL265" s="129">
        <v>0</v>
      </c>
      <c r="DM265" s="129">
        <v>0</v>
      </c>
      <c r="DN265" s="129">
        <v>-15210</v>
      </c>
      <c r="DO265" s="129">
        <v>0</v>
      </c>
      <c r="DP265" s="129">
        <v>-15210</v>
      </c>
      <c r="DQ265" s="129">
        <v>113982173</v>
      </c>
      <c r="DR265" s="129">
        <v>0</v>
      </c>
      <c r="DS265" s="129">
        <v>113982173</v>
      </c>
      <c r="DT265" s="662" t="s">
        <v>569</v>
      </c>
      <c r="DU265" s="324" t="s">
        <v>486</v>
      </c>
      <c r="DV265" s="663" t="s">
        <v>1916</v>
      </c>
      <c r="DW265" s="529" t="s">
        <v>1471</v>
      </c>
    </row>
    <row r="266" spans="1:127" ht="12.75" x14ac:dyDescent="0.2">
      <c r="A266" s="664">
        <v>259</v>
      </c>
      <c r="B266" s="665" t="s">
        <v>389</v>
      </c>
      <c r="C266" s="666" t="s">
        <v>1217</v>
      </c>
      <c r="D266" s="667" t="s">
        <v>1204</v>
      </c>
      <c r="E266" s="668" t="s">
        <v>388</v>
      </c>
      <c r="F266" s="753" t="s">
        <v>1891</v>
      </c>
      <c r="G266" s="129">
        <v>148875514</v>
      </c>
      <c r="H266" s="129">
        <v>0</v>
      </c>
      <c r="I266" s="129">
        <v>148875514</v>
      </c>
      <c r="J266" s="793">
        <v>49.9</v>
      </c>
      <c r="K266" s="129">
        <v>74288881</v>
      </c>
      <c r="L266" s="129">
        <v>0</v>
      </c>
      <c r="M266" s="129">
        <v>0</v>
      </c>
      <c r="N266" s="129">
        <v>0</v>
      </c>
      <c r="O266" s="129">
        <v>74288881</v>
      </c>
      <c r="P266" s="129">
        <v>0</v>
      </c>
      <c r="Q266" s="129">
        <v>74288881</v>
      </c>
      <c r="R266" s="129">
        <v>-190697</v>
      </c>
      <c r="S266" s="129">
        <v>0</v>
      </c>
      <c r="T266" s="129">
        <v>-190697</v>
      </c>
      <c r="U266" s="129">
        <v>958222</v>
      </c>
      <c r="V266" s="129">
        <v>0</v>
      </c>
      <c r="W266" s="129">
        <v>958222</v>
      </c>
      <c r="X266" s="129">
        <v>767525</v>
      </c>
      <c r="Y266" s="129">
        <v>0</v>
      </c>
      <c r="Z266" s="129">
        <v>0</v>
      </c>
      <c r="AA266" s="129">
        <v>0</v>
      </c>
      <c r="AB266" s="129">
        <v>767525</v>
      </c>
      <c r="AC266" s="129">
        <v>0</v>
      </c>
      <c r="AD266" s="129">
        <v>767525</v>
      </c>
      <c r="AE266" s="129">
        <v>-767525</v>
      </c>
      <c r="AF266" s="129">
        <v>0</v>
      </c>
      <c r="AG266" s="129">
        <v>-767525</v>
      </c>
      <c r="AH266" s="129">
        <v>-10077753</v>
      </c>
      <c r="AI266" s="129">
        <v>0</v>
      </c>
      <c r="AJ266" s="129">
        <v>-10077753</v>
      </c>
      <c r="AK266" s="129">
        <v>0</v>
      </c>
      <c r="AL266" s="129">
        <v>0</v>
      </c>
      <c r="AM266" s="129">
        <v>0</v>
      </c>
      <c r="AN266" s="129">
        <v>1267562</v>
      </c>
      <c r="AO266" s="129">
        <v>0</v>
      </c>
      <c r="AP266" s="129">
        <v>1267562</v>
      </c>
      <c r="AQ266" s="129">
        <v>-8810191</v>
      </c>
      <c r="AR266" s="129">
        <v>0</v>
      </c>
      <c r="AS266" s="129">
        <v>-8810191</v>
      </c>
      <c r="AT266" s="129">
        <v>-4680081</v>
      </c>
      <c r="AU266" s="129">
        <v>0</v>
      </c>
      <c r="AV266" s="129">
        <v>-4680081</v>
      </c>
      <c r="AW266" s="129">
        <v>-137988</v>
      </c>
      <c r="AX266" s="129">
        <v>0</v>
      </c>
      <c r="AY266" s="129">
        <v>-137988</v>
      </c>
      <c r="AZ266" s="129">
        <v>0</v>
      </c>
      <c r="BA266" s="129">
        <v>0</v>
      </c>
      <c r="BB266" s="129">
        <v>0</v>
      </c>
      <c r="BC266" s="129">
        <v>0</v>
      </c>
      <c r="BD266" s="129">
        <v>0</v>
      </c>
      <c r="BE266" s="129">
        <v>0</v>
      </c>
      <c r="BF266" s="129">
        <v>-13628260</v>
      </c>
      <c r="BG266" s="129">
        <v>0</v>
      </c>
      <c r="BH266" s="129">
        <v>0</v>
      </c>
      <c r="BI266" s="129">
        <v>0</v>
      </c>
      <c r="BJ266" s="129">
        <v>-13628260</v>
      </c>
      <c r="BK266" s="129">
        <v>0</v>
      </c>
      <c r="BL266" s="129">
        <v>-13628260</v>
      </c>
      <c r="BM266" s="129">
        <v>0</v>
      </c>
      <c r="BN266" s="129">
        <v>0</v>
      </c>
      <c r="BO266" s="129">
        <v>0</v>
      </c>
      <c r="BP266" s="129">
        <v>-1729826</v>
      </c>
      <c r="BQ266" s="129">
        <v>0</v>
      </c>
      <c r="BR266" s="129">
        <v>-1729826</v>
      </c>
      <c r="BS266" s="129">
        <v>-1729826</v>
      </c>
      <c r="BT266" s="129">
        <v>0</v>
      </c>
      <c r="BU266" s="129">
        <v>0</v>
      </c>
      <c r="BV266" s="129">
        <v>0</v>
      </c>
      <c r="BW266" s="129">
        <v>-1729826</v>
      </c>
      <c r="BX266" s="129">
        <v>0</v>
      </c>
      <c r="BY266" s="129">
        <v>-1729826</v>
      </c>
      <c r="BZ266" s="129">
        <v>-9190</v>
      </c>
      <c r="CA266" s="129">
        <v>0</v>
      </c>
      <c r="CB266" s="129">
        <v>-9190</v>
      </c>
      <c r="CC266" s="129">
        <v>-22117</v>
      </c>
      <c r="CD266" s="129">
        <v>0</v>
      </c>
      <c r="CE266" s="129">
        <v>-22117</v>
      </c>
      <c r="CF266" s="129">
        <v>-489</v>
      </c>
      <c r="CG266" s="129">
        <v>0</v>
      </c>
      <c r="CH266" s="129">
        <v>-489</v>
      </c>
      <c r="CI266" s="129">
        <v>0</v>
      </c>
      <c r="CJ266" s="129">
        <v>0</v>
      </c>
      <c r="CK266" s="129">
        <v>0</v>
      </c>
      <c r="CL266" s="129">
        <v>0</v>
      </c>
      <c r="CM266" s="129">
        <v>0</v>
      </c>
      <c r="CN266" s="129">
        <v>0</v>
      </c>
      <c r="CO266" s="129">
        <v>0</v>
      </c>
      <c r="CP266" s="129">
        <v>0</v>
      </c>
      <c r="CQ266" s="129">
        <v>0</v>
      </c>
      <c r="CR266" s="129">
        <v>0</v>
      </c>
      <c r="CS266" s="129">
        <v>0</v>
      </c>
      <c r="CT266" s="129">
        <v>-31796</v>
      </c>
      <c r="CU266" s="129">
        <v>0</v>
      </c>
      <c r="CV266" s="129">
        <v>0</v>
      </c>
      <c r="CW266" s="129">
        <v>0</v>
      </c>
      <c r="CX266" s="129">
        <v>-31796</v>
      </c>
      <c r="CY266" s="129">
        <v>0</v>
      </c>
      <c r="CZ266" s="129">
        <v>-31796</v>
      </c>
      <c r="DA266" s="129">
        <v>0</v>
      </c>
      <c r="DB266" s="129">
        <v>0</v>
      </c>
      <c r="DC266" s="129">
        <v>0</v>
      </c>
      <c r="DD266" s="129">
        <v>-20785</v>
      </c>
      <c r="DE266" s="129">
        <v>0</v>
      </c>
      <c r="DF266" s="129">
        <v>-20785</v>
      </c>
      <c r="DG266" s="129">
        <v>-1500</v>
      </c>
      <c r="DH266" s="129">
        <v>0</v>
      </c>
      <c r="DI266" s="129">
        <v>-1500</v>
      </c>
      <c r="DJ266" s="129">
        <v>-22285</v>
      </c>
      <c r="DK266" s="129">
        <v>0</v>
      </c>
      <c r="DL266" s="129">
        <v>0</v>
      </c>
      <c r="DM266" s="129">
        <v>0</v>
      </c>
      <c r="DN266" s="129">
        <v>-22285</v>
      </c>
      <c r="DO266" s="129">
        <v>0</v>
      </c>
      <c r="DP266" s="129">
        <v>-22285</v>
      </c>
      <c r="DQ266" s="129">
        <v>59644239</v>
      </c>
      <c r="DR266" s="129">
        <v>0</v>
      </c>
      <c r="DS266" s="129">
        <v>59644239</v>
      </c>
      <c r="DT266" s="662" t="s">
        <v>388</v>
      </c>
      <c r="DU266" s="324" t="s">
        <v>570</v>
      </c>
      <c r="DV266" s="663" t="s">
        <v>1915</v>
      </c>
      <c r="DW266" s="529" t="s">
        <v>1472</v>
      </c>
    </row>
    <row r="267" spans="1:127" ht="12.75" x14ac:dyDescent="0.2">
      <c r="A267" s="664">
        <v>260</v>
      </c>
      <c r="B267" s="665" t="s">
        <v>391</v>
      </c>
      <c r="C267" s="666" t="s">
        <v>1201</v>
      </c>
      <c r="D267" s="667" t="s">
        <v>1228</v>
      </c>
      <c r="E267" s="668" t="s">
        <v>390</v>
      </c>
      <c r="F267" s="753" t="s">
        <v>1887</v>
      </c>
      <c r="G267" s="129">
        <v>80378084</v>
      </c>
      <c r="H267" s="129">
        <v>0</v>
      </c>
      <c r="I267" s="129">
        <v>80378084</v>
      </c>
      <c r="J267" s="793">
        <v>49.9</v>
      </c>
      <c r="K267" s="129">
        <v>40108664</v>
      </c>
      <c r="L267" s="129">
        <v>0</v>
      </c>
      <c r="M267" s="129">
        <v>678000</v>
      </c>
      <c r="N267" s="129">
        <v>0</v>
      </c>
      <c r="O267" s="129">
        <v>40786664</v>
      </c>
      <c r="P267" s="129">
        <v>0</v>
      </c>
      <c r="Q267" s="129">
        <v>40786664</v>
      </c>
      <c r="R267" s="129">
        <v>-66880</v>
      </c>
      <c r="S267" s="129">
        <v>0</v>
      </c>
      <c r="T267" s="129">
        <v>-66880</v>
      </c>
      <c r="U267" s="129">
        <v>154763</v>
      </c>
      <c r="V267" s="129">
        <v>0</v>
      </c>
      <c r="W267" s="129">
        <v>154763</v>
      </c>
      <c r="X267" s="129">
        <v>87883</v>
      </c>
      <c r="Y267" s="129">
        <v>0</v>
      </c>
      <c r="Z267" s="129">
        <v>0</v>
      </c>
      <c r="AA267" s="129">
        <v>0</v>
      </c>
      <c r="AB267" s="129">
        <v>87883</v>
      </c>
      <c r="AC267" s="129">
        <v>0</v>
      </c>
      <c r="AD267" s="129">
        <v>87883</v>
      </c>
      <c r="AE267" s="129">
        <v>-87883</v>
      </c>
      <c r="AF267" s="129">
        <v>0</v>
      </c>
      <c r="AG267" s="129">
        <v>-87883</v>
      </c>
      <c r="AH267" s="129">
        <v>-2529583</v>
      </c>
      <c r="AI267" s="129">
        <v>0</v>
      </c>
      <c r="AJ267" s="129">
        <v>-2529583</v>
      </c>
      <c r="AK267" s="129">
        <v>-3842</v>
      </c>
      <c r="AL267" s="129">
        <v>0</v>
      </c>
      <c r="AM267" s="129">
        <v>-3842</v>
      </c>
      <c r="AN267" s="129">
        <v>800981</v>
      </c>
      <c r="AO267" s="129">
        <v>0</v>
      </c>
      <c r="AP267" s="129">
        <v>800981</v>
      </c>
      <c r="AQ267" s="129">
        <v>-1728602</v>
      </c>
      <c r="AR267" s="129">
        <v>0</v>
      </c>
      <c r="AS267" s="129">
        <v>-1728602</v>
      </c>
      <c r="AT267" s="129">
        <v>-1512347</v>
      </c>
      <c r="AU267" s="129">
        <v>0</v>
      </c>
      <c r="AV267" s="129">
        <v>-1512347</v>
      </c>
      <c r="AW267" s="129">
        <v>-46182</v>
      </c>
      <c r="AX267" s="129">
        <v>0</v>
      </c>
      <c r="AY267" s="129">
        <v>-46182</v>
      </c>
      <c r="AZ267" s="129">
        <v>0</v>
      </c>
      <c r="BA267" s="129">
        <v>0</v>
      </c>
      <c r="BB267" s="129">
        <v>0</v>
      </c>
      <c r="BC267" s="129">
        <v>0</v>
      </c>
      <c r="BD267" s="129">
        <v>0</v>
      </c>
      <c r="BE267" s="129">
        <v>0</v>
      </c>
      <c r="BF267" s="129">
        <v>-3287131</v>
      </c>
      <c r="BG267" s="129">
        <v>0</v>
      </c>
      <c r="BH267" s="129">
        <v>-355000</v>
      </c>
      <c r="BI267" s="129">
        <v>0</v>
      </c>
      <c r="BJ267" s="129">
        <v>-3642131</v>
      </c>
      <c r="BK267" s="129">
        <v>0</v>
      </c>
      <c r="BL267" s="129">
        <v>-3642131</v>
      </c>
      <c r="BM267" s="129">
        <v>-42500</v>
      </c>
      <c r="BN267" s="129">
        <v>0</v>
      </c>
      <c r="BO267" s="129">
        <v>-42500</v>
      </c>
      <c r="BP267" s="129">
        <v>-1146293</v>
      </c>
      <c r="BQ267" s="129">
        <v>0</v>
      </c>
      <c r="BR267" s="129">
        <v>-1146293</v>
      </c>
      <c r="BS267" s="129">
        <v>-1188793</v>
      </c>
      <c r="BT267" s="129">
        <v>0</v>
      </c>
      <c r="BU267" s="129">
        <v>-180000</v>
      </c>
      <c r="BV267" s="129">
        <v>0</v>
      </c>
      <c r="BW267" s="129">
        <v>-1368793</v>
      </c>
      <c r="BX267" s="129">
        <v>0</v>
      </c>
      <c r="BY267" s="129">
        <v>-1368793</v>
      </c>
      <c r="BZ267" s="129">
        <v>-18538</v>
      </c>
      <c r="CA267" s="129">
        <v>0</v>
      </c>
      <c r="CB267" s="129">
        <v>-18538</v>
      </c>
      <c r="CC267" s="129">
        <v>-2277</v>
      </c>
      <c r="CD267" s="129">
        <v>0</v>
      </c>
      <c r="CE267" s="129">
        <v>-2277</v>
      </c>
      <c r="CF267" s="129">
        <v>0</v>
      </c>
      <c r="CG267" s="129">
        <v>0</v>
      </c>
      <c r="CH267" s="129">
        <v>0</v>
      </c>
      <c r="CI267" s="129">
        <v>0</v>
      </c>
      <c r="CJ267" s="129">
        <v>0</v>
      </c>
      <c r="CK267" s="129">
        <v>0</v>
      </c>
      <c r="CL267" s="129">
        <v>0</v>
      </c>
      <c r="CM267" s="129">
        <v>0</v>
      </c>
      <c r="CN267" s="129">
        <v>0</v>
      </c>
      <c r="CO267" s="129">
        <v>0</v>
      </c>
      <c r="CP267" s="129">
        <v>0</v>
      </c>
      <c r="CQ267" s="129">
        <v>0</v>
      </c>
      <c r="CR267" s="129">
        <v>0</v>
      </c>
      <c r="CS267" s="129">
        <v>0</v>
      </c>
      <c r="CT267" s="129">
        <v>-20815</v>
      </c>
      <c r="CU267" s="129">
        <v>0</v>
      </c>
      <c r="CV267" s="129">
        <v>0</v>
      </c>
      <c r="CW267" s="129">
        <v>0</v>
      </c>
      <c r="CX267" s="129">
        <v>-20815</v>
      </c>
      <c r="CY267" s="129">
        <v>0</v>
      </c>
      <c r="CZ267" s="129">
        <v>-20815</v>
      </c>
      <c r="DA267" s="129">
        <v>0</v>
      </c>
      <c r="DB267" s="129">
        <v>0</v>
      </c>
      <c r="DC267" s="129">
        <v>0</v>
      </c>
      <c r="DD267" s="129">
        <v>-4444</v>
      </c>
      <c r="DE267" s="129">
        <v>0</v>
      </c>
      <c r="DF267" s="129">
        <v>-4444</v>
      </c>
      <c r="DG267" s="129">
        <v>0</v>
      </c>
      <c r="DH267" s="129">
        <v>0</v>
      </c>
      <c r="DI267" s="129">
        <v>0</v>
      </c>
      <c r="DJ267" s="129">
        <v>-4444</v>
      </c>
      <c r="DK267" s="129">
        <v>0</v>
      </c>
      <c r="DL267" s="129">
        <v>0</v>
      </c>
      <c r="DM267" s="129">
        <v>0</v>
      </c>
      <c r="DN267" s="129">
        <v>-4444</v>
      </c>
      <c r="DO267" s="129">
        <v>0</v>
      </c>
      <c r="DP267" s="129">
        <v>-4444</v>
      </c>
      <c r="DQ267" s="129">
        <v>35838364</v>
      </c>
      <c r="DR267" s="129">
        <v>0</v>
      </c>
      <c r="DS267" s="129">
        <v>35838364</v>
      </c>
      <c r="DT267" s="662" t="s">
        <v>390</v>
      </c>
      <c r="DU267" s="324" t="s">
        <v>564</v>
      </c>
      <c r="DV267" s="663" t="s">
        <v>1917</v>
      </c>
      <c r="DW267" s="529" t="s">
        <v>1473</v>
      </c>
    </row>
    <row r="268" spans="1:127" ht="12.75" x14ac:dyDescent="0.2">
      <c r="A268" s="664">
        <v>261</v>
      </c>
      <c r="B268" s="665" t="s">
        <v>393</v>
      </c>
      <c r="C268" s="666" t="s">
        <v>1201</v>
      </c>
      <c r="D268" s="667" t="s">
        <v>1202</v>
      </c>
      <c r="E268" s="668" t="s">
        <v>392</v>
      </c>
      <c r="F268" s="753" t="s">
        <v>1905</v>
      </c>
      <c r="G268" s="129">
        <v>60079707</v>
      </c>
      <c r="H268" s="129">
        <v>0</v>
      </c>
      <c r="I268" s="129">
        <v>60079707</v>
      </c>
      <c r="J268" s="793">
        <v>49.9</v>
      </c>
      <c r="K268" s="129">
        <v>29979774</v>
      </c>
      <c r="L268" s="129">
        <v>0</v>
      </c>
      <c r="M268" s="129">
        <v>0</v>
      </c>
      <c r="N268" s="129">
        <v>0</v>
      </c>
      <c r="O268" s="129">
        <v>29979774</v>
      </c>
      <c r="P268" s="129">
        <v>0</v>
      </c>
      <c r="Q268" s="129">
        <v>29979774</v>
      </c>
      <c r="R268" s="129">
        <v>-188834</v>
      </c>
      <c r="S268" s="129">
        <v>0</v>
      </c>
      <c r="T268" s="129">
        <v>-188834</v>
      </c>
      <c r="U268" s="129">
        <v>35586</v>
      </c>
      <c r="V268" s="129">
        <v>0</v>
      </c>
      <c r="W268" s="129">
        <v>35586</v>
      </c>
      <c r="X268" s="129">
        <v>-153248</v>
      </c>
      <c r="Y268" s="129">
        <v>0</v>
      </c>
      <c r="Z268" s="129">
        <v>0</v>
      </c>
      <c r="AA268" s="129">
        <v>0</v>
      </c>
      <c r="AB268" s="129">
        <v>-153248</v>
      </c>
      <c r="AC268" s="129">
        <v>0</v>
      </c>
      <c r="AD268" s="129">
        <v>-153248</v>
      </c>
      <c r="AE268" s="129">
        <v>153248</v>
      </c>
      <c r="AF268" s="129">
        <v>0</v>
      </c>
      <c r="AG268" s="129">
        <v>153248</v>
      </c>
      <c r="AH268" s="129">
        <v>-3563942</v>
      </c>
      <c r="AI268" s="129">
        <v>0</v>
      </c>
      <c r="AJ268" s="129">
        <v>-3563942</v>
      </c>
      <c r="AK268" s="129">
        <v>0</v>
      </c>
      <c r="AL268" s="129">
        <v>0</v>
      </c>
      <c r="AM268" s="129">
        <v>0</v>
      </c>
      <c r="AN268" s="129">
        <v>467232</v>
      </c>
      <c r="AO268" s="129">
        <v>0</v>
      </c>
      <c r="AP268" s="129">
        <v>467232</v>
      </c>
      <c r="AQ268" s="129">
        <v>-3096710</v>
      </c>
      <c r="AR268" s="129">
        <v>0</v>
      </c>
      <c r="AS268" s="129">
        <v>-3096710</v>
      </c>
      <c r="AT268" s="129">
        <v>-3533313</v>
      </c>
      <c r="AU268" s="129">
        <v>0</v>
      </c>
      <c r="AV268" s="129">
        <v>-3533313</v>
      </c>
      <c r="AW268" s="129">
        <v>-76945</v>
      </c>
      <c r="AX268" s="129">
        <v>0</v>
      </c>
      <c r="AY268" s="129">
        <v>-76945</v>
      </c>
      <c r="AZ268" s="129">
        <v>-17710</v>
      </c>
      <c r="BA268" s="129">
        <v>0</v>
      </c>
      <c r="BB268" s="129">
        <v>-17710</v>
      </c>
      <c r="BC268" s="129">
        <v>0</v>
      </c>
      <c r="BD268" s="129">
        <v>0</v>
      </c>
      <c r="BE268" s="129">
        <v>0</v>
      </c>
      <c r="BF268" s="129">
        <v>-6724678</v>
      </c>
      <c r="BG268" s="129">
        <v>0</v>
      </c>
      <c r="BH268" s="129">
        <v>0</v>
      </c>
      <c r="BI268" s="129">
        <v>0</v>
      </c>
      <c r="BJ268" s="129">
        <v>-6724678</v>
      </c>
      <c r="BK268" s="129">
        <v>0</v>
      </c>
      <c r="BL268" s="129">
        <v>-6724678</v>
      </c>
      <c r="BM268" s="129">
        <v>0</v>
      </c>
      <c r="BN268" s="129">
        <v>0</v>
      </c>
      <c r="BO268" s="129">
        <v>0</v>
      </c>
      <c r="BP268" s="129">
        <v>-540445</v>
      </c>
      <c r="BQ268" s="129">
        <v>0</v>
      </c>
      <c r="BR268" s="129">
        <v>-540445</v>
      </c>
      <c r="BS268" s="129">
        <v>-540445</v>
      </c>
      <c r="BT268" s="129">
        <v>0</v>
      </c>
      <c r="BU268" s="129">
        <v>-54045</v>
      </c>
      <c r="BV268" s="129">
        <v>0</v>
      </c>
      <c r="BW268" s="129">
        <v>-594490</v>
      </c>
      <c r="BX268" s="129">
        <v>0</v>
      </c>
      <c r="BY268" s="129">
        <v>-594490</v>
      </c>
      <c r="BZ268" s="129">
        <v>-44778</v>
      </c>
      <c r="CA268" s="129">
        <v>0</v>
      </c>
      <c r="CB268" s="129">
        <v>-44778</v>
      </c>
      <c r="CC268" s="129">
        <v>-12867</v>
      </c>
      <c r="CD268" s="129">
        <v>0</v>
      </c>
      <c r="CE268" s="129">
        <v>-12867</v>
      </c>
      <c r="CF268" s="129">
        <v>0</v>
      </c>
      <c r="CG268" s="129">
        <v>0</v>
      </c>
      <c r="CH268" s="129">
        <v>0</v>
      </c>
      <c r="CI268" s="129">
        <v>0</v>
      </c>
      <c r="CJ268" s="129">
        <v>0</v>
      </c>
      <c r="CK268" s="129">
        <v>0</v>
      </c>
      <c r="CL268" s="129">
        <v>0</v>
      </c>
      <c r="CM268" s="129">
        <v>0</v>
      </c>
      <c r="CN268" s="129">
        <v>0</v>
      </c>
      <c r="CO268" s="129">
        <v>0</v>
      </c>
      <c r="CP268" s="129">
        <v>0</v>
      </c>
      <c r="CQ268" s="129">
        <v>0</v>
      </c>
      <c r="CR268" s="129">
        <v>0</v>
      </c>
      <c r="CS268" s="129">
        <v>0</v>
      </c>
      <c r="CT268" s="129">
        <v>-57645</v>
      </c>
      <c r="CU268" s="129">
        <v>0</v>
      </c>
      <c r="CV268" s="129">
        <v>0</v>
      </c>
      <c r="CW268" s="129">
        <v>0</v>
      </c>
      <c r="CX268" s="129">
        <v>-57645</v>
      </c>
      <c r="CY268" s="129">
        <v>0</v>
      </c>
      <c r="CZ268" s="129">
        <v>-57645</v>
      </c>
      <c r="DA268" s="129">
        <v>-17710</v>
      </c>
      <c r="DB268" s="129">
        <v>0</v>
      </c>
      <c r="DC268" s="129">
        <v>-17710</v>
      </c>
      <c r="DD268" s="129">
        <v>-87836</v>
      </c>
      <c r="DE268" s="129">
        <v>0</v>
      </c>
      <c r="DF268" s="129">
        <v>-87836</v>
      </c>
      <c r="DG268" s="129">
        <v>0</v>
      </c>
      <c r="DH268" s="129">
        <v>0</v>
      </c>
      <c r="DI268" s="129">
        <v>0</v>
      </c>
      <c r="DJ268" s="129">
        <v>-105546</v>
      </c>
      <c r="DK268" s="129">
        <v>0</v>
      </c>
      <c r="DL268" s="129">
        <v>0</v>
      </c>
      <c r="DM268" s="129">
        <v>0</v>
      </c>
      <c r="DN268" s="129">
        <v>-105546</v>
      </c>
      <c r="DO268" s="129">
        <v>0</v>
      </c>
      <c r="DP268" s="129">
        <v>-105546</v>
      </c>
      <c r="DQ268" s="129">
        <v>22344167</v>
      </c>
      <c r="DR268" s="129">
        <v>0</v>
      </c>
      <c r="DS268" s="129">
        <v>22344167</v>
      </c>
      <c r="DT268" s="662" t="s">
        <v>392</v>
      </c>
      <c r="DU268" s="324" t="s">
        <v>566</v>
      </c>
      <c r="DV268" s="663" t="s">
        <v>512</v>
      </c>
      <c r="DW268" s="529" t="s">
        <v>1474</v>
      </c>
    </row>
    <row r="269" spans="1:127" ht="12.75" x14ac:dyDescent="0.2">
      <c r="A269" s="664">
        <v>262</v>
      </c>
      <c r="B269" s="665" t="s">
        <v>395</v>
      </c>
      <c r="C269" s="666" t="s">
        <v>1201</v>
      </c>
      <c r="D269" s="667" t="s">
        <v>1224</v>
      </c>
      <c r="E269" s="668" t="s">
        <v>394</v>
      </c>
      <c r="F269" s="753" t="s">
        <v>1879</v>
      </c>
      <c r="G269" s="129">
        <v>85141086</v>
      </c>
      <c r="H269" s="129">
        <v>0</v>
      </c>
      <c r="I269" s="129">
        <v>85141086</v>
      </c>
      <c r="J269" s="793">
        <v>49.9</v>
      </c>
      <c r="K269" s="129">
        <v>42485402</v>
      </c>
      <c r="L269" s="129">
        <v>0</v>
      </c>
      <c r="M269" s="129">
        <v>-103884</v>
      </c>
      <c r="N269" s="129">
        <v>0</v>
      </c>
      <c r="O269" s="129">
        <v>42381518</v>
      </c>
      <c r="P269" s="129">
        <v>0</v>
      </c>
      <c r="Q269" s="129">
        <v>42381518</v>
      </c>
      <c r="R269" s="129">
        <v>-148332</v>
      </c>
      <c r="S269" s="129">
        <v>0</v>
      </c>
      <c r="T269" s="129">
        <v>-148332</v>
      </c>
      <c r="U269" s="129">
        <v>304214</v>
      </c>
      <c r="V269" s="129">
        <v>0</v>
      </c>
      <c r="W269" s="129">
        <v>304214</v>
      </c>
      <c r="X269" s="129">
        <v>155882</v>
      </c>
      <c r="Y269" s="129">
        <v>0</v>
      </c>
      <c r="Z269" s="129">
        <v>0</v>
      </c>
      <c r="AA269" s="129">
        <v>0</v>
      </c>
      <c r="AB269" s="129">
        <v>155882</v>
      </c>
      <c r="AC269" s="129">
        <v>0</v>
      </c>
      <c r="AD269" s="129">
        <v>155882</v>
      </c>
      <c r="AE269" s="129">
        <v>-155882</v>
      </c>
      <c r="AF269" s="129">
        <v>0</v>
      </c>
      <c r="AG269" s="129">
        <v>-155882</v>
      </c>
      <c r="AH269" s="129">
        <v>-7215117</v>
      </c>
      <c r="AI269" s="129">
        <v>0</v>
      </c>
      <c r="AJ269" s="129">
        <v>-7215117</v>
      </c>
      <c r="AK269" s="129">
        <v>-713</v>
      </c>
      <c r="AL269" s="129">
        <v>0</v>
      </c>
      <c r="AM269" s="129">
        <v>-713</v>
      </c>
      <c r="AN269" s="129">
        <v>593840</v>
      </c>
      <c r="AO269" s="129">
        <v>0</v>
      </c>
      <c r="AP269" s="129">
        <v>593840</v>
      </c>
      <c r="AQ269" s="129">
        <v>-6621277</v>
      </c>
      <c r="AR269" s="129">
        <v>0</v>
      </c>
      <c r="AS269" s="129">
        <v>-6621277</v>
      </c>
      <c r="AT269" s="129">
        <v>-2973124</v>
      </c>
      <c r="AU269" s="129">
        <v>0</v>
      </c>
      <c r="AV269" s="129">
        <v>-2973124</v>
      </c>
      <c r="AW269" s="129">
        <v>-77279</v>
      </c>
      <c r="AX269" s="129">
        <v>0</v>
      </c>
      <c r="AY269" s="129">
        <v>-77279</v>
      </c>
      <c r="AZ269" s="129">
        <v>-35215</v>
      </c>
      <c r="BA269" s="129">
        <v>0</v>
      </c>
      <c r="BB269" s="129">
        <v>-35215</v>
      </c>
      <c r="BC269" s="129">
        <v>0</v>
      </c>
      <c r="BD269" s="129">
        <v>0</v>
      </c>
      <c r="BE269" s="129">
        <v>0</v>
      </c>
      <c r="BF269" s="129">
        <v>-9706895</v>
      </c>
      <c r="BG269" s="129">
        <v>0</v>
      </c>
      <c r="BH269" s="129">
        <v>0</v>
      </c>
      <c r="BI269" s="129">
        <v>0</v>
      </c>
      <c r="BJ269" s="129">
        <v>-9706895</v>
      </c>
      <c r="BK269" s="129">
        <v>0</v>
      </c>
      <c r="BL269" s="129">
        <v>-9706895</v>
      </c>
      <c r="BM269" s="129">
        <v>0</v>
      </c>
      <c r="BN269" s="129">
        <v>0</v>
      </c>
      <c r="BO269" s="129">
        <v>0</v>
      </c>
      <c r="BP269" s="129">
        <v>-761354</v>
      </c>
      <c r="BQ269" s="129">
        <v>0</v>
      </c>
      <c r="BR269" s="129">
        <v>-761354</v>
      </c>
      <c r="BS269" s="129">
        <v>-761354</v>
      </c>
      <c r="BT269" s="129">
        <v>0</v>
      </c>
      <c r="BU269" s="129">
        <v>0</v>
      </c>
      <c r="BV269" s="129">
        <v>0</v>
      </c>
      <c r="BW269" s="129">
        <v>-761354</v>
      </c>
      <c r="BX269" s="129">
        <v>0</v>
      </c>
      <c r="BY269" s="129">
        <v>-761354</v>
      </c>
      <c r="BZ269" s="129">
        <v>-88659</v>
      </c>
      <c r="CA269" s="129">
        <v>0</v>
      </c>
      <c r="CB269" s="129">
        <v>-88659</v>
      </c>
      <c r="CC269" s="129">
        <v>-11550</v>
      </c>
      <c r="CD269" s="129">
        <v>0</v>
      </c>
      <c r="CE269" s="129">
        <v>-11550</v>
      </c>
      <c r="CF269" s="129">
        <v>-6318</v>
      </c>
      <c r="CG269" s="129">
        <v>0</v>
      </c>
      <c r="CH269" s="129">
        <v>-6318</v>
      </c>
      <c r="CI269" s="129">
        <v>0</v>
      </c>
      <c r="CJ269" s="129">
        <v>0</v>
      </c>
      <c r="CK269" s="129">
        <v>0</v>
      </c>
      <c r="CL269" s="129">
        <v>-2121</v>
      </c>
      <c r="CM269" s="129">
        <v>0</v>
      </c>
      <c r="CN269" s="129">
        <v>-2121</v>
      </c>
      <c r="CO269" s="129">
        <v>0</v>
      </c>
      <c r="CP269" s="129">
        <v>0</v>
      </c>
      <c r="CQ269" s="129">
        <v>0</v>
      </c>
      <c r="CR269" s="129">
        <v>0</v>
      </c>
      <c r="CS269" s="129">
        <v>0</v>
      </c>
      <c r="CT269" s="129">
        <v>-108648</v>
      </c>
      <c r="CU269" s="129">
        <v>0</v>
      </c>
      <c r="CV269" s="129">
        <v>0</v>
      </c>
      <c r="CW269" s="129">
        <v>0</v>
      </c>
      <c r="CX269" s="129">
        <v>-108648</v>
      </c>
      <c r="CY269" s="129">
        <v>0</v>
      </c>
      <c r="CZ269" s="129">
        <v>-108648</v>
      </c>
      <c r="DA269" s="129">
        <v>-35215</v>
      </c>
      <c r="DB269" s="129">
        <v>0</v>
      </c>
      <c r="DC269" s="129">
        <v>-35215</v>
      </c>
      <c r="DD269" s="129">
        <v>-42206</v>
      </c>
      <c r="DE269" s="129">
        <v>0</v>
      </c>
      <c r="DF269" s="129">
        <v>-42206</v>
      </c>
      <c r="DG269" s="129">
        <v>-1500</v>
      </c>
      <c r="DH269" s="129">
        <v>0</v>
      </c>
      <c r="DI269" s="129">
        <v>-1500</v>
      </c>
      <c r="DJ269" s="129">
        <v>-78921</v>
      </c>
      <c r="DK269" s="129">
        <v>0</v>
      </c>
      <c r="DL269" s="129">
        <v>0</v>
      </c>
      <c r="DM269" s="129">
        <v>0</v>
      </c>
      <c r="DN269" s="129">
        <v>-78921</v>
      </c>
      <c r="DO269" s="129">
        <v>0</v>
      </c>
      <c r="DP269" s="129">
        <v>-78921</v>
      </c>
      <c r="DQ269" s="129">
        <v>31881582</v>
      </c>
      <c r="DR269" s="129">
        <v>0</v>
      </c>
      <c r="DS269" s="129">
        <v>31881582</v>
      </c>
      <c r="DT269" s="662" t="s">
        <v>394</v>
      </c>
      <c r="DU269" s="324" t="s">
        <v>521</v>
      </c>
      <c r="DV269" s="663" t="s">
        <v>519</v>
      </c>
      <c r="DW269" s="529" t="s">
        <v>1475</v>
      </c>
    </row>
    <row r="270" spans="1:127" ht="12.75" x14ac:dyDescent="0.2">
      <c r="A270" s="664">
        <v>263</v>
      </c>
      <c r="B270" s="665" t="s">
        <v>396</v>
      </c>
      <c r="C270" s="666" t="s">
        <v>486</v>
      </c>
      <c r="D270" s="667" t="s">
        <v>1228</v>
      </c>
      <c r="E270" s="668" t="s">
        <v>827</v>
      </c>
      <c r="F270" s="753" t="s">
        <v>1882</v>
      </c>
      <c r="G270" s="129">
        <v>183582762</v>
      </c>
      <c r="H270" s="129">
        <v>0</v>
      </c>
      <c r="I270" s="129">
        <v>183582762</v>
      </c>
      <c r="J270" s="793">
        <v>49.9</v>
      </c>
      <c r="K270" s="129">
        <v>91607798</v>
      </c>
      <c r="L270" s="129">
        <v>0</v>
      </c>
      <c r="M270" s="129">
        <v>270000</v>
      </c>
      <c r="N270" s="129">
        <v>0</v>
      </c>
      <c r="O270" s="129">
        <v>91877798</v>
      </c>
      <c r="P270" s="129">
        <v>0</v>
      </c>
      <c r="Q270" s="129">
        <v>91877798</v>
      </c>
      <c r="R270" s="129">
        <v>-390402</v>
      </c>
      <c r="S270" s="129">
        <v>0</v>
      </c>
      <c r="T270" s="129">
        <v>-390402</v>
      </c>
      <c r="U270" s="129">
        <v>281767</v>
      </c>
      <c r="V270" s="129">
        <v>0</v>
      </c>
      <c r="W270" s="129">
        <v>281767</v>
      </c>
      <c r="X270" s="129">
        <v>-108635</v>
      </c>
      <c r="Y270" s="129">
        <v>0</v>
      </c>
      <c r="Z270" s="129">
        <v>0</v>
      </c>
      <c r="AA270" s="129">
        <v>0</v>
      </c>
      <c r="AB270" s="129">
        <v>-108635</v>
      </c>
      <c r="AC270" s="129">
        <v>0</v>
      </c>
      <c r="AD270" s="129">
        <v>-108635</v>
      </c>
      <c r="AE270" s="129">
        <v>108635</v>
      </c>
      <c r="AF270" s="129">
        <v>0</v>
      </c>
      <c r="AG270" s="129">
        <v>108635</v>
      </c>
      <c r="AH270" s="129">
        <v>-5783625</v>
      </c>
      <c r="AI270" s="129">
        <v>0</v>
      </c>
      <c r="AJ270" s="129">
        <v>-5783625</v>
      </c>
      <c r="AK270" s="129">
        <v>-30489</v>
      </c>
      <c r="AL270" s="129">
        <v>0</v>
      </c>
      <c r="AM270" s="129">
        <v>-30489</v>
      </c>
      <c r="AN270" s="129">
        <v>1823573</v>
      </c>
      <c r="AO270" s="129">
        <v>0</v>
      </c>
      <c r="AP270" s="129">
        <v>1823573</v>
      </c>
      <c r="AQ270" s="129">
        <v>-3960052</v>
      </c>
      <c r="AR270" s="129">
        <v>0</v>
      </c>
      <c r="AS270" s="129">
        <v>-3960052</v>
      </c>
      <c r="AT270" s="129">
        <v>-5272065</v>
      </c>
      <c r="AU270" s="129">
        <v>0</v>
      </c>
      <c r="AV270" s="129">
        <v>-5272065</v>
      </c>
      <c r="AW270" s="129">
        <v>-49725</v>
      </c>
      <c r="AX270" s="129">
        <v>0</v>
      </c>
      <c r="AY270" s="129">
        <v>-49725</v>
      </c>
      <c r="AZ270" s="129">
        <v>-1318</v>
      </c>
      <c r="BA270" s="129">
        <v>0</v>
      </c>
      <c r="BB270" s="129">
        <v>-1318</v>
      </c>
      <c r="BC270" s="129">
        <v>0</v>
      </c>
      <c r="BD270" s="129">
        <v>0</v>
      </c>
      <c r="BE270" s="129">
        <v>0</v>
      </c>
      <c r="BF270" s="129">
        <v>-9283160</v>
      </c>
      <c r="BG270" s="129">
        <v>0</v>
      </c>
      <c r="BH270" s="129">
        <v>-300000</v>
      </c>
      <c r="BI270" s="129">
        <v>0</v>
      </c>
      <c r="BJ270" s="129">
        <v>-9583160</v>
      </c>
      <c r="BK270" s="129">
        <v>0</v>
      </c>
      <c r="BL270" s="129">
        <v>-9583160</v>
      </c>
      <c r="BM270" s="129">
        <v>-124366</v>
      </c>
      <c r="BN270" s="129">
        <v>0</v>
      </c>
      <c r="BO270" s="129">
        <v>-124366</v>
      </c>
      <c r="BP270" s="129">
        <v>-2876188</v>
      </c>
      <c r="BQ270" s="129">
        <v>0</v>
      </c>
      <c r="BR270" s="129">
        <v>-2876188</v>
      </c>
      <c r="BS270" s="129">
        <v>-3000554</v>
      </c>
      <c r="BT270" s="129">
        <v>0</v>
      </c>
      <c r="BU270" s="129">
        <v>-300000</v>
      </c>
      <c r="BV270" s="129">
        <v>0</v>
      </c>
      <c r="BW270" s="129">
        <v>-3300554</v>
      </c>
      <c r="BX270" s="129">
        <v>0</v>
      </c>
      <c r="BY270" s="129">
        <v>-3300554</v>
      </c>
      <c r="BZ270" s="129">
        <v>-287908</v>
      </c>
      <c r="CA270" s="129">
        <v>0</v>
      </c>
      <c r="CB270" s="129">
        <v>-287908</v>
      </c>
      <c r="CC270" s="129">
        <v>-54636</v>
      </c>
      <c r="CD270" s="129">
        <v>0</v>
      </c>
      <c r="CE270" s="129">
        <v>-54636</v>
      </c>
      <c r="CF270" s="129">
        <v>-7266</v>
      </c>
      <c r="CG270" s="129">
        <v>0</v>
      </c>
      <c r="CH270" s="129">
        <v>-7266</v>
      </c>
      <c r="CI270" s="129">
        <v>0</v>
      </c>
      <c r="CJ270" s="129">
        <v>0</v>
      </c>
      <c r="CK270" s="129">
        <v>0</v>
      </c>
      <c r="CL270" s="129">
        <v>0</v>
      </c>
      <c r="CM270" s="129">
        <v>0</v>
      </c>
      <c r="CN270" s="129">
        <v>0</v>
      </c>
      <c r="CO270" s="129">
        <v>-110000</v>
      </c>
      <c r="CP270" s="129">
        <v>0</v>
      </c>
      <c r="CQ270" s="129">
        <v>-110000</v>
      </c>
      <c r="CR270" s="129">
        <v>0</v>
      </c>
      <c r="CS270" s="129">
        <v>0</v>
      </c>
      <c r="CT270" s="129">
        <v>-459810</v>
      </c>
      <c r="CU270" s="129">
        <v>0</v>
      </c>
      <c r="CV270" s="129">
        <v>0</v>
      </c>
      <c r="CW270" s="129">
        <v>0</v>
      </c>
      <c r="CX270" s="129">
        <v>-459810</v>
      </c>
      <c r="CY270" s="129">
        <v>0</v>
      </c>
      <c r="CZ270" s="129">
        <v>-459810</v>
      </c>
      <c r="DA270" s="129">
        <v>-1318</v>
      </c>
      <c r="DB270" s="129">
        <v>0</v>
      </c>
      <c r="DC270" s="129">
        <v>-1318</v>
      </c>
      <c r="DD270" s="129">
        <v>-17757</v>
      </c>
      <c r="DE270" s="129">
        <v>0</v>
      </c>
      <c r="DF270" s="129">
        <v>-17757</v>
      </c>
      <c r="DG270" s="129">
        <v>-1500</v>
      </c>
      <c r="DH270" s="129">
        <v>0</v>
      </c>
      <c r="DI270" s="129">
        <v>-1500</v>
      </c>
      <c r="DJ270" s="129">
        <v>-20575</v>
      </c>
      <c r="DK270" s="129">
        <v>0</v>
      </c>
      <c r="DL270" s="129">
        <v>0</v>
      </c>
      <c r="DM270" s="129">
        <v>0</v>
      </c>
      <c r="DN270" s="129">
        <v>-20575</v>
      </c>
      <c r="DO270" s="129">
        <v>0</v>
      </c>
      <c r="DP270" s="129">
        <v>-20575</v>
      </c>
      <c r="DQ270" s="129">
        <v>78405064</v>
      </c>
      <c r="DR270" s="129">
        <v>0</v>
      </c>
      <c r="DS270" s="129">
        <v>78405064</v>
      </c>
      <c r="DT270" s="662" t="s">
        <v>827</v>
      </c>
      <c r="DU270" s="324" t="s">
        <v>486</v>
      </c>
      <c r="DV270" s="663" t="s">
        <v>561</v>
      </c>
      <c r="DW270" s="529" t="s">
        <v>1476</v>
      </c>
    </row>
    <row r="271" spans="1:127" ht="12.75" x14ac:dyDescent="0.2">
      <c r="A271" s="664">
        <v>264</v>
      </c>
      <c r="B271" s="665" t="s">
        <v>398</v>
      </c>
      <c r="C271" s="666" t="s">
        <v>1201</v>
      </c>
      <c r="D271" s="667" t="s">
        <v>1211</v>
      </c>
      <c r="E271" s="668" t="s">
        <v>397</v>
      </c>
      <c r="F271" s="753" t="s">
        <v>1896</v>
      </c>
      <c r="G271" s="129">
        <v>80721863</v>
      </c>
      <c r="H271" s="129">
        <v>0</v>
      </c>
      <c r="I271" s="129">
        <v>80721863</v>
      </c>
      <c r="J271" s="793">
        <v>49.9</v>
      </c>
      <c r="K271" s="129">
        <v>40280210</v>
      </c>
      <c r="L271" s="129">
        <v>0</v>
      </c>
      <c r="M271" s="129">
        <v>0</v>
      </c>
      <c r="N271" s="129">
        <v>0</v>
      </c>
      <c r="O271" s="129">
        <v>40280210</v>
      </c>
      <c r="P271" s="129">
        <v>0</v>
      </c>
      <c r="Q271" s="129">
        <v>40280210</v>
      </c>
      <c r="R271" s="129">
        <v>-99183</v>
      </c>
      <c r="S271" s="129">
        <v>0</v>
      </c>
      <c r="T271" s="129">
        <v>-99183</v>
      </c>
      <c r="U271" s="129">
        <v>72807</v>
      </c>
      <c r="V271" s="129">
        <v>0</v>
      </c>
      <c r="W271" s="129">
        <v>72807</v>
      </c>
      <c r="X271" s="129">
        <v>-26376</v>
      </c>
      <c r="Y271" s="129">
        <v>0</v>
      </c>
      <c r="Z271" s="129">
        <v>0</v>
      </c>
      <c r="AA271" s="129">
        <v>0</v>
      </c>
      <c r="AB271" s="129">
        <v>-26376</v>
      </c>
      <c r="AC271" s="129">
        <v>0</v>
      </c>
      <c r="AD271" s="129">
        <v>-26376</v>
      </c>
      <c r="AE271" s="129">
        <v>26376</v>
      </c>
      <c r="AF271" s="129">
        <v>0</v>
      </c>
      <c r="AG271" s="129">
        <v>26376</v>
      </c>
      <c r="AH271" s="129">
        <v>-7386080</v>
      </c>
      <c r="AI271" s="129">
        <v>0</v>
      </c>
      <c r="AJ271" s="129">
        <v>-7386080</v>
      </c>
      <c r="AK271" s="129">
        <v>-11352</v>
      </c>
      <c r="AL271" s="129">
        <v>0</v>
      </c>
      <c r="AM271" s="129">
        <v>-11352</v>
      </c>
      <c r="AN271" s="129">
        <v>607605</v>
      </c>
      <c r="AO271" s="129">
        <v>0</v>
      </c>
      <c r="AP271" s="129">
        <v>607605</v>
      </c>
      <c r="AQ271" s="129">
        <v>-6778475</v>
      </c>
      <c r="AR271" s="129">
        <v>0</v>
      </c>
      <c r="AS271" s="129">
        <v>-6778475</v>
      </c>
      <c r="AT271" s="129">
        <v>-2422078</v>
      </c>
      <c r="AU271" s="129">
        <v>0</v>
      </c>
      <c r="AV271" s="129">
        <v>-2422078</v>
      </c>
      <c r="AW271" s="129">
        <v>-178647</v>
      </c>
      <c r="AX271" s="129">
        <v>0</v>
      </c>
      <c r="AY271" s="129">
        <v>-178647</v>
      </c>
      <c r="AZ271" s="129">
        <v>-37638</v>
      </c>
      <c r="BA271" s="129">
        <v>0</v>
      </c>
      <c r="BB271" s="129">
        <v>-37638</v>
      </c>
      <c r="BC271" s="129">
        <v>0</v>
      </c>
      <c r="BD271" s="129">
        <v>0</v>
      </c>
      <c r="BE271" s="129">
        <v>0</v>
      </c>
      <c r="BF271" s="129">
        <v>-9416838</v>
      </c>
      <c r="BG271" s="129">
        <v>0</v>
      </c>
      <c r="BH271" s="129">
        <v>0</v>
      </c>
      <c r="BI271" s="129">
        <v>0</v>
      </c>
      <c r="BJ271" s="129">
        <v>-9416838</v>
      </c>
      <c r="BK271" s="129">
        <v>0</v>
      </c>
      <c r="BL271" s="129">
        <v>-9416838</v>
      </c>
      <c r="BM271" s="129">
        <v>0</v>
      </c>
      <c r="BN271" s="129">
        <v>0</v>
      </c>
      <c r="BO271" s="129">
        <v>0</v>
      </c>
      <c r="BP271" s="129">
        <v>-585717</v>
      </c>
      <c r="BQ271" s="129">
        <v>0</v>
      </c>
      <c r="BR271" s="129">
        <v>-585717</v>
      </c>
      <c r="BS271" s="129">
        <v>-585717</v>
      </c>
      <c r="BT271" s="129">
        <v>0</v>
      </c>
      <c r="BU271" s="129">
        <v>0</v>
      </c>
      <c r="BV271" s="129">
        <v>0</v>
      </c>
      <c r="BW271" s="129">
        <v>-585717</v>
      </c>
      <c r="BX271" s="129">
        <v>0</v>
      </c>
      <c r="BY271" s="129">
        <v>-585717</v>
      </c>
      <c r="BZ271" s="129">
        <v>-25600</v>
      </c>
      <c r="CA271" s="129">
        <v>0</v>
      </c>
      <c r="CB271" s="129">
        <v>-25600</v>
      </c>
      <c r="CC271" s="129">
        <v>0</v>
      </c>
      <c r="CD271" s="129">
        <v>0</v>
      </c>
      <c r="CE271" s="129">
        <v>0</v>
      </c>
      <c r="CF271" s="129">
        <v>0</v>
      </c>
      <c r="CG271" s="129">
        <v>0</v>
      </c>
      <c r="CH271" s="129">
        <v>0</v>
      </c>
      <c r="CI271" s="129">
        <v>0</v>
      </c>
      <c r="CJ271" s="129">
        <v>0</v>
      </c>
      <c r="CK271" s="129">
        <v>0</v>
      </c>
      <c r="CL271" s="129">
        <v>0</v>
      </c>
      <c r="CM271" s="129">
        <v>0</v>
      </c>
      <c r="CN271" s="129">
        <v>0</v>
      </c>
      <c r="CO271" s="129">
        <v>0</v>
      </c>
      <c r="CP271" s="129">
        <v>0</v>
      </c>
      <c r="CQ271" s="129">
        <v>0</v>
      </c>
      <c r="CR271" s="129">
        <v>0</v>
      </c>
      <c r="CS271" s="129">
        <v>0</v>
      </c>
      <c r="CT271" s="129">
        <v>-25600</v>
      </c>
      <c r="CU271" s="129">
        <v>0</v>
      </c>
      <c r="CV271" s="129">
        <v>0</v>
      </c>
      <c r="CW271" s="129">
        <v>0</v>
      </c>
      <c r="CX271" s="129">
        <v>-25600</v>
      </c>
      <c r="CY271" s="129">
        <v>0</v>
      </c>
      <c r="CZ271" s="129">
        <v>-25600</v>
      </c>
      <c r="DA271" s="129">
        <v>-37638</v>
      </c>
      <c r="DB271" s="129">
        <v>0</v>
      </c>
      <c r="DC271" s="129">
        <v>-37638</v>
      </c>
      <c r="DD271" s="129">
        <v>-9072</v>
      </c>
      <c r="DE271" s="129">
        <v>0</v>
      </c>
      <c r="DF271" s="129">
        <v>-9072</v>
      </c>
      <c r="DG271" s="129">
        <v>0</v>
      </c>
      <c r="DH271" s="129">
        <v>0</v>
      </c>
      <c r="DI271" s="129">
        <v>0</v>
      </c>
      <c r="DJ271" s="129">
        <v>-46710</v>
      </c>
      <c r="DK271" s="129">
        <v>0</v>
      </c>
      <c r="DL271" s="129">
        <v>0</v>
      </c>
      <c r="DM271" s="129">
        <v>0</v>
      </c>
      <c r="DN271" s="129">
        <v>-46710</v>
      </c>
      <c r="DO271" s="129">
        <v>0</v>
      </c>
      <c r="DP271" s="129">
        <v>-46710</v>
      </c>
      <c r="DQ271" s="129">
        <v>30178969</v>
      </c>
      <c r="DR271" s="129">
        <v>0</v>
      </c>
      <c r="DS271" s="129">
        <v>30178969</v>
      </c>
      <c r="DT271" s="662" t="s">
        <v>397</v>
      </c>
      <c r="DU271" s="324" t="s">
        <v>528</v>
      </c>
      <c r="DV271" s="663" t="s">
        <v>1913</v>
      </c>
      <c r="DW271" s="529" t="s">
        <v>1477</v>
      </c>
    </row>
    <row r="272" spans="1:127" ht="12.75" x14ac:dyDescent="0.2">
      <c r="A272" s="664">
        <v>265</v>
      </c>
      <c r="B272" s="665" t="s">
        <v>400</v>
      </c>
      <c r="C272" s="666" t="s">
        <v>1201</v>
      </c>
      <c r="D272" s="667" t="s">
        <v>1202</v>
      </c>
      <c r="E272" s="668" t="s">
        <v>399</v>
      </c>
      <c r="F272" s="753" t="s">
        <v>1882</v>
      </c>
      <c r="G272" s="129">
        <v>137898152</v>
      </c>
      <c r="H272" s="129">
        <v>0</v>
      </c>
      <c r="I272" s="129">
        <v>137898152</v>
      </c>
      <c r="J272" s="793">
        <v>49.9</v>
      </c>
      <c r="K272" s="129">
        <v>68811178</v>
      </c>
      <c r="L272" s="129">
        <v>0</v>
      </c>
      <c r="M272" s="129">
        <v>0</v>
      </c>
      <c r="N272" s="129">
        <v>0</v>
      </c>
      <c r="O272" s="129">
        <v>68811178</v>
      </c>
      <c r="P272" s="129">
        <v>0</v>
      </c>
      <c r="Q272" s="129">
        <v>68811178</v>
      </c>
      <c r="R272" s="129">
        <v>-113200</v>
      </c>
      <c r="S272" s="129">
        <v>0</v>
      </c>
      <c r="T272" s="129">
        <v>-113200</v>
      </c>
      <c r="U272" s="129">
        <v>144943</v>
      </c>
      <c r="V272" s="129">
        <v>0</v>
      </c>
      <c r="W272" s="129">
        <v>144943</v>
      </c>
      <c r="X272" s="129">
        <v>31743</v>
      </c>
      <c r="Y272" s="129">
        <v>0</v>
      </c>
      <c r="Z272" s="129">
        <v>0</v>
      </c>
      <c r="AA272" s="129">
        <v>0</v>
      </c>
      <c r="AB272" s="129">
        <v>31743</v>
      </c>
      <c r="AC272" s="129">
        <v>0</v>
      </c>
      <c r="AD272" s="129">
        <v>31743</v>
      </c>
      <c r="AE272" s="129">
        <v>-31743</v>
      </c>
      <c r="AF272" s="129">
        <v>0</v>
      </c>
      <c r="AG272" s="129">
        <v>-31743</v>
      </c>
      <c r="AH272" s="129">
        <v>-4944636</v>
      </c>
      <c r="AI272" s="129">
        <v>0</v>
      </c>
      <c r="AJ272" s="129">
        <v>-4944636</v>
      </c>
      <c r="AK272" s="129">
        <v>-41283</v>
      </c>
      <c r="AL272" s="129">
        <v>0</v>
      </c>
      <c r="AM272" s="129">
        <v>-41283</v>
      </c>
      <c r="AN272" s="129">
        <v>1245643</v>
      </c>
      <c r="AO272" s="129">
        <v>0</v>
      </c>
      <c r="AP272" s="129">
        <v>1245643</v>
      </c>
      <c r="AQ272" s="129">
        <v>-3698993</v>
      </c>
      <c r="AR272" s="129">
        <v>0</v>
      </c>
      <c r="AS272" s="129">
        <v>-3698993</v>
      </c>
      <c r="AT272" s="129">
        <v>-3368927</v>
      </c>
      <c r="AU272" s="129">
        <v>0</v>
      </c>
      <c r="AV272" s="129">
        <v>-3368927</v>
      </c>
      <c r="AW272" s="129">
        <v>-46948</v>
      </c>
      <c r="AX272" s="129">
        <v>0</v>
      </c>
      <c r="AY272" s="129">
        <v>-46948</v>
      </c>
      <c r="AZ272" s="129">
        <v>-12966</v>
      </c>
      <c r="BA272" s="129">
        <v>0</v>
      </c>
      <c r="BB272" s="129">
        <v>-12966</v>
      </c>
      <c r="BC272" s="129">
        <v>0</v>
      </c>
      <c r="BD272" s="129">
        <v>0</v>
      </c>
      <c r="BE272" s="129">
        <v>0</v>
      </c>
      <c r="BF272" s="129">
        <v>-7127834</v>
      </c>
      <c r="BG272" s="129">
        <v>0</v>
      </c>
      <c r="BH272" s="129">
        <v>0</v>
      </c>
      <c r="BI272" s="129">
        <v>0</v>
      </c>
      <c r="BJ272" s="129">
        <v>-7127834</v>
      </c>
      <c r="BK272" s="129">
        <v>0</v>
      </c>
      <c r="BL272" s="129">
        <v>-7127834</v>
      </c>
      <c r="BM272" s="129">
        <v>-94000</v>
      </c>
      <c r="BN272" s="129">
        <v>0</v>
      </c>
      <c r="BO272" s="129">
        <v>-94000</v>
      </c>
      <c r="BP272" s="129">
        <v>-1500000</v>
      </c>
      <c r="BQ272" s="129">
        <v>0</v>
      </c>
      <c r="BR272" s="129">
        <v>-1500000</v>
      </c>
      <c r="BS272" s="129">
        <v>-1594000</v>
      </c>
      <c r="BT272" s="129">
        <v>0</v>
      </c>
      <c r="BU272" s="129">
        <v>0</v>
      </c>
      <c r="BV272" s="129">
        <v>0</v>
      </c>
      <c r="BW272" s="129">
        <v>-1594000</v>
      </c>
      <c r="BX272" s="129">
        <v>0</v>
      </c>
      <c r="BY272" s="129">
        <v>-1594000</v>
      </c>
      <c r="BZ272" s="129">
        <v>-216666</v>
      </c>
      <c r="CA272" s="129">
        <v>0</v>
      </c>
      <c r="CB272" s="129">
        <v>-216666</v>
      </c>
      <c r="CC272" s="129">
        <v>-118092</v>
      </c>
      <c r="CD272" s="129">
        <v>0</v>
      </c>
      <c r="CE272" s="129">
        <v>-118092</v>
      </c>
      <c r="CF272" s="129">
        <v>-10047</v>
      </c>
      <c r="CG272" s="129">
        <v>0</v>
      </c>
      <c r="CH272" s="129">
        <v>-10047</v>
      </c>
      <c r="CI272" s="129">
        <v>0</v>
      </c>
      <c r="CJ272" s="129">
        <v>0</v>
      </c>
      <c r="CK272" s="129">
        <v>0</v>
      </c>
      <c r="CL272" s="129">
        <v>-57459</v>
      </c>
      <c r="CM272" s="129">
        <v>0</v>
      </c>
      <c r="CN272" s="129">
        <v>-57459</v>
      </c>
      <c r="CO272" s="129">
        <v>0</v>
      </c>
      <c r="CP272" s="129">
        <v>0</v>
      </c>
      <c r="CQ272" s="129">
        <v>0</v>
      </c>
      <c r="CR272" s="129">
        <v>0</v>
      </c>
      <c r="CS272" s="129">
        <v>0</v>
      </c>
      <c r="CT272" s="129">
        <v>-402264</v>
      </c>
      <c r="CU272" s="129">
        <v>0</v>
      </c>
      <c r="CV272" s="129">
        <v>0</v>
      </c>
      <c r="CW272" s="129">
        <v>0</v>
      </c>
      <c r="CX272" s="129">
        <v>-402264</v>
      </c>
      <c r="CY272" s="129">
        <v>0</v>
      </c>
      <c r="CZ272" s="129">
        <v>-402264</v>
      </c>
      <c r="DA272" s="129">
        <v>-11405</v>
      </c>
      <c r="DB272" s="129">
        <v>0</v>
      </c>
      <c r="DC272" s="129">
        <v>-11405</v>
      </c>
      <c r="DD272" s="129">
        <v>-14664</v>
      </c>
      <c r="DE272" s="129">
        <v>0</v>
      </c>
      <c r="DF272" s="129">
        <v>-14664</v>
      </c>
      <c r="DG272" s="129">
        <v>0</v>
      </c>
      <c r="DH272" s="129">
        <v>0</v>
      </c>
      <c r="DI272" s="129">
        <v>0</v>
      </c>
      <c r="DJ272" s="129">
        <v>-26069</v>
      </c>
      <c r="DK272" s="129">
        <v>0</v>
      </c>
      <c r="DL272" s="129">
        <v>0</v>
      </c>
      <c r="DM272" s="129">
        <v>0</v>
      </c>
      <c r="DN272" s="129">
        <v>-26069</v>
      </c>
      <c r="DO272" s="129">
        <v>0</v>
      </c>
      <c r="DP272" s="129">
        <v>-26069</v>
      </c>
      <c r="DQ272" s="129">
        <v>59692754</v>
      </c>
      <c r="DR272" s="129">
        <v>0</v>
      </c>
      <c r="DS272" s="129">
        <v>59692754</v>
      </c>
      <c r="DT272" s="662" t="s">
        <v>399</v>
      </c>
      <c r="DU272" s="324" t="s">
        <v>532</v>
      </c>
      <c r="DV272" s="663" t="s">
        <v>1914</v>
      </c>
      <c r="DW272" s="529" t="s">
        <v>1478</v>
      </c>
    </row>
    <row r="273" spans="1:127" ht="12.75" x14ac:dyDescent="0.2">
      <c r="A273" s="664">
        <v>266</v>
      </c>
      <c r="B273" s="665" t="s">
        <v>402</v>
      </c>
      <c r="C273" s="666" t="s">
        <v>1201</v>
      </c>
      <c r="D273" s="667" t="s">
        <v>1224</v>
      </c>
      <c r="E273" s="668" t="s">
        <v>401</v>
      </c>
      <c r="F273" s="753" t="s">
        <v>1875</v>
      </c>
      <c r="G273" s="129">
        <v>92836761</v>
      </c>
      <c r="H273" s="129">
        <v>0</v>
      </c>
      <c r="I273" s="129">
        <v>92836761</v>
      </c>
      <c r="J273" s="793">
        <v>49.9</v>
      </c>
      <c r="K273" s="129">
        <v>46325544</v>
      </c>
      <c r="L273" s="129">
        <v>0</v>
      </c>
      <c r="M273" s="129">
        <v>0</v>
      </c>
      <c r="N273" s="129">
        <v>0</v>
      </c>
      <c r="O273" s="129">
        <v>46325544</v>
      </c>
      <c r="P273" s="129">
        <v>0</v>
      </c>
      <c r="Q273" s="129">
        <v>46325544</v>
      </c>
      <c r="R273" s="129">
        <v>-288218</v>
      </c>
      <c r="S273" s="129">
        <v>0</v>
      </c>
      <c r="T273" s="129">
        <v>-288218</v>
      </c>
      <c r="U273" s="129">
        <v>24126</v>
      </c>
      <c r="V273" s="129">
        <v>0</v>
      </c>
      <c r="W273" s="129">
        <v>24126</v>
      </c>
      <c r="X273" s="129">
        <v>-264092</v>
      </c>
      <c r="Y273" s="129">
        <v>0</v>
      </c>
      <c r="Z273" s="129">
        <v>0</v>
      </c>
      <c r="AA273" s="129">
        <v>0</v>
      </c>
      <c r="AB273" s="129">
        <v>-264092</v>
      </c>
      <c r="AC273" s="129">
        <v>0</v>
      </c>
      <c r="AD273" s="129">
        <v>-264092</v>
      </c>
      <c r="AE273" s="129">
        <v>264092</v>
      </c>
      <c r="AF273" s="129">
        <v>0</v>
      </c>
      <c r="AG273" s="129">
        <v>264092</v>
      </c>
      <c r="AH273" s="129">
        <v>-3352818</v>
      </c>
      <c r="AI273" s="129">
        <v>0</v>
      </c>
      <c r="AJ273" s="129">
        <v>-3352818</v>
      </c>
      <c r="AK273" s="129">
        <v>-63491</v>
      </c>
      <c r="AL273" s="129">
        <v>0</v>
      </c>
      <c r="AM273" s="129">
        <v>-63491</v>
      </c>
      <c r="AN273" s="129">
        <v>875629</v>
      </c>
      <c r="AO273" s="129">
        <v>0</v>
      </c>
      <c r="AP273" s="129">
        <v>875629</v>
      </c>
      <c r="AQ273" s="129">
        <v>-2477189</v>
      </c>
      <c r="AR273" s="129">
        <v>0</v>
      </c>
      <c r="AS273" s="129">
        <v>-2477189</v>
      </c>
      <c r="AT273" s="129">
        <v>-1240421</v>
      </c>
      <c r="AU273" s="129">
        <v>0</v>
      </c>
      <c r="AV273" s="129">
        <v>-1240421</v>
      </c>
      <c r="AW273" s="129">
        <v>-36241</v>
      </c>
      <c r="AX273" s="129">
        <v>0</v>
      </c>
      <c r="AY273" s="129">
        <v>-36241</v>
      </c>
      <c r="AZ273" s="129">
        <v>0</v>
      </c>
      <c r="BA273" s="129">
        <v>0</v>
      </c>
      <c r="BB273" s="129">
        <v>0</v>
      </c>
      <c r="BC273" s="129">
        <v>0</v>
      </c>
      <c r="BD273" s="129">
        <v>0</v>
      </c>
      <c r="BE273" s="129">
        <v>0</v>
      </c>
      <c r="BF273" s="129">
        <v>-3753851</v>
      </c>
      <c r="BG273" s="129">
        <v>0</v>
      </c>
      <c r="BH273" s="129">
        <v>0</v>
      </c>
      <c r="BI273" s="129">
        <v>0</v>
      </c>
      <c r="BJ273" s="129">
        <v>-3753851</v>
      </c>
      <c r="BK273" s="129">
        <v>0</v>
      </c>
      <c r="BL273" s="129">
        <v>-3753851</v>
      </c>
      <c r="BM273" s="129">
        <v>-50</v>
      </c>
      <c r="BN273" s="129">
        <v>0</v>
      </c>
      <c r="BO273" s="129">
        <v>-50</v>
      </c>
      <c r="BP273" s="129">
        <v>-1853022</v>
      </c>
      <c r="BQ273" s="129">
        <v>0</v>
      </c>
      <c r="BR273" s="129">
        <v>-1853022</v>
      </c>
      <c r="BS273" s="129">
        <v>-1853072</v>
      </c>
      <c r="BT273" s="129">
        <v>0</v>
      </c>
      <c r="BU273" s="129">
        <v>0</v>
      </c>
      <c r="BV273" s="129">
        <v>0</v>
      </c>
      <c r="BW273" s="129">
        <v>-1853072</v>
      </c>
      <c r="BX273" s="129">
        <v>0</v>
      </c>
      <c r="BY273" s="129">
        <v>-1853072</v>
      </c>
      <c r="BZ273" s="129">
        <v>-71126</v>
      </c>
      <c r="CA273" s="129">
        <v>0</v>
      </c>
      <c r="CB273" s="129">
        <v>-71126</v>
      </c>
      <c r="CC273" s="129">
        <v>-1607</v>
      </c>
      <c r="CD273" s="129">
        <v>0</v>
      </c>
      <c r="CE273" s="129">
        <v>-1607</v>
      </c>
      <c r="CF273" s="129">
        <v>-763</v>
      </c>
      <c r="CG273" s="129">
        <v>0</v>
      </c>
      <c r="CH273" s="129">
        <v>-763</v>
      </c>
      <c r="CI273" s="129">
        <v>0</v>
      </c>
      <c r="CJ273" s="129">
        <v>0</v>
      </c>
      <c r="CK273" s="129">
        <v>0</v>
      </c>
      <c r="CL273" s="129">
        <v>0</v>
      </c>
      <c r="CM273" s="129">
        <v>0</v>
      </c>
      <c r="CN273" s="129">
        <v>0</v>
      </c>
      <c r="CO273" s="129">
        <v>0</v>
      </c>
      <c r="CP273" s="129">
        <v>0</v>
      </c>
      <c r="CQ273" s="129">
        <v>0</v>
      </c>
      <c r="CR273" s="129">
        <v>0</v>
      </c>
      <c r="CS273" s="129">
        <v>0</v>
      </c>
      <c r="CT273" s="129">
        <v>-73496</v>
      </c>
      <c r="CU273" s="129">
        <v>0</v>
      </c>
      <c r="CV273" s="129">
        <v>0</v>
      </c>
      <c r="CW273" s="129">
        <v>0</v>
      </c>
      <c r="CX273" s="129">
        <v>-73496</v>
      </c>
      <c r="CY273" s="129">
        <v>0</v>
      </c>
      <c r="CZ273" s="129">
        <v>-73496</v>
      </c>
      <c r="DA273" s="129">
        <v>-14171</v>
      </c>
      <c r="DB273" s="129">
        <v>0</v>
      </c>
      <c r="DC273" s="129">
        <v>-14171</v>
      </c>
      <c r="DD273" s="129">
        <v>-2199</v>
      </c>
      <c r="DE273" s="129">
        <v>0</v>
      </c>
      <c r="DF273" s="129">
        <v>-2199</v>
      </c>
      <c r="DG273" s="129">
        <v>0</v>
      </c>
      <c r="DH273" s="129">
        <v>0</v>
      </c>
      <c r="DI273" s="129">
        <v>0</v>
      </c>
      <c r="DJ273" s="129">
        <v>-16370</v>
      </c>
      <c r="DK273" s="129">
        <v>0</v>
      </c>
      <c r="DL273" s="129">
        <v>0</v>
      </c>
      <c r="DM273" s="129">
        <v>0</v>
      </c>
      <c r="DN273" s="129">
        <v>-16370</v>
      </c>
      <c r="DO273" s="129">
        <v>0</v>
      </c>
      <c r="DP273" s="129">
        <v>-16370</v>
      </c>
      <c r="DQ273" s="129">
        <v>40364663</v>
      </c>
      <c r="DR273" s="129">
        <v>0</v>
      </c>
      <c r="DS273" s="129">
        <v>40364663</v>
      </c>
      <c r="DT273" s="662" t="s">
        <v>401</v>
      </c>
      <c r="DU273" s="324" t="s">
        <v>529</v>
      </c>
      <c r="DV273" s="663" t="s">
        <v>512</v>
      </c>
      <c r="DW273" s="529" t="s">
        <v>1479</v>
      </c>
    </row>
    <row r="274" spans="1:127" ht="12.75" x14ac:dyDescent="0.2">
      <c r="A274" s="664">
        <v>267</v>
      </c>
      <c r="B274" s="665" t="s">
        <v>404</v>
      </c>
      <c r="C274" s="666" t="s">
        <v>1201</v>
      </c>
      <c r="D274" s="667" t="s">
        <v>1202</v>
      </c>
      <c r="E274" s="668" t="s">
        <v>403</v>
      </c>
      <c r="F274" s="753" t="s">
        <v>1875</v>
      </c>
      <c r="G274" s="129">
        <v>98733847</v>
      </c>
      <c r="H274" s="129">
        <v>0</v>
      </c>
      <c r="I274" s="129">
        <v>98733847</v>
      </c>
      <c r="J274" s="793">
        <v>49.9</v>
      </c>
      <c r="K274" s="129">
        <v>49268190</v>
      </c>
      <c r="L274" s="129">
        <v>0</v>
      </c>
      <c r="M274" s="129">
        <v>0</v>
      </c>
      <c r="N274" s="129">
        <v>0</v>
      </c>
      <c r="O274" s="129">
        <v>49268190</v>
      </c>
      <c r="P274" s="129">
        <v>0</v>
      </c>
      <c r="Q274" s="129">
        <v>49268190</v>
      </c>
      <c r="R274" s="129">
        <v>-233655</v>
      </c>
      <c r="S274" s="129">
        <v>0</v>
      </c>
      <c r="T274" s="129">
        <v>-233655</v>
      </c>
      <c r="U274" s="129">
        <v>358209</v>
      </c>
      <c r="V274" s="129">
        <v>0</v>
      </c>
      <c r="W274" s="129">
        <v>358209</v>
      </c>
      <c r="X274" s="129">
        <v>124554</v>
      </c>
      <c r="Y274" s="129">
        <v>0</v>
      </c>
      <c r="Z274" s="129">
        <v>0</v>
      </c>
      <c r="AA274" s="129">
        <v>0</v>
      </c>
      <c r="AB274" s="129">
        <v>124554</v>
      </c>
      <c r="AC274" s="129">
        <v>0</v>
      </c>
      <c r="AD274" s="129">
        <v>124554</v>
      </c>
      <c r="AE274" s="129">
        <v>-124554</v>
      </c>
      <c r="AF274" s="129">
        <v>0</v>
      </c>
      <c r="AG274" s="129">
        <v>-124554</v>
      </c>
      <c r="AH274" s="129">
        <v>-7192918</v>
      </c>
      <c r="AI274" s="129">
        <v>0</v>
      </c>
      <c r="AJ274" s="129">
        <v>-7192918</v>
      </c>
      <c r="AK274" s="129">
        <v>-3273</v>
      </c>
      <c r="AL274" s="129">
        <v>0</v>
      </c>
      <c r="AM274" s="129">
        <v>-3273</v>
      </c>
      <c r="AN274" s="129">
        <v>844904</v>
      </c>
      <c r="AO274" s="129">
        <v>0</v>
      </c>
      <c r="AP274" s="129">
        <v>844904</v>
      </c>
      <c r="AQ274" s="129">
        <v>-6348014</v>
      </c>
      <c r="AR274" s="129">
        <v>0</v>
      </c>
      <c r="AS274" s="129">
        <v>-6348014</v>
      </c>
      <c r="AT274" s="129">
        <v>-4527431</v>
      </c>
      <c r="AU274" s="129">
        <v>0</v>
      </c>
      <c r="AV274" s="129">
        <v>-4527431</v>
      </c>
      <c r="AW274" s="129">
        <v>-43592</v>
      </c>
      <c r="AX274" s="129">
        <v>0</v>
      </c>
      <c r="AY274" s="129">
        <v>-43592</v>
      </c>
      <c r="AZ274" s="129">
        <v>-4250</v>
      </c>
      <c r="BA274" s="129">
        <v>0</v>
      </c>
      <c r="BB274" s="129">
        <v>-4250</v>
      </c>
      <c r="BC274" s="129">
        <v>0</v>
      </c>
      <c r="BD274" s="129">
        <v>0</v>
      </c>
      <c r="BE274" s="129">
        <v>0</v>
      </c>
      <c r="BF274" s="129">
        <v>-10923287</v>
      </c>
      <c r="BG274" s="129">
        <v>0</v>
      </c>
      <c r="BH274" s="129">
        <v>0</v>
      </c>
      <c r="BI274" s="129">
        <v>0</v>
      </c>
      <c r="BJ274" s="129">
        <v>-10923287</v>
      </c>
      <c r="BK274" s="129">
        <v>0</v>
      </c>
      <c r="BL274" s="129">
        <v>-10923287</v>
      </c>
      <c r="BM274" s="129">
        <v>0</v>
      </c>
      <c r="BN274" s="129">
        <v>0</v>
      </c>
      <c r="BO274" s="129">
        <v>0</v>
      </c>
      <c r="BP274" s="129">
        <v>-1555588</v>
      </c>
      <c r="BQ274" s="129">
        <v>0</v>
      </c>
      <c r="BR274" s="129">
        <v>-1555588</v>
      </c>
      <c r="BS274" s="129">
        <v>-1555588</v>
      </c>
      <c r="BT274" s="129">
        <v>0</v>
      </c>
      <c r="BU274" s="129">
        <v>-100000</v>
      </c>
      <c r="BV274" s="129">
        <v>0</v>
      </c>
      <c r="BW274" s="129">
        <v>-1655588</v>
      </c>
      <c r="BX274" s="129">
        <v>0</v>
      </c>
      <c r="BY274" s="129">
        <v>-1655588</v>
      </c>
      <c r="BZ274" s="129">
        <v>-229989</v>
      </c>
      <c r="CA274" s="129">
        <v>0</v>
      </c>
      <c r="CB274" s="129">
        <v>-229989</v>
      </c>
      <c r="CC274" s="129">
        <v>-90462</v>
      </c>
      <c r="CD274" s="129">
        <v>0</v>
      </c>
      <c r="CE274" s="129">
        <v>-90462</v>
      </c>
      <c r="CF274" s="129">
        <v>-819</v>
      </c>
      <c r="CG274" s="129">
        <v>0</v>
      </c>
      <c r="CH274" s="129">
        <v>-819</v>
      </c>
      <c r="CI274" s="129">
        <v>0</v>
      </c>
      <c r="CJ274" s="129">
        <v>0</v>
      </c>
      <c r="CK274" s="129">
        <v>0</v>
      </c>
      <c r="CL274" s="129">
        <v>0</v>
      </c>
      <c r="CM274" s="129">
        <v>0</v>
      </c>
      <c r="CN274" s="129">
        <v>0</v>
      </c>
      <c r="CO274" s="129">
        <v>0</v>
      </c>
      <c r="CP274" s="129">
        <v>0</v>
      </c>
      <c r="CQ274" s="129">
        <v>0</v>
      </c>
      <c r="CR274" s="129">
        <v>0</v>
      </c>
      <c r="CS274" s="129">
        <v>0</v>
      </c>
      <c r="CT274" s="129">
        <v>-321270</v>
      </c>
      <c r="CU274" s="129">
        <v>0</v>
      </c>
      <c r="CV274" s="129">
        <v>0</v>
      </c>
      <c r="CW274" s="129">
        <v>0</v>
      </c>
      <c r="CX274" s="129">
        <v>-321270</v>
      </c>
      <c r="CY274" s="129">
        <v>0</v>
      </c>
      <c r="CZ274" s="129">
        <v>-321270</v>
      </c>
      <c r="DA274" s="129">
        <v>-4250</v>
      </c>
      <c r="DB274" s="129">
        <v>0</v>
      </c>
      <c r="DC274" s="129">
        <v>-4250</v>
      </c>
      <c r="DD274" s="129">
        <v>-32782</v>
      </c>
      <c r="DE274" s="129">
        <v>0</v>
      </c>
      <c r="DF274" s="129">
        <v>-32782</v>
      </c>
      <c r="DG274" s="129">
        <v>-1500</v>
      </c>
      <c r="DH274" s="129">
        <v>0</v>
      </c>
      <c r="DI274" s="129">
        <v>-1500</v>
      </c>
      <c r="DJ274" s="129">
        <v>-38532</v>
      </c>
      <c r="DK274" s="129">
        <v>0</v>
      </c>
      <c r="DL274" s="129">
        <v>0</v>
      </c>
      <c r="DM274" s="129">
        <v>0</v>
      </c>
      <c r="DN274" s="129">
        <v>-38532</v>
      </c>
      <c r="DO274" s="129">
        <v>0</v>
      </c>
      <c r="DP274" s="129">
        <v>-38532</v>
      </c>
      <c r="DQ274" s="129">
        <v>36454067</v>
      </c>
      <c r="DR274" s="129">
        <v>0</v>
      </c>
      <c r="DS274" s="129">
        <v>36454067</v>
      </c>
      <c r="DT274" s="662" t="s">
        <v>403</v>
      </c>
      <c r="DU274" s="324" t="s">
        <v>543</v>
      </c>
      <c r="DV274" s="663" t="s">
        <v>542</v>
      </c>
      <c r="DW274" s="529" t="s">
        <v>1480</v>
      </c>
    </row>
    <row r="275" spans="1:127" ht="12.75" x14ac:dyDescent="0.2">
      <c r="A275" s="664">
        <v>268</v>
      </c>
      <c r="B275" s="665" t="s">
        <v>406</v>
      </c>
      <c r="C275" s="666" t="s">
        <v>1201</v>
      </c>
      <c r="D275" s="667" t="s">
        <v>1211</v>
      </c>
      <c r="E275" s="668" t="s">
        <v>405</v>
      </c>
      <c r="F275" s="753" t="s">
        <v>1908</v>
      </c>
      <c r="G275" s="129">
        <v>72068645</v>
      </c>
      <c r="H275" s="129">
        <v>0</v>
      </c>
      <c r="I275" s="129">
        <v>72068645</v>
      </c>
      <c r="J275" s="793">
        <v>49.9</v>
      </c>
      <c r="K275" s="129">
        <v>35962254</v>
      </c>
      <c r="L275" s="129">
        <v>0</v>
      </c>
      <c r="M275" s="129">
        <v>0</v>
      </c>
      <c r="N275" s="129">
        <v>0</v>
      </c>
      <c r="O275" s="129">
        <v>35962254</v>
      </c>
      <c r="P275" s="129">
        <v>0</v>
      </c>
      <c r="Q275" s="129">
        <v>35962254</v>
      </c>
      <c r="R275" s="129">
        <v>-140748</v>
      </c>
      <c r="S275" s="129">
        <v>0</v>
      </c>
      <c r="T275" s="129">
        <v>-140748</v>
      </c>
      <c r="U275" s="129">
        <v>74105</v>
      </c>
      <c r="V275" s="129">
        <v>0</v>
      </c>
      <c r="W275" s="129">
        <v>74105</v>
      </c>
      <c r="X275" s="129">
        <v>-66643</v>
      </c>
      <c r="Y275" s="129">
        <v>0</v>
      </c>
      <c r="Z275" s="129">
        <v>0</v>
      </c>
      <c r="AA275" s="129">
        <v>0</v>
      </c>
      <c r="AB275" s="129">
        <v>-66643</v>
      </c>
      <c r="AC275" s="129">
        <v>0</v>
      </c>
      <c r="AD275" s="129">
        <v>-66643</v>
      </c>
      <c r="AE275" s="129">
        <v>66643</v>
      </c>
      <c r="AF275" s="129">
        <v>0</v>
      </c>
      <c r="AG275" s="129">
        <v>66643</v>
      </c>
      <c r="AH275" s="129">
        <v>-2016047</v>
      </c>
      <c r="AI275" s="129">
        <v>0</v>
      </c>
      <c r="AJ275" s="129">
        <v>-2016047</v>
      </c>
      <c r="AK275" s="129">
        <v>-3992</v>
      </c>
      <c r="AL275" s="129">
        <v>0</v>
      </c>
      <c r="AM275" s="129">
        <v>-3992</v>
      </c>
      <c r="AN275" s="129">
        <v>658204</v>
      </c>
      <c r="AO275" s="129">
        <v>0</v>
      </c>
      <c r="AP275" s="129">
        <v>658204</v>
      </c>
      <c r="AQ275" s="129">
        <v>-1357843</v>
      </c>
      <c r="AR275" s="129">
        <v>0</v>
      </c>
      <c r="AS275" s="129">
        <v>-1357843</v>
      </c>
      <c r="AT275" s="129">
        <v>-2538254</v>
      </c>
      <c r="AU275" s="129">
        <v>0</v>
      </c>
      <c r="AV275" s="129">
        <v>-2538254</v>
      </c>
      <c r="AW275" s="129">
        <v>-50663</v>
      </c>
      <c r="AX275" s="129">
        <v>0</v>
      </c>
      <c r="AY275" s="129">
        <v>-50663</v>
      </c>
      <c r="AZ275" s="129">
        <v>0</v>
      </c>
      <c r="BA275" s="129">
        <v>0</v>
      </c>
      <c r="BB275" s="129">
        <v>0</v>
      </c>
      <c r="BC275" s="129">
        <v>0</v>
      </c>
      <c r="BD275" s="129">
        <v>0</v>
      </c>
      <c r="BE275" s="129">
        <v>0</v>
      </c>
      <c r="BF275" s="129">
        <v>-3946760</v>
      </c>
      <c r="BG275" s="129">
        <v>0</v>
      </c>
      <c r="BH275" s="129">
        <v>0</v>
      </c>
      <c r="BI275" s="129">
        <v>0</v>
      </c>
      <c r="BJ275" s="129">
        <v>-3946760</v>
      </c>
      <c r="BK275" s="129">
        <v>0</v>
      </c>
      <c r="BL275" s="129">
        <v>-3946760</v>
      </c>
      <c r="BM275" s="129">
        <v>0</v>
      </c>
      <c r="BN275" s="129">
        <v>0</v>
      </c>
      <c r="BO275" s="129">
        <v>0</v>
      </c>
      <c r="BP275" s="129">
        <v>-850232</v>
      </c>
      <c r="BQ275" s="129">
        <v>0</v>
      </c>
      <c r="BR275" s="129">
        <v>-850232</v>
      </c>
      <c r="BS275" s="129">
        <v>-850232</v>
      </c>
      <c r="BT275" s="129">
        <v>0</v>
      </c>
      <c r="BU275" s="129">
        <v>0</v>
      </c>
      <c r="BV275" s="129">
        <v>0</v>
      </c>
      <c r="BW275" s="129">
        <v>-850232</v>
      </c>
      <c r="BX275" s="129">
        <v>0</v>
      </c>
      <c r="BY275" s="129">
        <v>-850232</v>
      </c>
      <c r="BZ275" s="129">
        <v>-2529</v>
      </c>
      <c r="CA275" s="129">
        <v>0</v>
      </c>
      <c r="CB275" s="129">
        <v>-2529</v>
      </c>
      <c r="CC275" s="129">
        <v>-185088</v>
      </c>
      <c r="CD275" s="129">
        <v>0</v>
      </c>
      <c r="CE275" s="129">
        <v>-185088</v>
      </c>
      <c r="CF275" s="129">
        <v>0</v>
      </c>
      <c r="CG275" s="129">
        <v>0</v>
      </c>
      <c r="CH275" s="129">
        <v>0</v>
      </c>
      <c r="CI275" s="129">
        <v>0</v>
      </c>
      <c r="CJ275" s="129">
        <v>0</v>
      </c>
      <c r="CK275" s="129">
        <v>0</v>
      </c>
      <c r="CL275" s="129">
        <v>0</v>
      </c>
      <c r="CM275" s="129">
        <v>0</v>
      </c>
      <c r="CN275" s="129">
        <v>0</v>
      </c>
      <c r="CO275" s="129">
        <v>0</v>
      </c>
      <c r="CP275" s="129">
        <v>0</v>
      </c>
      <c r="CQ275" s="129">
        <v>0</v>
      </c>
      <c r="CR275" s="129">
        <v>0</v>
      </c>
      <c r="CS275" s="129">
        <v>0</v>
      </c>
      <c r="CT275" s="129">
        <v>-187617</v>
      </c>
      <c r="CU275" s="129">
        <v>0</v>
      </c>
      <c r="CV275" s="129">
        <v>0</v>
      </c>
      <c r="CW275" s="129">
        <v>0</v>
      </c>
      <c r="CX275" s="129">
        <v>-187617</v>
      </c>
      <c r="CY275" s="129">
        <v>0</v>
      </c>
      <c r="CZ275" s="129">
        <v>-187617</v>
      </c>
      <c r="DA275" s="129">
        <v>0</v>
      </c>
      <c r="DB275" s="129">
        <v>0</v>
      </c>
      <c r="DC275" s="129">
        <v>0</v>
      </c>
      <c r="DD275" s="129">
        <v>-19038</v>
      </c>
      <c r="DE275" s="129">
        <v>0</v>
      </c>
      <c r="DF275" s="129">
        <v>-19038</v>
      </c>
      <c r="DG275" s="129">
        <v>0</v>
      </c>
      <c r="DH275" s="129">
        <v>0</v>
      </c>
      <c r="DI275" s="129">
        <v>0</v>
      </c>
      <c r="DJ275" s="129">
        <v>-19038</v>
      </c>
      <c r="DK275" s="129">
        <v>0</v>
      </c>
      <c r="DL275" s="129">
        <v>0</v>
      </c>
      <c r="DM275" s="129">
        <v>0</v>
      </c>
      <c r="DN275" s="129">
        <v>-19038</v>
      </c>
      <c r="DO275" s="129">
        <v>0</v>
      </c>
      <c r="DP275" s="129">
        <v>-19038</v>
      </c>
      <c r="DQ275" s="129">
        <v>30891964</v>
      </c>
      <c r="DR275" s="129">
        <v>0</v>
      </c>
      <c r="DS275" s="129">
        <v>30891964</v>
      </c>
      <c r="DT275" s="662" t="s">
        <v>405</v>
      </c>
      <c r="DU275" s="324" t="s">
        <v>536</v>
      </c>
      <c r="DV275" s="663" t="s">
        <v>512</v>
      </c>
      <c r="DW275" s="529" t="s">
        <v>1481</v>
      </c>
    </row>
    <row r="276" spans="1:127" ht="14.25" x14ac:dyDescent="0.2">
      <c r="A276" s="664">
        <v>269</v>
      </c>
      <c r="B276" s="665" t="s">
        <v>407</v>
      </c>
      <c r="C276" s="666" t="s">
        <v>486</v>
      </c>
      <c r="D276" s="667" t="s">
        <v>1211</v>
      </c>
      <c r="E276" s="668" t="s">
        <v>1924</v>
      </c>
      <c r="F276" s="753" t="s">
        <v>1880</v>
      </c>
      <c r="G276" s="129">
        <v>283118437</v>
      </c>
      <c r="H276" s="129">
        <v>0</v>
      </c>
      <c r="I276" s="129">
        <v>283118437</v>
      </c>
      <c r="J276" s="793">
        <v>49.9</v>
      </c>
      <c r="K276" s="129">
        <v>141276100</v>
      </c>
      <c r="L276" s="129">
        <v>0</v>
      </c>
      <c r="M276" s="129">
        <v>0</v>
      </c>
      <c r="N276" s="129">
        <v>0</v>
      </c>
      <c r="O276" s="129">
        <v>141276100</v>
      </c>
      <c r="P276" s="129">
        <v>0</v>
      </c>
      <c r="Q276" s="129">
        <v>141276100</v>
      </c>
      <c r="R276" s="129">
        <v>-198144</v>
      </c>
      <c r="S276" s="129">
        <v>0</v>
      </c>
      <c r="T276" s="129">
        <v>-198144</v>
      </c>
      <c r="U276" s="129">
        <v>1307827</v>
      </c>
      <c r="V276" s="129">
        <v>0</v>
      </c>
      <c r="W276" s="129">
        <v>1307827</v>
      </c>
      <c r="X276" s="129">
        <v>1109683</v>
      </c>
      <c r="Y276" s="129">
        <v>0</v>
      </c>
      <c r="Z276" s="129">
        <v>0</v>
      </c>
      <c r="AA276" s="129">
        <v>0</v>
      </c>
      <c r="AB276" s="129">
        <v>1109683</v>
      </c>
      <c r="AC276" s="129">
        <v>0</v>
      </c>
      <c r="AD276" s="129">
        <v>1109683</v>
      </c>
      <c r="AE276" s="129">
        <v>-1109683</v>
      </c>
      <c r="AF276" s="129">
        <v>0</v>
      </c>
      <c r="AG276" s="129">
        <v>-1109683</v>
      </c>
      <c r="AH276" s="129">
        <v>-4291175</v>
      </c>
      <c r="AI276" s="129">
        <v>0</v>
      </c>
      <c r="AJ276" s="129">
        <v>-4291175</v>
      </c>
      <c r="AK276" s="129">
        <v>-15500</v>
      </c>
      <c r="AL276" s="129">
        <v>0</v>
      </c>
      <c r="AM276" s="129">
        <v>-15500</v>
      </c>
      <c r="AN276" s="129">
        <v>3198801</v>
      </c>
      <c r="AO276" s="129">
        <v>0</v>
      </c>
      <c r="AP276" s="129">
        <v>3198801</v>
      </c>
      <c r="AQ276" s="129">
        <v>-1092374</v>
      </c>
      <c r="AR276" s="129">
        <v>0</v>
      </c>
      <c r="AS276" s="129">
        <v>-1092374</v>
      </c>
      <c r="AT276" s="129">
        <v>-4669545</v>
      </c>
      <c r="AU276" s="129">
        <v>0</v>
      </c>
      <c r="AV276" s="129">
        <v>-4669545</v>
      </c>
      <c r="AW276" s="129">
        <v>-43200</v>
      </c>
      <c r="AX276" s="129">
        <v>0</v>
      </c>
      <c r="AY276" s="129">
        <v>-43200</v>
      </c>
      <c r="AZ276" s="129">
        <v>0</v>
      </c>
      <c r="BA276" s="129">
        <v>0</v>
      </c>
      <c r="BB276" s="129">
        <v>0</v>
      </c>
      <c r="BC276" s="129">
        <v>0</v>
      </c>
      <c r="BD276" s="129">
        <v>0</v>
      </c>
      <c r="BE276" s="129">
        <v>0</v>
      </c>
      <c r="BF276" s="129">
        <v>-5805119</v>
      </c>
      <c r="BG276" s="129">
        <v>0</v>
      </c>
      <c r="BH276" s="129">
        <v>0</v>
      </c>
      <c r="BI276" s="129">
        <v>0</v>
      </c>
      <c r="BJ276" s="129">
        <v>-5805119</v>
      </c>
      <c r="BK276" s="129">
        <v>0</v>
      </c>
      <c r="BL276" s="129">
        <v>-5805119</v>
      </c>
      <c r="BM276" s="129">
        <v>-40000</v>
      </c>
      <c r="BN276" s="129">
        <v>0</v>
      </c>
      <c r="BO276" s="129">
        <v>-40000</v>
      </c>
      <c r="BP276" s="129">
        <v>-4699050</v>
      </c>
      <c r="BQ276" s="129">
        <v>0</v>
      </c>
      <c r="BR276" s="129">
        <v>-4699050</v>
      </c>
      <c r="BS276" s="129">
        <v>-4739050</v>
      </c>
      <c r="BT276" s="129">
        <v>0</v>
      </c>
      <c r="BU276" s="129">
        <v>0</v>
      </c>
      <c r="BV276" s="129">
        <v>0</v>
      </c>
      <c r="BW276" s="129">
        <v>-4739050</v>
      </c>
      <c r="BX276" s="129">
        <v>0</v>
      </c>
      <c r="BY276" s="129">
        <v>-4739050</v>
      </c>
      <c r="BZ276" s="129">
        <v>-42235</v>
      </c>
      <c r="CA276" s="129">
        <v>0</v>
      </c>
      <c r="CB276" s="129">
        <v>-42235</v>
      </c>
      <c r="CC276" s="129">
        <v>-26070</v>
      </c>
      <c r="CD276" s="129">
        <v>0</v>
      </c>
      <c r="CE276" s="129">
        <v>-26070</v>
      </c>
      <c r="CF276" s="129">
        <v>-1400</v>
      </c>
      <c r="CG276" s="129">
        <v>0</v>
      </c>
      <c r="CH276" s="129">
        <v>-1400</v>
      </c>
      <c r="CI276" s="129">
        <v>0</v>
      </c>
      <c r="CJ276" s="129">
        <v>0</v>
      </c>
      <c r="CK276" s="129">
        <v>0</v>
      </c>
      <c r="CL276" s="129">
        <v>0</v>
      </c>
      <c r="CM276" s="129">
        <v>0</v>
      </c>
      <c r="CN276" s="129">
        <v>0</v>
      </c>
      <c r="CO276" s="129">
        <v>0</v>
      </c>
      <c r="CP276" s="129">
        <v>0</v>
      </c>
      <c r="CQ276" s="129">
        <v>0</v>
      </c>
      <c r="CR276" s="129">
        <v>0</v>
      </c>
      <c r="CS276" s="129">
        <v>0</v>
      </c>
      <c r="CT276" s="129">
        <v>-69705</v>
      </c>
      <c r="CU276" s="129">
        <v>0</v>
      </c>
      <c r="CV276" s="129">
        <v>0</v>
      </c>
      <c r="CW276" s="129">
        <v>0</v>
      </c>
      <c r="CX276" s="129">
        <v>-69705</v>
      </c>
      <c r="CY276" s="129">
        <v>0</v>
      </c>
      <c r="CZ276" s="129">
        <v>-69705</v>
      </c>
      <c r="DA276" s="129">
        <v>0</v>
      </c>
      <c r="DB276" s="129">
        <v>0</v>
      </c>
      <c r="DC276" s="129">
        <v>0</v>
      </c>
      <c r="DD276" s="129">
        <v>-3450</v>
      </c>
      <c r="DE276" s="129">
        <v>0</v>
      </c>
      <c r="DF276" s="129">
        <v>-3450</v>
      </c>
      <c r="DG276" s="129">
        <v>0</v>
      </c>
      <c r="DH276" s="129">
        <v>0</v>
      </c>
      <c r="DI276" s="129">
        <v>0</v>
      </c>
      <c r="DJ276" s="129">
        <v>-3450</v>
      </c>
      <c r="DK276" s="129">
        <v>0</v>
      </c>
      <c r="DL276" s="129">
        <v>0</v>
      </c>
      <c r="DM276" s="129">
        <v>0</v>
      </c>
      <c r="DN276" s="129">
        <v>-3450</v>
      </c>
      <c r="DO276" s="129">
        <v>0</v>
      </c>
      <c r="DP276" s="129">
        <v>-3450</v>
      </c>
      <c r="DQ276" s="129">
        <v>131768459</v>
      </c>
      <c r="DR276" s="129">
        <v>0</v>
      </c>
      <c r="DS276" s="129">
        <v>131768459</v>
      </c>
      <c r="DT276" s="662" t="s">
        <v>527</v>
      </c>
      <c r="DU276" s="324" t="s">
        <v>486</v>
      </c>
      <c r="DV276" s="663" t="s">
        <v>1913</v>
      </c>
      <c r="DW276" s="529" t="s">
        <v>1482</v>
      </c>
    </row>
    <row r="277" spans="1:127" ht="12.75" x14ac:dyDescent="0.2">
      <c r="A277" s="664">
        <v>270</v>
      </c>
      <c r="B277" s="665" t="s">
        <v>409</v>
      </c>
      <c r="C277" s="666" t="s">
        <v>1201</v>
      </c>
      <c r="D277" s="667" t="s">
        <v>1202</v>
      </c>
      <c r="E277" s="668" t="s">
        <v>408</v>
      </c>
      <c r="F277" s="753" t="s">
        <v>1885</v>
      </c>
      <c r="G277" s="129">
        <v>140050158</v>
      </c>
      <c r="H277" s="129">
        <v>0</v>
      </c>
      <c r="I277" s="129">
        <v>140050158</v>
      </c>
      <c r="J277" s="793">
        <v>49.9</v>
      </c>
      <c r="K277" s="129">
        <v>69885029</v>
      </c>
      <c r="L277" s="129">
        <v>0</v>
      </c>
      <c r="M277" s="129">
        <v>-1498454</v>
      </c>
      <c r="N277" s="129">
        <v>0</v>
      </c>
      <c r="O277" s="129">
        <v>68386575</v>
      </c>
      <c r="P277" s="129">
        <v>0</v>
      </c>
      <c r="Q277" s="129">
        <v>68386575</v>
      </c>
      <c r="R277" s="129">
        <v>-124940</v>
      </c>
      <c r="S277" s="129">
        <v>0</v>
      </c>
      <c r="T277" s="129">
        <v>-124940</v>
      </c>
      <c r="U277" s="129">
        <v>41119</v>
      </c>
      <c r="V277" s="129">
        <v>0</v>
      </c>
      <c r="W277" s="129">
        <v>41119</v>
      </c>
      <c r="X277" s="129">
        <v>-83821</v>
      </c>
      <c r="Y277" s="129">
        <v>0</v>
      </c>
      <c r="Z277" s="129">
        <v>0</v>
      </c>
      <c r="AA277" s="129">
        <v>0</v>
      </c>
      <c r="AB277" s="129">
        <v>-83821</v>
      </c>
      <c r="AC277" s="129">
        <v>0</v>
      </c>
      <c r="AD277" s="129">
        <v>-83821</v>
      </c>
      <c r="AE277" s="129">
        <v>83821</v>
      </c>
      <c r="AF277" s="129">
        <v>0</v>
      </c>
      <c r="AG277" s="129">
        <v>83821</v>
      </c>
      <c r="AH277" s="129">
        <v>-3349213</v>
      </c>
      <c r="AI277" s="129">
        <v>0</v>
      </c>
      <c r="AJ277" s="129">
        <v>-3349213</v>
      </c>
      <c r="AK277" s="129">
        <v>0</v>
      </c>
      <c r="AL277" s="129">
        <v>0</v>
      </c>
      <c r="AM277" s="129">
        <v>0</v>
      </c>
      <c r="AN277" s="129">
        <v>1448908</v>
      </c>
      <c r="AO277" s="129">
        <v>0</v>
      </c>
      <c r="AP277" s="129">
        <v>1448908</v>
      </c>
      <c r="AQ277" s="129">
        <v>-1900305</v>
      </c>
      <c r="AR277" s="129">
        <v>0</v>
      </c>
      <c r="AS277" s="129">
        <v>-1900305</v>
      </c>
      <c r="AT277" s="129">
        <v>-5480548</v>
      </c>
      <c r="AU277" s="129">
        <v>0</v>
      </c>
      <c r="AV277" s="129">
        <v>-5480548</v>
      </c>
      <c r="AW277" s="129">
        <v>-71025</v>
      </c>
      <c r="AX277" s="129">
        <v>0</v>
      </c>
      <c r="AY277" s="129">
        <v>-71025</v>
      </c>
      <c r="AZ277" s="129">
        <v>-3603</v>
      </c>
      <c r="BA277" s="129">
        <v>0</v>
      </c>
      <c r="BB277" s="129">
        <v>-3603</v>
      </c>
      <c r="BC277" s="129">
        <v>0</v>
      </c>
      <c r="BD277" s="129">
        <v>0</v>
      </c>
      <c r="BE277" s="129">
        <v>0</v>
      </c>
      <c r="BF277" s="129">
        <v>-7455481</v>
      </c>
      <c r="BG277" s="129">
        <v>0</v>
      </c>
      <c r="BH277" s="129">
        <v>0</v>
      </c>
      <c r="BI277" s="129">
        <v>0</v>
      </c>
      <c r="BJ277" s="129">
        <v>-7455481</v>
      </c>
      <c r="BK277" s="129">
        <v>0</v>
      </c>
      <c r="BL277" s="129">
        <v>-7455481</v>
      </c>
      <c r="BM277" s="129">
        <v>-48076</v>
      </c>
      <c r="BN277" s="129">
        <v>0</v>
      </c>
      <c r="BO277" s="129">
        <v>-48076</v>
      </c>
      <c r="BP277" s="129">
        <v>-1801457</v>
      </c>
      <c r="BQ277" s="129">
        <v>0</v>
      </c>
      <c r="BR277" s="129">
        <v>-1801457</v>
      </c>
      <c r="BS277" s="129">
        <v>-1849533</v>
      </c>
      <c r="BT277" s="129">
        <v>0</v>
      </c>
      <c r="BU277" s="129">
        <v>0</v>
      </c>
      <c r="BV277" s="129">
        <v>0</v>
      </c>
      <c r="BW277" s="129">
        <v>-1849533</v>
      </c>
      <c r="BX277" s="129">
        <v>0</v>
      </c>
      <c r="BY277" s="129">
        <v>-1849533</v>
      </c>
      <c r="BZ277" s="129">
        <v>-128206</v>
      </c>
      <c r="CA277" s="129">
        <v>0</v>
      </c>
      <c r="CB277" s="129">
        <v>-128206</v>
      </c>
      <c r="CC277" s="129">
        <v>-48958</v>
      </c>
      <c r="CD277" s="129">
        <v>0</v>
      </c>
      <c r="CE277" s="129">
        <v>-48958</v>
      </c>
      <c r="CF277" s="129">
        <v>-14996</v>
      </c>
      <c r="CG277" s="129">
        <v>0</v>
      </c>
      <c r="CH277" s="129">
        <v>-14996</v>
      </c>
      <c r="CI277" s="129">
        <v>-8987</v>
      </c>
      <c r="CJ277" s="129">
        <v>0</v>
      </c>
      <c r="CK277" s="129">
        <v>-8987</v>
      </c>
      <c r="CL277" s="129">
        <v>-5786</v>
      </c>
      <c r="CM277" s="129">
        <v>0</v>
      </c>
      <c r="CN277" s="129">
        <v>-5786</v>
      </c>
      <c r="CO277" s="129">
        <v>0</v>
      </c>
      <c r="CP277" s="129">
        <v>0</v>
      </c>
      <c r="CQ277" s="129">
        <v>0</v>
      </c>
      <c r="CR277" s="129">
        <v>0</v>
      </c>
      <c r="CS277" s="129">
        <v>0</v>
      </c>
      <c r="CT277" s="129">
        <v>-206933</v>
      </c>
      <c r="CU277" s="129">
        <v>0</v>
      </c>
      <c r="CV277" s="129">
        <v>0</v>
      </c>
      <c r="CW277" s="129">
        <v>0</v>
      </c>
      <c r="CX277" s="129">
        <v>-206933</v>
      </c>
      <c r="CY277" s="129">
        <v>0</v>
      </c>
      <c r="CZ277" s="129">
        <v>-206933</v>
      </c>
      <c r="DA277" s="129">
        <v>0</v>
      </c>
      <c r="DB277" s="129">
        <v>0</v>
      </c>
      <c r="DC277" s="129">
        <v>0</v>
      </c>
      <c r="DD277" s="129">
        <v>-22576</v>
      </c>
      <c r="DE277" s="129">
        <v>0</v>
      </c>
      <c r="DF277" s="129">
        <v>-22576</v>
      </c>
      <c r="DG277" s="129">
        <v>0</v>
      </c>
      <c r="DH277" s="129">
        <v>0</v>
      </c>
      <c r="DI277" s="129">
        <v>0</v>
      </c>
      <c r="DJ277" s="129">
        <v>-22576</v>
      </c>
      <c r="DK277" s="129">
        <v>0</v>
      </c>
      <c r="DL277" s="129">
        <v>0</v>
      </c>
      <c r="DM277" s="129">
        <v>0</v>
      </c>
      <c r="DN277" s="129">
        <v>-22576</v>
      </c>
      <c r="DO277" s="129">
        <v>0</v>
      </c>
      <c r="DP277" s="129">
        <v>-22576</v>
      </c>
      <c r="DQ277" s="129">
        <v>58768231</v>
      </c>
      <c r="DR277" s="129">
        <v>0</v>
      </c>
      <c r="DS277" s="129">
        <v>58768231</v>
      </c>
      <c r="DT277" s="662" t="s">
        <v>408</v>
      </c>
      <c r="DU277" s="324" t="s">
        <v>543</v>
      </c>
      <c r="DV277" s="663" t="s">
        <v>542</v>
      </c>
      <c r="DW277" s="529" t="s">
        <v>1483</v>
      </c>
    </row>
    <row r="278" spans="1:127" ht="12.75" x14ac:dyDescent="0.2">
      <c r="A278" s="664">
        <v>271</v>
      </c>
      <c r="B278" s="665" t="s">
        <v>410</v>
      </c>
      <c r="C278" s="666" t="s">
        <v>486</v>
      </c>
      <c r="D278" s="667" t="s">
        <v>1224</v>
      </c>
      <c r="E278" s="668" t="s">
        <v>520</v>
      </c>
      <c r="F278" s="753" t="s">
        <v>1906</v>
      </c>
      <c r="G278" s="129">
        <v>94746554</v>
      </c>
      <c r="H278" s="129">
        <v>0</v>
      </c>
      <c r="I278" s="129">
        <v>94746554</v>
      </c>
      <c r="J278" s="793">
        <v>49.9</v>
      </c>
      <c r="K278" s="129">
        <v>47278530</v>
      </c>
      <c r="L278" s="129">
        <v>0</v>
      </c>
      <c r="M278" s="129">
        <v>0</v>
      </c>
      <c r="N278" s="129">
        <v>0</v>
      </c>
      <c r="O278" s="129">
        <v>47278530</v>
      </c>
      <c r="P278" s="129">
        <v>0</v>
      </c>
      <c r="Q278" s="129">
        <v>47278530</v>
      </c>
      <c r="R278" s="129">
        <v>-70836</v>
      </c>
      <c r="S278" s="129">
        <v>0</v>
      </c>
      <c r="T278" s="129">
        <v>-70836</v>
      </c>
      <c r="U278" s="129">
        <v>709816</v>
      </c>
      <c r="V278" s="129">
        <v>0</v>
      </c>
      <c r="W278" s="129">
        <v>709816</v>
      </c>
      <c r="X278" s="129">
        <v>638980</v>
      </c>
      <c r="Y278" s="129">
        <v>0</v>
      </c>
      <c r="Z278" s="129">
        <v>0</v>
      </c>
      <c r="AA278" s="129">
        <v>0</v>
      </c>
      <c r="AB278" s="129">
        <v>638980</v>
      </c>
      <c r="AC278" s="129">
        <v>0</v>
      </c>
      <c r="AD278" s="129">
        <v>638980</v>
      </c>
      <c r="AE278" s="129">
        <v>-638980</v>
      </c>
      <c r="AF278" s="129">
        <v>0</v>
      </c>
      <c r="AG278" s="129">
        <v>-638980</v>
      </c>
      <c r="AH278" s="129">
        <v>-7351527</v>
      </c>
      <c r="AI278" s="129">
        <v>0</v>
      </c>
      <c r="AJ278" s="129">
        <v>-7351527</v>
      </c>
      <c r="AK278" s="129">
        <v>-33688</v>
      </c>
      <c r="AL278" s="129">
        <v>0</v>
      </c>
      <c r="AM278" s="129">
        <v>-33688</v>
      </c>
      <c r="AN278" s="129">
        <v>732752</v>
      </c>
      <c r="AO278" s="129">
        <v>0</v>
      </c>
      <c r="AP278" s="129">
        <v>732752</v>
      </c>
      <c r="AQ278" s="129">
        <v>-6618776</v>
      </c>
      <c r="AR278" s="129">
        <v>0</v>
      </c>
      <c r="AS278" s="129">
        <v>-6618776</v>
      </c>
      <c r="AT278" s="129">
        <v>-4014521</v>
      </c>
      <c r="AU278" s="129">
        <v>0</v>
      </c>
      <c r="AV278" s="129">
        <v>-4014521</v>
      </c>
      <c r="AW278" s="129">
        <v>-127416</v>
      </c>
      <c r="AX278" s="129">
        <v>0</v>
      </c>
      <c r="AY278" s="129">
        <v>-127416</v>
      </c>
      <c r="AZ278" s="129">
        <v>0</v>
      </c>
      <c r="BA278" s="129">
        <v>0</v>
      </c>
      <c r="BB278" s="129">
        <v>0</v>
      </c>
      <c r="BC278" s="129">
        <v>0</v>
      </c>
      <c r="BD278" s="129">
        <v>0</v>
      </c>
      <c r="BE278" s="129">
        <v>0</v>
      </c>
      <c r="BF278" s="129">
        <v>-10760713</v>
      </c>
      <c r="BG278" s="129">
        <v>0</v>
      </c>
      <c r="BH278" s="129">
        <v>0</v>
      </c>
      <c r="BI278" s="129">
        <v>0</v>
      </c>
      <c r="BJ278" s="129">
        <v>-10760713</v>
      </c>
      <c r="BK278" s="129">
        <v>0</v>
      </c>
      <c r="BL278" s="129">
        <v>-10760713</v>
      </c>
      <c r="BM278" s="129">
        <v>0</v>
      </c>
      <c r="BN278" s="129">
        <v>0</v>
      </c>
      <c r="BO278" s="129">
        <v>0</v>
      </c>
      <c r="BP278" s="129">
        <v>-952338</v>
      </c>
      <c r="BQ278" s="129">
        <v>0</v>
      </c>
      <c r="BR278" s="129">
        <v>-952338</v>
      </c>
      <c r="BS278" s="129">
        <v>-952338</v>
      </c>
      <c r="BT278" s="129">
        <v>0</v>
      </c>
      <c r="BU278" s="129">
        <v>-300000</v>
      </c>
      <c r="BV278" s="129">
        <v>0</v>
      </c>
      <c r="BW278" s="129">
        <v>-1252338</v>
      </c>
      <c r="BX278" s="129">
        <v>0</v>
      </c>
      <c r="BY278" s="129">
        <v>-1252338</v>
      </c>
      <c r="BZ278" s="129">
        <v>-16288</v>
      </c>
      <c r="CA278" s="129">
        <v>0</v>
      </c>
      <c r="CB278" s="129">
        <v>-16288</v>
      </c>
      <c r="CC278" s="129">
        <v>-81586</v>
      </c>
      <c r="CD278" s="129">
        <v>0</v>
      </c>
      <c r="CE278" s="129">
        <v>-81586</v>
      </c>
      <c r="CF278" s="129">
        <v>-202</v>
      </c>
      <c r="CG278" s="129">
        <v>0</v>
      </c>
      <c r="CH278" s="129">
        <v>-202</v>
      </c>
      <c r="CI278" s="129">
        <v>0</v>
      </c>
      <c r="CJ278" s="129">
        <v>0</v>
      </c>
      <c r="CK278" s="129">
        <v>0</v>
      </c>
      <c r="CL278" s="129">
        <v>0</v>
      </c>
      <c r="CM278" s="129">
        <v>0</v>
      </c>
      <c r="CN278" s="129">
        <v>0</v>
      </c>
      <c r="CO278" s="129">
        <v>0</v>
      </c>
      <c r="CP278" s="129">
        <v>0</v>
      </c>
      <c r="CQ278" s="129">
        <v>0</v>
      </c>
      <c r="CR278" s="129">
        <v>0</v>
      </c>
      <c r="CS278" s="129">
        <v>0</v>
      </c>
      <c r="CT278" s="129">
        <v>-98076</v>
      </c>
      <c r="CU278" s="129">
        <v>0</v>
      </c>
      <c r="CV278" s="129">
        <v>-300000</v>
      </c>
      <c r="CW278" s="129">
        <v>0</v>
      </c>
      <c r="CX278" s="129">
        <v>-398076</v>
      </c>
      <c r="CY278" s="129">
        <v>0</v>
      </c>
      <c r="CZ278" s="129">
        <v>-398076</v>
      </c>
      <c r="DA278" s="129">
        <v>0</v>
      </c>
      <c r="DB278" s="129">
        <v>0</v>
      </c>
      <c r="DC278" s="129">
        <v>0</v>
      </c>
      <c r="DD278" s="129">
        <v>-6310</v>
      </c>
      <c r="DE278" s="129">
        <v>0</v>
      </c>
      <c r="DF278" s="129">
        <v>-6310</v>
      </c>
      <c r="DG278" s="129">
        <v>0</v>
      </c>
      <c r="DH278" s="129">
        <v>0</v>
      </c>
      <c r="DI278" s="129">
        <v>0</v>
      </c>
      <c r="DJ278" s="129">
        <v>-6310</v>
      </c>
      <c r="DK278" s="129">
        <v>0</v>
      </c>
      <c r="DL278" s="129">
        <v>0</v>
      </c>
      <c r="DM278" s="129">
        <v>0</v>
      </c>
      <c r="DN278" s="129">
        <v>-6310</v>
      </c>
      <c r="DO278" s="129">
        <v>0</v>
      </c>
      <c r="DP278" s="129">
        <v>-6310</v>
      </c>
      <c r="DQ278" s="129">
        <v>35500073</v>
      </c>
      <c r="DR278" s="129">
        <v>0</v>
      </c>
      <c r="DS278" s="129">
        <v>35500073</v>
      </c>
      <c r="DT278" s="662" t="s">
        <v>520</v>
      </c>
      <c r="DU278" s="324" t="s">
        <v>486</v>
      </c>
      <c r="DV278" s="663" t="s">
        <v>519</v>
      </c>
      <c r="DW278" s="529" t="s">
        <v>1484</v>
      </c>
    </row>
    <row r="279" spans="1:127" ht="12.75" x14ac:dyDescent="0.2">
      <c r="A279" s="664">
        <v>272</v>
      </c>
      <c r="B279" s="665" t="s">
        <v>412</v>
      </c>
      <c r="C279" s="666" t="s">
        <v>1201</v>
      </c>
      <c r="D279" s="667" t="s">
        <v>1224</v>
      </c>
      <c r="E279" s="668" t="s">
        <v>411</v>
      </c>
      <c r="F279" s="753" t="s">
        <v>1896</v>
      </c>
      <c r="G279" s="129">
        <v>40248319</v>
      </c>
      <c r="H279" s="129">
        <v>0</v>
      </c>
      <c r="I279" s="129">
        <v>40248319</v>
      </c>
      <c r="J279" s="793">
        <v>49.9</v>
      </c>
      <c r="K279" s="129">
        <v>20083911</v>
      </c>
      <c r="L279" s="129">
        <v>0</v>
      </c>
      <c r="M279" s="129">
        <v>0</v>
      </c>
      <c r="N279" s="129">
        <v>0</v>
      </c>
      <c r="O279" s="129">
        <v>20083911</v>
      </c>
      <c r="P279" s="129">
        <v>0</v>
      </c>
      <c r="Q279" s="129">
        <v>20083911</v>
      </c>
      <c r="R279" s="129">
        <v>-169406</v>
      </c>
      <c r="S279" s="129">
        <v>0</v>
      </c>
      <c r="T279" s="129">
        <v>-169406</v>
      </c>
      <c r="U279" s="129">
        <v>108587</v>
      </c>
      <c r="V279" s="129">
        <v>0</v>
      </c>
      <c r="W279" s="129">
        <v>108587</v>
      </c>
      <c r="X279" s="129">
        <v>-60819</v>
      </c>
      <c r="Y279" s="129">
        <v>0</v>
      </c>
      <c r="Z279" s="129">
        <v>0</v>
      </c>
      <c r="AA279" s="129">
        <v>0</v>
      </c>
      <c r="AB279" s="129">
        <v>-60819</v>
      </c>
      <c r="AC279" s="129">
        <v>0</v>
      </c>
      <c r="AD279" s="129">
        <v>-60819</v>
      </c>
      <c r="AE279" s="129">
        <v>60819</v>
      </c>
      <c r="AF279" s="129">
        <v>0</v>
      </c>
      <c r="AG279" s="129">
        <v>60819</v>
      </c>
      <c r="AH279" s="129">
        <v>-5192129</v>
      </c>
      <c r="AI279" s="129">
        <v>0</v>
      </c>
      <c r="AJ279" s="129">
        <v>-5192129</v>
      </c>
      <c r="AK279" s="129">
        <v>-1207</v>
      </c>
      <c r="AL279" s="129">
        <v>0</v>
      </c>
      <c r="AM279" s="129">
        <v>-1207</v>
      </c>
      <c r="AN279" s="129">
        <v>226332</v>
      </c>
      <c r="AO279" s="129">
        <v>0</v>
      </c>
      <c r="AP279" s="129">
        <v>226332</v>
      </c>
      <c r="AQ279" s="129">
        <v>-4965797</v>
      </c>
      <c r="AR279" s="129">
        <v>0</v>
      </c>
      <c r="AS279" s="129">
        <v>-4965797</v>
      </c>
      <c r="AT279" s="129">
        <v>-1608758</v>
      </c>
      <c r="AU279" s="129">
        <v>0</v>
      </c>
      <c r="AV279" s="129">
        <v>-1608758</v>
      </c>
      <c r="AW279" s="129">
        <v>0</v>
      </c>
      <c r="AX279" s="129">
        <v>0</v>
      </c>
      <c r="AY279" s="129">
        <v>0</v>
      </c>
      <c r="AZ279" s="129">
        <v>-45293</v>
      </c>
      <c r="BA279" s="129">
        <v>0</v>
      </c>
      <c r="BB279" s="129">
        <v>-45293</v>
      </c>
      <c r="BC279" s="129">
        <v>0</v>
      </c>
      <c r="BD279" s="129">
        <v>0</v>
      </c>
      <c r="BE279" s="129">
        <v>0</v>
      </c>
      <c r="BF279" s="129">
        <v>-6619848</v>
      </c>
      <c r="BG279" s="129">
        <v>0</v>
      </c>
      <c r="BH279" s="129">
        <v>0</v>
      </c>
      <c r="BI279" s="129">
        <v>0</v>
      </c>
      <c r="BJ279" s="129">
        <v>-6619848</v>
      </c>
      <c r="BK279" s="129">
        <v>0</v>
      </c>
      <c r="BL279" s="129">
        <v>-6619848</v>
      </c>
      <c r="BM279" s="129">
        <v>0</v>
      </c>
      <c r="BN279" s="129">
        <v>0</v>
      </c>
      <c r="BO279" s="129">
        <v>0</v>
      </c>
      <c r="BP279" s="129">
        <v>-307731</v>
      </c>
      <c r="BQ279" s="129">
        <v>0</v>
      </c>
      <c r="BR279" s="129">
        <v>-307731</v>
      </c>
      <c r="BS279" s="129">
        <v>-307731</v>
      </c>
      <c r="BT279" s="129">
        <v>0</v>
      </c>
      <c r="BU279" s="129">
        <v>0</v>
      </c>
      <c r="BV279" s="129">
        <v>0</v>
      </c>
      <c r="BW279" s="129">
        <v>-307731</v>
      </c>
      <c r="BX279" s="129">
        <v>0</v>
      </c>
      <c r="BY279" s="129">
        <v>-307731</v>
      </c>
      <c r="BZ279" s="129">
        <v>-119612</v>
      </c>
      <c r="CA279" s="129">
        <v>0</v>
      </c>
      <c r="CB279" s="129">
        <v>-119612</v>
      </c>
      <c r="CC279" s="129">
        <v>-10134</v>
      </c>
      <c r="CD279" s="129">
        <v>0</v>
      </c>
      <c r="CE279" s="129">
        <v>-10134</v>
      </c>
      <c r="CF279" s="129">
        <v>0</v>
      </c>
      <c r="CG279" s="129">
        <v>0</v>
      </c>
      <c r="CH279" s="129">
        <v>0</v>
      </c>
      <c r="CI279" s="129">
        <v>-9070</v>
      </c>
      <c r="CJ279" s="129">
        <v>0</v>
      </c>
      <c r="CK279" s="129">
        <v>-9070</v>
      </c>
      <c r="CL279" s="129">
        <v>0</v>
      </c>
      <c r="CM279" s="129">
        <v>0</v>
      </c>
      <c r="CN279" s="129">
        <v>0</v>
      </c>
      <c r="CO279" s="129">
        <v>0</v>
      </c>
      <c r="CP279" s="129">
        <v>0</v>
      </c>
      <c r="CQ279" s="129">
        <v>0</v>
      </c>
      <c r="CR279" s="129">
        <v>0</v>
      </c>
      <c r="CS279" s="129">
        <v>0</v>
      </c>
      <c r="CT279" s="129">
        <v>-138816</v>
      </c>
      <c r="CU279" s="129">
        <v>0</v>
      </c>
      <c r="CV279" s="129">
        <v>0</v>
      </c>
      <c r="CW279" s="129">
        <v>0</v>
      </c>
      <c r="CX279" s="129">
        <v>-138816</v>
      </c>
      <c r="CY279" s="129">
        <v>0</v>
      </c>
      <c r="CZ279" s="129">
        <v>-138816</v>
      </c>
      <c r="DA279" s="129">
        <v>-50009</v>
      </c>
      <c r="DB279" s="129">
        <v>0</v>
      </c>
      <c r="DC279" s="129">
        <v>-50009</v>
      </c>
      <c r="DD279" s="129">
        <v>-45109</v>
      </c>
      <c r="DE279" s="129">
        <v>0</v>
      </c>
      <c r="DF279" s="129">
        <v>-45109</v>
      </c>
      <c r="DG279" s="129">
        <v>0</v>
      </c>
      <c r="DH279" s="129">
        <v>0</v>
      </c>
      <c r="DI279" s="129">
        <v>0</v>
      </c>
      <c r="DJ279" s="129">
        <v>-95118</v>
      </c>
      <c r="DK279" s="129">
        <v>0</v>
      </c>
      <c r="DL279" s="129">
        <v>0</v>
      </c>
      <c r="DM279" s="129">
        <v>0</v>
      </c>
      <c r="DN279" s="129">
        <v>-95118</v>
      </c>
      <c r="DO279" s="129">
        <v>0</v>
      </c>
      <c r="DP279" s="129">
        <v>-95118</v>
      </c>
      <c r="DQ279" s="129">
        <v>12861579</v>
      </c>
      <c r="DR279" s="129">
        <v>0</v>
      </c>
      <c r="DS279" s="129">
        <v>12861579</v>
      </c>
      <c r="DT279" s="662" t="s">
        <v>411</v>
      </c>
      <c r="DU279" s="324" t="s">
        <v>521</v>
      </c>
      <c r="DV279" s="663" t="s">
        <v>519</v>
      </c>
      <c r="DW279" s="529" t="s">
        <v>1485</v>
      </c>
    </row>
    <row r="280" spans="1:127" ht="12.75" x14ac:dyDescent="0.2">
      <c r="A280" s="664">
        <v>273</v>
      </c>
      <c r="B280" s="665" t="s">
        <v>414</v>
      </c>
      <c r="C280" s="666" t="s">
        <v>1257</v>
      </c>
      <c r="D280" s="667" t="s">
        <v>1214</v>
      </c>
      <c r="E280" s="668" t="s">
        <v>413</v>
      </c>
      <c r="F280" s="753" t="s">
        <v>1889</v>
      </c>
      <c r="G280" s="129">
        <v>1001650145</v>
      </c>
      <c r="H280" s="129">
        <v>0</v>
      </c>
      <c r="I280" s="129">
        <v>1001650145</v>
      </c>
      <c r="J280" s="793">
        <v>49.9</v>
      </c>
      <c r="K280" s="129">
        <v>499823422</v>
      </c>
      <c r="L280" s="129">
        <v>0</v>
      </c>
      <c r="M280" s="129">
        <v>0</v>
      </c>
      <c r="N280" s="129">
        <v>0</v>
      </c>
      <c r="O280" s="129">
        <v>499823422</v>
      </c>
      <c r="P280" s="129">
        <v>0</v>
      </c>
      <c r="Q280" s="129">
        <v>499823422</v>
      </c>
      <c r="R280" s="129">
        <v>-3764524</v>
      </c>
      <c r="S280" s="129">
        <v>0</v>
      </c>
      <c r="T280" s="129">
        <v>-3764524</v>
      </c>
      <c r="U280" s="129">
        <v>330847</v>
      </c>
      <c r="V280" s="129">
        <v>0</v>
      </c>
      <c r="W280" s="129">
        <v>330847</v>
      </c>
      <c r="X280" s="129">
        <v>-3433677</v>
      </c>
      <c r="Y280" s="129">
        <v>0</v>
      </c>
      <c r="Z280" s="129">
        <v>0</v>
      </c>
      <c r="AA280" s="129">
        <v>0</v>
      </c>
      <c r="AB280" s="129">
        <v>-3433677</v>
      </c>
      <c r="AC280" s="129">
        <v>0</v>
      </c>
      <c r="AD280" s="129">
        <v>-3433677</v>
      </c>
      <c r="AE280" s="129">
        <v>3433677</v>
      </c>
      <c r="AF280" s="129">
        <v>0</v>
      </c>
      <c r="AG280" s="129">
        <v>3433677</v>
      </c>
      <c r="AH280" s="129">
        <v>-12493935</v>
      </c>
      <c r="AI280" s="129">
        <v>0</v>
      </c>
      <c r="AJ280" s="129">
        <v>-12493935</v>
      </c>
      <c r="AK280" s="129">
        <v>0</v>
      </c>
      <c r="AL280" s="129">
        <v>0</v>
      </c>
      <c r="AM280" s="129">
        <v>0</v>
      </c>
      <c r="AN280" s="129">
        <v>11209457</v>
      </c>
      <c r="AO280" s="129">
        <v>0</v>
      </c>
      <c r="AP280" s="129">
        <v>11209457</v>
      </c>
      <c r="AQ280" s="129">
        <v>-1284478</v>
      </c>
      <c r="AR280" s="129">
        <v>0</v>
      </c>
      <c r="AS280" s="129">
        <v>-1284478</v>
      </c>
      <c r="AT280" s="129">
        <v>-19738736</v>
      </c>
      <c r="AU280" s="129">
        <v>0</v>
      </c>
      <c r="AV280" s="129">
        <v>-19738736</v>
      </c>
      <c r="AW280" s="129">
        <v>0</v>
      </c>
      <c r="AX280" s="129">
        <v>0</v>
      </c>
      <c r="AY280" s="129">
        <v>0</v>
      </c>
      <c r="AZ280" s="129">
        <v>0</v>
      </c>
      <c r="BA280" s="129">
        <v>0</v>
      </c>
      <c r="BB280" s="129">
        <v>0</v>
      </c>
      <c r="BC280" s="129">
        <v>0</v>
      </c>
      <c r="BD280" s="129">
        <v>0</v>
      </c>
      <c r="BE280" s="129">
        <v>0</v>
      </c>
      <c r="BF280" s="129">
        <v>-21023214</v>
      </c>
      <c r="BG280" s="129">
        <v>0</v>
      </c>
      <c r="BH280" s="129">
        <v>0</v>
      </c>
      <c r="BI280" s="129">
        <v>0</v>
      </c>
      <c r="BJ280" s="129">
        <v>-21023214</v>
      </c>
      <c r="BK280" s="129">
        <v>0</v>
      </c>
      <c r="BL280" s="129">
        <v>-21023214</v>
      </c>
      <c r="BM280" s="129">
        <v>0</v>
      </c>
      <c r="BN280" s="129">
        <v>0</v>
      </c>
      <c r="BO280" s="129">
        <v>0</v>
      </c>
      <c r="BP280" s="129">
        <v>-15735487</v>
      </c>
      <c r="BQ280" s="129">
        <v>0</v>
      </c>
      <c r="BR280" s="129">
        <v>-15735487</v>
      </c>
      <c r="BS280" s="129">
        <v>-15735487</v>
      </c>
      <c r="BT280" s="129">
        <v>0</v>
      </c>
      <c r="BU280" s="129">
        <v>0</v>
      </c>
      <c r="BV280" s="129">
        <v>0</v>
      </c>
      <c r="BW280" s="129">
        <v>-15735487</v>
      </c>
      <c r="BX280" s="129">
        <v>0</v>
      </c>
      <c r="BY280" s="129">
        <v>-15735487</v>
      </c>
      <c r="BZ280" s="129">
        <v>-388531</v>
      </c>
      <c r="CA280" s="129">
        <v>0</v>
      </c>
      <c r="CB280" s="129">
        <v>-388531</v>
      </c>
      <c r="CC280" s="129">
        <v>-259021</v>
      </c>
      <c r="CD280" s="129">
        <v>0</v>
      </c>
      <c r="CE280" s="129">
        <v>-259021</v>
      </c>
      <c r="CF280" s="129">
        <v>0</v>
      </c>
      <c r="CG280" s="129">
        <v>0</v>
      </c>
      <c r="CH280" s="129">
        <v>0</v>
      </c>
      <c r="CI280" s="129">
        <v>0</v>
      </c>
      <c r="CJ280" s="129">
        <v>0</v>
      </c>
      <c r="CK280" s="129">
        <v>0</v>
      </c>
      <c r="CL280" s="129">
        <v>0</v>
      </c>
      <c r="CM280" s="129">
        <v>0</v>
      </c>
      <c r="CN280" s="129">
        <v>0</v>
      </c>
      <c r="CO280" s="129">
        <v>0</v>
      </c>
      <c r="CP280" s="129">
        <v>0</v>
      </c>
      <c r="CQ280" s="129">
        <v>0</v>
      </c>
      <c r="CR280" s="129">
        <v>0</v>
      </c>
      <c r="CS280" s="129">
        <v>0</v>
      </c>
      <c r="CT280" s="129">
        <v>-647552</v>
      </c>
      <c r="CU280" s="129">
        <v>0</v>
      </c>
      <c r="CV280" s="129">
        <v>0</v>
      </c>
      <c r="CW280" s="129">
        <v>0</v>
      </c>
      <c r="CX280" s="129">
        <v>-647552</v>
      </c>
      <c r="CY280" s="129">
        <v>0</v>
      </c>
      <c r="CZ280" s="129">
        <v>-647552</v>
      </c>
      <c r="DA280" s="129">
        <v>0</v>
      </c>
      <c r="DB280" s="129">
        <v>0</v>
      </c>
      <c r="DC280" s="129">
        <v>0</v>
      </c>
      <c r="DD280" s="129">
        <v>-431194</v>
      </c>
      <c r="DE280" s="129">
        <v>0</v>
      </c>
      <c r="DF280" s="129">
        <v>-431194</v>
      </c>
      <c r="DG280" s="129">
        <v>0</v>
      </c>
      <c r="DH280" s="129">
        <v>0</v>
      </c>
      <c r="DI280" s="129">
        <v>0</v>
      </c>
      <c r="DJ280" s="129">
        <v>-431194</v>
      </c>
      <c r="DK280" s="129">
        <v>0</v>
      </c>
      <c r="DL280" s="129">
        <v>0</v>
      </c>
      <c r="DM280" s="129">
        <v>0</v>
      </c>
      <c r="DN280" s="129">
        <v>-431194</v>
      </c>
      <c r="DO280" s="129">
        <v>0</v>
      </c>
      <c r="DP280" s="129">
        <v>-431194</v>
      </c>
      <c r="DQ280" s="129">
        <v>458552298</v>
      </c>
      <c r="DR280" s="129">
        <v>0</v>
      </c>
      <c r="DS280" s="129">
        <v>458552298</v>
      </c>
      <c r="DT280" s="662" t="s">
        <v>413</v>
      </c>
      <c r="DU280" s="324" t="s">
        <v>576</v>
      </c>
      <c r="DV280" s="669" t="s">
        <v>485</v>
      </c>
      <c r="DW280" s="529" t="s">
        <v>1486</v>
      </c>
    </row>
    <row r="281" spans="1:127" ht="12.75" x14ac:dyDescent="0.2">
      <c r="A281" s="664">
        <v>274</v>
      </c>
      <c r="B281" s="665" t="s">
        <v>416</v>
      </c>
      <c r="C281" s="666" t="s">
        <v>1217</v>
      </c>
      <c r="D281" s="667" t="s">
        <v>1204</v>
      </c>
      <c r="E281" s="668" t="s">
        <v>415</v>
      </c>
      <c r="F281" s="753" t="s">
        <v>1882</v>
      </c>
      <c r="G281" s="129">
        <v>369944223</v>
      </c>
      <c r="H281" s="129">
        <v>0</v>
      </c>
      <c r="I281" s="129">
        <v>369944223</v>
      </c>
      <c r="J281" s="793">
        <v>49.9</v>
      </c>
      <c r="K281" s="129">
        <v>184602167</v>
      </c>
      <c r="L281" s="129">
        <v>0</v>
      </c>
      <c r="M281" s="129">
        <v>-701095</v>
      </c>
      <c r="N281" s="129">
        <v>0</v>
      </c>
      <c r="O281" s="129">
        <v>183901072</v>
      </c>
      <c r="P281" s="129">
        <v>0</v>
      </c>
      <c r="Q281" s="129">
        <v>183901072</v>
      </c>
      <c r="R281" s="129">
        <v>-306472</v>
      </c>
      <c r="S281" s="129">
        <v>0</v>
      </c>
      <c r="T281" s="129">
        <v>-306472</v>
      </c>
      <c r="U281" s="129">
        <v>550904</v>
      </c>
      <c r="V281" s="129">
        <v>0</v>
      </c>
      <c r="W281" s="129">
        <v>550904</v>
      </c>
      <c r="X281" s="129">
        <v>244432</v>
      </c>
      <c r="Y281" s="129">
        <v>0</v>
      </c>
      <c r="Z281" s="129">
        <v>0</v>
      </c>
      <c r="AA281" s="129">
        <v>0</v>
      </c>
      <c r="AB281" s="129">
        <v>244432</v>
      </c>
      <c r="AC281" s="129">
        <v>0</v>
      </c>
      <c r="AD281" s="129">
        <v>244432</v>
      </c>
      <c r="AE281" s="129">
        <v>-244432</v>
      </c>
      <c r="AF281" s="129">
        <v>0</v>
      </c>
      <c r="AG281" s="129">
        <v>-244432</v>
      </c>
      <c r="AH281" s="129">
        <v>-8965847</v>
      </c>
      <c r="AI281" s="129">
        <v>0</v>
      </c>
      <c r="AJ281" s="129">
        <v>-8965847</v>
      </c>
      <c r="AK281" s="129">
        <v>0</v>
      </c>
      <c r="AL281" s="129">
        <v>0</v>
      </c>
      <c r="AM281" s="129">
        <v>0</v>
      </c>
      <c r="AN281" s="129">
        <v>3852726</v>
      </c>
      <c r="AO281" s="129">
        <v>0</v>
      </c>
      <c r="AP281" s="129">
        <v>3852726</v>
      </c>
      <c r="AQ281" s="129">
        <v>-5113121</v>
      </c>
      <c r="AR281" s="129">
        <v>0</v>
      </c>
      <c r="AS281" s="129">
        <v>-5113121</v>
      </c>
      <c r="AT281" s="129">
        <v>-4831502</v>
      </c>
      <c r="AU281" s="129">
        <v>0</v>
      </c>
      <c r="AV281" s="129">
        <v>-4831502</v>
      </c>
      <c r="AW281" s="129">
        <v>-72294</v>
      </c>
      <c r="AX281" s="129">
        <v>0</v>
      </c>
      <c r="AY281" s="129">
        <v>-72294</v>
      </c>
      <c r="AZ281" s="129">
        <v>-653</v>
      </c>
      <c r="BA281" s="129">
        <v>0</v>
      </c>
      <c r="BB281" s="129">
        <v>-653</v>
      </c>
      <c r="BC281" s="129">
        <v>0</v>
      </c>
      <c r="BD281" s="129">
        <v>0</v>
      </c>
      <c r="BE281" s="129">
        <v>0</v>
      </c>
      <c r="BF281" s="129">
        <v>-10017570</v>
      </c>
      <c r="BG281" s="129">
        <v>0</v>
      </c>
      <c r="BH281" s="129">
        <v>0</v>
      </c>
      <c r="BI281" s="129">
        <v>0</v>
      </c>
      <c r="BJ281" s="129">
        <v>-10017570</v>
      </c>
      <c r="BK281" s="129">
        <v>0</v>
      </c>
      <c r="BL281" s="129">
        <v>-10017570</v>
      </c>
      <c r="BM281" s="129">
        <v>0</v>
      </c>
      <c r="BN281" s="129">
        <v>0</v>
      </c>
      <c r="BO281" s="129">
        <v>0</v>
      </c>
      <c r="BP281" s="129">
        <v>-4739722</v>
      </c>
      <c r="BQ281" s="129">
        <v>0</v>
      </c>
      <c r="BR281" s="129">
        <v>-4739722</v>
      </c>
      <c r="BS281" s="129">
        <v>-4739722</v>
      </c>
      <c r="BT281" s="129">
        <v>0</v>
      </c>
      <c r="BU281" s="129">
        <v>-1000000</v>
      </c>
      <c r="BV281" s="129">
        <v>0</v>
      </c>
      <c r="BW281" s="129">
        <v>-5739722</v>
      </c>
      <c r="BX281" s="129">
        <v>0</v>
      </c>
      <c r="BY281" s="129">
        <v>-5739722</v>
      </c>
      <c r="BZ281" s="129">
        <v>-55334</v>
      </c>
      <c r="CA281" s="129">
        <v>0</v>
      </c>
      <c r="CB281" s="129">
        <v>-55334</v>
      </c>
      <c r="CC281" s="129">
        <v>-834447</v>
      </c>
      <c r="CD281" s="129">
        <v>0</v>
      </c>
      <c r="CE281" s="129">
        <v>-834447</v>
      </c>
      <c r="CF281" s="129">
        <v>-13901</v>
      </c>
      <c r="CG281" s="129">
        <v>0</v>
      </c>
      <c r="CH281" s="129">
        <v>-13901</v>
      </c>
      <c r="CI281" s="129">
        <v>-653</v>
      </c>
      <c r="CJ281" s="129">
        <v>0</v>
      </c>
      <c r="CK281" s="129">
        <v>-653</v>
      </c>
      <c r="CL281" s="129">
        <v>0</v>
      </c>
      <c r="CM281" s="129">
        <v>0</v>
      </c>
      <c r="CN281" s="129">
        <v>0</v>
      </c>
      <c r="CO281" s="129">
        <v>0</v>
      </c>
      <c r="CP281" s="129">
        <v>0</v>
      </c>
      <c r="CQ281" s="129">
        <v>0</v>
      </c>
      <c r="CR281" s="129">
        <v>0</v>
      </c>
      <c r="CS281" s="129">
        <v>0</v>
      </c>
      <c r="CT281" s="129">
        <v>-904334</v>
      </c>
      <c r="CU281" s="129">
        <v>0</v>
      </c>
      <c r="CV281" s="129">
        <v>0</v>
      </c>
      <c r="CW281" s="129">
        <v>0</v>
      </c>
      <c r="CX281" s="129">
        <v>-904334</v>
      </c>
      <c r="CY281" s="129">
        <v>0</v>
      </c>
      <c r="CZ281" s="129">
        <v>-904334</v>
      </c>
      <c r="DA281" s="129">
        <v>0</v>
      </c>
      <c r="DB281" s="129">
        <v>0</v>
      </c>
      <c r="DC281" s="129">
        <v>0</v>
      </c>
      <c r="DD281" s="129">
        <v>-16195</v>
      </c>
      <c r="DE281" s="129">
        <v>0</v>
      </c>
      <c r="DF281" s="129">
        <v>-16195</v>
      </c>
      <c r="DG281" s="129">
        <v>0</v>
      </c>
      <c r="DH281" s="129">
        <v>0</v>
      </c>
      <c r="DI281" s="129">
        <v>0</v>
      </c>
      <c r="DJ281" s="129">
        <v>-16195</v>
      </c>
      <c r="DK281" s="129">
        <v>0</v>
      </c>
      <c r="DL281" s="129">
        <v>0</v>
      </c>
      <c r="DM281" s="129">
        <v>0</v>
      </c>
      <c r="DN281" s="129">
        <v>-16195</v>
      </c>
      <c r="DO281" s="129">
        <v>0</v>
      </c>
      <c r="DP281" s="129">
        <v>-16195</v>
      </c>
      <c r="DQ281" s="129">
        <v>167467683</v>
      </c>
      <c r="DR281" s="129">
        <v>0</v>
      </c>
      <c r="DS281" s="129">
        <v>167467683</v>
      </c>
      <c r="DT281" s="662" t="s">
        <v>415</v>
      </c>
      <c r="DU281" s="324" t="s">
        <v>570</v>
      </c>
      <c r="DV281" s="663" t="s">
        <v>1915</v>
      </c>
      <c r="DW281" s="529" t="s">
        <v>1487</v>
      </c>
    </row>
    <row r="282" spans="1:127" ht="12.75" x14ac:dyDescent="0.2">
      <c r="A282" s="664">
        <v>275</v>
      </c>
      <c r="B282" s="665" t="s">
        <v>418</v>
      </c>
      <c r="C282" s="666" t="s">
        <v>1201</v>
      </c>
      <c r="D282" s="667" t="s">
        <v>1202</v>
      </c>
      <c r="E282" s="668" t="s">
        <v>417</v>
      </c>
      <c r="F282" s="753" t="s">
        <v>1890</v>
      </c>
      <c r="G282" s="129">
        <v>135100168</v>
      </c>
      <c r="H282" s="129">
        <v>0</v>
      </c>
      <c r="I282" s="129">
        <v>135100168</v>
      </c>
      <c r="J282" s="793">
        <v>49.9</v>
      </c>
      <c r="K282" s="129">
        <v>67414984</v>
      </c>
      <c r="L282" s="129">
        <v>0</v>
      </c>
      <c r="M282" s="129">
        <v>-1804883</v>
      </c>
      <c r="N282" s="129">
        <v>0</v>
      </c>
      <c r="O282" s="129">
        <v>65610101</v>
      </c>
      <c r="P282" s="129">
        <v>0</v>
      </c>
      <c r="Q282" s="129">
        <v>65610101</v>
      </c>
      <c r="R282" s="129">
        <v>-96279</v>
      </c>
      <c r="S282" s="129">
        <v>0</v>
      </c>
      <c r="T282" s="129">
        <v>-96279</v>
      </c>
      <c r="U282" s="129">
        <v>187768</v>
      </c>
      <c r="V282" s="129">
        <v>0</v>
      </c>
      <c r="W282" s="129">
        <v>187768</v>
      </c>
      <c r="X282" s="129">
        <v>91489</v>
      </c>
      <c r="Y282" s="129">
        <v>0</v>
      </c>
      <c r="Z282" s="129">
        <v>0</v>
      </c>
      <c r="AA282" s="129">
        <v>0</v>
      </c>
      <c r="AB282" s="129">
        <v>91489</v>
      </c>
      <c r="AC282" s="129">
        <v>0</v>
      </c>
      <c r="AD282" s="129">
        <v>91489</v>
      </c>
      <c r="AE282" s="129">
        <v>-91489</v>
      </c>
      <c r="AF282" s="129">
        <v>0</v>
      </c>
      <c r="AG282" s="129">
        <v>-91489</v>
      </c>
      <c r="AH282" s="129">
        <v>-4397322</v>
      </c>
      <c r="AI282" s="129">
        <v>0</v>
      </c>
      <c r="AJ282" s="129">
        <v>-4397322</v>
      </c>
      <c r="AK282" s="129">
        <v>-3106</v>
      </c>
      <c r="AL282" s="129">
        <v>0</v>
      </c>
      <c r="AM282" s="129">
        <v>-3106</v>
      </c>
      <c r="AN282" s="129">
        <v>1284705</v>
      </c>
      <c r="AO282" s="129">
        <v>0</v>
      </c>
      <c r="AP282" s="129">
        <v>1284705</v>
      </c>
      <c r="AQ282" s="129">
        <v>-3112617</v>
      </c>
      <c r="AR282" s="129">
        <v>0</v>
      </c>
      <c r="AS282" s="129">
        <v>-3112617</v>
      </c>
      <c r="AT282" s="129">
        <v>-5023591</v>
      </c>
      <c r="AU282" s="129">
        <v>0</v>
      </c>
      <c r="AV282" s="129">
        <v>-5023591</v>
      </c>
      <c r="AW282" s="129">
        <v>-26184</v>
      </c>
      <c r="AX282" s="129">
        <v>0</v>
      </c>
      <c r="AY282" s="129">
        <v>-26184</v>
      </c>
      <c r="AZ282" s="129">
        <v>-7845</v>
      </c>
      <c r="BA282" s="129">
        <v>0</v>
      </c>
      <c r="BB282" s="129">
        <v>-7845</v>
      </c>
      <c r="BC282" s="129">
        <v>0</v>
      </c>
      <c r="BD282" s="129">
        <v>0</v>
      </c>
      <c r="BE282" s="129">
        <v>0</v>
      </c>
      <c r="BF282" s="129">
        <v>-8170237</v>
      </c>
      <c r="BG282" s="129">
        <v>0</v>
      </c>
      <c r="BH282" s="129">
        <v>0</v>
      </c>
      <c r="BI282" s="129">
        <v>0</v>
      </c>
      <c r="BJ282" s="129">
        <v>-8170237</v>
      </c>
      <c r="BK282" s="129">
        <v>0</v>
      </c>
      <c r="BL282" s="129">
        <v>-8170237</v>
      </c>
      <c r="BM282" s="129">
        <v>0</v>
      </c>
      <c r="BN282" s="129">
        <v>0</v>
      </c>
      <c r="BO282" s="129">
        <v>0</v>
      </c>
      <c r="BP282" s="129">
        <v>-1464984</v>
      </c>
      <c r="BQ282" s="129">
        <v>0</v>
      </c>
      <c r="BR282" s="129">
        <v>-1464984</v>
      </c>
      <c r="BS282" s="129">
        <v>-1464984</v>
      </c>
      <c r="BT282" s="129">
        <v>0</v>
      </c>
      <c r="BU282" s="129">
        <v>0</v>
      </c>
      <c r="BV282" s="129">
        <v>0</v>
      </c>
      <c r="BW282" s="129">
        <v>-1464984</v>
      </c>
      <c r="BX282" s="129">
        <v>0</v>
      </c>
      <c r="BY282" s="129">
        <v>-1464984</v>
      </c>
      <c r="BZ282" s="129">
        <v>-49431</v>
      </c>
      <c r="CA282" s="129">
        <v>0</v>
      </c>
      <c r="CB282" s="129">
        <v>-49431</v>
      </c>
      <c r="CC282" s="129">
        <v>-10835</v>
      </c>
      <c r="CD282" s="129">
        <v>0</v>
      </c>
      <c r="CE282" s="129">
        <v>-10835</v>
      </c>
      <c r="CF282" s="129">
        <v>-1129</v>
      </c>
      <c r="CG282" s="129">
        <v>0</v>
      </c>
      <c r="CH282" s="129">
        <v>-1129</v>
      </c>
      <c r="CI282" s="129">
        <v>-7845</v>
      </c>
      <c r="CJ282" s="129">
        <v>0</v>
      </c>
      <c r="CK282" s="129">
        <v>-7845</v>
      </c>
      <c r="CL282" s="129">
        <v>-23328</v>
      </c>
      <c r="CM282" s="129">
        <v>0</v>
      </c>
      <c r="CN282" s="129">
        <v>-23328</v>
      </c>
      <c r="CO282" s="129">
        <v>0</v>
      </c>
      <c r="CP282" s="129">
        <v>0</v>
      </c>
      <c r="CQ282" s="129">
        <v>0</v>
      </c>
      <c r="CR282" s="129">
        <v>0</v>
      </c>
      <c r="CS282" s="129">
        <v>0</v>
      </c>
      <c r="CT282" s="129">
        <v>-92568</v>
      </c>
      <c r="CU282" s="129">
        <v>0</v>
      </c>
      <c r="CV282" s="129">
        <v>0</v>
      </c>
      <c r="CW282" s="129">
        <v>0</v>
      </c>
      <c r="CX282" s="129">
        <v>-92568</v>
      </c>
      <c r="CY282" s="129">
        <v>0</v>
      </c>
      <c r="CZ282" s="129">
        <v>-92568</v>
      </c>
      <c r="DA282" s="129">
        <v>0</v>
      </c>
      <c r="DB282" s="129">
        <v>0</v>
      </c>
      <c r="DC282" s="129">
        <v>0</v>
      </c>
      <c r="DD282" s="129">
        <v>-25844</v>
      </c>
      <c r="DE282" s="129">
        <v>0</v>
      </c>
      <c r="DF282" s="129">
        <v>-25844</v>
      </c>
      <c r="DG282" s="129">
        <v>-1500</v>
      </c>
      <c r="DH282" s="129">
        <v>0</v>
      </c>
      <c r="DI282" s="129">
        <v>-1500</v>
      </c>
      <c r="DJ282" s="129">
        <v>-27344</v>
      </c>
      <c r="DK282" s="129">
        <v>0</v>
      </c>
      <c r="DL282" s="129">
        <v>0</v>
      </c>
      <c r="DM282" s="129">
        <v>0</v>
      </c>
      <c r="DN282" s="129">
        <v>-27344</v>
      </c>
      <c r="DO282" s="129">
        <v>0</v>
      </c>
      <c r="DP282" s="129">
        <v>-27344</v>
      </c>
      <c r="DQ282" s="129">
        <v>55946457</v>
      </c>
      <c r="DR282" s="129">
        <v>0</v>
      </c>
      <c r="DS282" s="129">
        <v>55946457</v>
      </c>
      <c r="DT282" s="662" t="s">
        <v>417</v>
      </c>
      <c r="DU282" s="324" t="s">
        <v>543</v>
      </c>
      <c r="DV282" s="663" t="s">
        <v>542</v>
      </c>
      <c r="DW282" s="529" t="s">
        <v>1488</v>
      </c>
    </row>
    <row r="283" spans="1:127" ht="12.75" x14ac:dyDescent="0.2">
      <c r="A283" s="664">
        <v>276</v>
      </c>
      <c r="B283" s="665" t="s">
        <v>420</v>
      </c>
      <c r="C283" s="666" t="s">
        <v>1201</v>
      </c>
      <c r="D283" s="667" t="s">
        <v>1211</v>
      </c>
      <c r="E283" s="668" t="s">
        <v>419</v>
      </c>
      <c r="F283" s="753" t="s">
        <v>1875</v>
      </c>
      <c r="G283" s="129">
        <v>107897351</v>
      </c>
      <c r="H283" s="129">
        <v>0</v>
      </c>
      <c r="I283" s="129">
        <v>107897351</v>
      </c>
      <c r="J283" s="793">
        <v>49.9</v>
      </c>
      <c r="K283" s="129">
        <v>53840778</v>
      </c>
      <c r="L283" s="129">
        <v>0</v>
      </c>
      <c r="M283" s="129">
        <v>0</v>
      </c>
      <c r="N283" s="129">
        <v>0</v>
      </c>
      <c r="O283" s="129">
        <v>53840778</v>
      </c>
      <c r="P283" s="129">
        <v>0</v>
      </c>
      <c r="Q283" s="129">
        <v>53840778</v>
      </c>
      <c r="R283" s="129">
        <v>-141532</v>
      </c>
      <c r="S283" s="129">
        <v>0</v>
      </c>
      <c r="T283" s="129">
        <v>-141532</v>
      </c>
      <c r="U283" s="129">
        <v>68434</v>
      </c>
      <c r="V283" s="129">
        <v>0</v>
      </c>
      <c r="W283" s="129">
        <v>68434</v>
      </c>
      <c r="X283" s="129">
        <v>-73098</v>
      </c>
      <c r="Y283" s="129">
        <v>0</v>
      </c>
      <c r="Z283" s="129">
        <v>0</v>
      </c>
      <c r="AA283" s="129">
        <v>0</v>
      </c>
      <c r="AB283" s="129">
        <v>-73098</v>
      </c>
      <c r="AC283" s="129">
        <v>0</v>
      </c>
      <c r="AD283" s="129">
        <v>-73098</v>
      </c>
      <c r="AE283" s="129">
        <v>73098</v>
      </c>
      <c r="AF283" s="129">
        <v>0</v>
      </c>
      <c r="AG283" s="129">
        <v>73098</v>
      </c>
      <c r="AH283" s="129">
        <v>-4051390</v>
      </c>
      <c r="AI283" s="129">
        <v>0</v>
      </c>
      <c r="AJ283" s="129">
        <v>-4051390</v>
      </c>
      <c r="AK283" s="129">
        <v>-4242</v>
      </c>
      <c r="AL283" s="129">
        <v>0</v>
      </c>
      <c r="AM283" s="129">
        <v>-4242</v>
      </c>
      <c r="AN283" s="129">
        <v>1034037</v>
      </c>
      <c r="AO283" s="129">
        <v>0</v>
      </c>
      <c r="AP283" s="129">
        <v>1034037</v>
      </c>
      <c r="AQ283" s="129">
        <v>-3017353</v>
      </c>
      <c r="AR283" s="129">
        <v>0</v>
      </c>
      <c r="AS283" s="129">
        <v>-3017353</v>
      </c>
      <c r="AT283" s="129">
        <v>-2184548</v>
      </c>
      <c r="AU283" s="129">
        <v>0</v>
      </c>
      <c r="AV283" s="129">
        <v>-2184548</v>
      </c>
      <c r="AW283" s="129">
        <v>-16732</v>
      </c>
      <c r="AX283" s="129">
        <v>0</v>
      </c>
      <c r="AY283" s="129">
        <v>-16732</v>
      </c>
      <c r="AZ283" s="129">
        <v>-30234</v>
      </c>
      <c r="BA283" s="129">
        <v>0</v>
      </c>
      <c r="BB283" s="129">
        <v>-30234</v>
      </c>
      <c r="BC283" s="129">
        <v>0</v>
      </c>
      <c r="BD283" s="129">
        <v>0</v>
      </c>
      <c r="BE283" s="129">
        <v>0</v>
      </c>
      <c r="BF283" s="129">
        <v>-5248867</v>
      </c>
      <c r="BG283" s="129">
        <v>0</v>
      </c>
      <c r="BH283" s="129">
        <v>0</v>
      </c>
      <c r="BI283" s="129">
        <v>0</v>
      </c>
      <c r="BJ283" s="129">
        <v>-5248867</v>
      </c>
      <c r="BK283" s="129">
        <v>0</v>
      </c>
      <c r="BL283" s="129">
        <v>-5248867</v>
      </c>
      <c r="BM283" s="129">
        <v>-100000</v>
      </c>
      <c r="BN283" s="129">
        <v>0</v>
      </c>
      <c r="BO283" s="129">
        <v>-100000</v>
      </c>
      <c r="BP283" s="129">
        <v>-855419</v>
      </c>
      <c r="BQ283" s="129">
        <v>0</v>
      </c>
      <c r="BR283" s="129">
        <v>-855419</v>
      </c>
      <c r="BS283" s="129">
        <v>-955419</v>
      </c>
      <c r="BT283" s="129">
        <v>0</v>
      </c>
      <c r="BU283" s="129">
        <v>0</v>
      </c>
      <c r="BV283" s="129">
        <v>0</v>
      </c>
      <c r="BW283" s="129">
        <v>-955419</v>
      </c>
      <c r="BX283" s="129">
        <v>0</v>
      </c>
      <c r="BY283" s="129">
        <v>-955419</v>
      </c>
      <c r="BZ283" s="129">
        <v>-51860</v>
      </c>
      <c r="CA283" s="129">
        <v>0</v>
      </c>
      <c r="CB283" s="129">
        <v>-51860</v>
      </c>
      <c r="CC283" s="129">
        <v>-124039</v>
      </c>
      <c r="CD283" s="129">
        <v>0</v>
      </c>
      <c r="CE283" s="129">
        <v>-124039</v>
      </c>
      <c r="CF283" s="129">
        <v>-174</v>
      </c>
      <c r="CG283" s="129">
        <v>0</v>
      </c>
      <c r="CH283" s="129">
        <v>-174</v>
      </c>
      <c r="CI283" s="129">
        <v>-30234</v>
      </c>
      <c r="CJ283" s="129">
        <v>0</v>
      </c>
      <c r="CK283" s="129">
        <v>-30234</v>
      </c>
      <c r="CL283" s="129">
        <v>-66039</v>
      </c>
      <c r="CM283" s="129">
        <v>0</v>
      </c>
      <c r="CN283" s="129">
        <v>-66039</v>
      </c>
      <c r="CO283" s="129">
        <v>-40250</v>
      </c>
      <c r="CP283" s="129">
        <v>0</v>
      </c>
      <c r="CQ283" s="129">
        <v>-40250</v>
      </c>
      <c r="CR283" s="129">
        <v>0</v>
      </c>
      <c r="CS283" s="129">
        <v>0</v>
      </c>
      <c r="CT283" s="129">
        <v>-312596</v>
      </c>
      <c r="CU283" s="129">
        <v>0</v>
      </c>
      <c r="CV283" s="129">
        <v>0</v>
      </c>
      <c r="CW283" s="129">
        <v>0</v>
      </c>
      <c r="CX283" s="129">
        <v>-312596</v>
      </c>
      <c r="CY283" s="129">
        <v>0</v>
      </c>
      <c r="CZ283" s="129">
        <v>-312596</v>
      </c>
      <c r="DA283" s="129">
        <v>-30234</v>
      </c>
      <c r="DB283" s="129">
        <v>0</v>
      </c>
      <c r="DC283" s="129">
        <v>-30234</v>
      </c>
      <c r="DD283" s="129">
        <v>-144538</v>
      </c>
      <c r="DE283" s="129">
        <v>0</v>
      </c>
      <c r="DF283" s="129">
        <v>-144538</v>
      </c>
      <c r="DG283" s="129">
        <v>0</v>
      </c>
      <c r="DH283" s="129">
        <v>0</v>
      </c>
      <c r="DI283" s="129">
        <v>0</v>
      </c>
      <c r="DJ283" s="129">
        <v>-174772</v>
      </c>
      <c r="DK283" s="129">
        <v>0</v>
      </c>
      <c r="DL283" s="129">
        <v>0</v>
      </c>
      <c r="DM283" s="129">
        <v>0</v>
      </c>
      <c r="DN283" s="129">
        <v>-174772</v>
      </c>
      <c r="DO283" s="129">
        <v>0</v>
      </c>
      <c r="DP283" s="129">
        <v>-174772</v>
      </c>
      <c r="DQ283" s="129">
        <v>47076026</v>
      </c>
      <c r="DR283" s="129">
        <v>0</v>
      </c>
      <c r="DS283" s="129">
        <v>47076026</v>
      </c>
      <c r="DT283" s="662" t="s">
        <v>419</v>
      </c>
      <c r="DU283" s="324" t="s">
        <v>528</v>
      </c>
      <c r="DV283" s="663" t="s">
        <v>1913</v>
      </c>
      <c r="DW283" s="529" t="s">
        <v>1489</v>
      </c>
    </row>
    <row r="284" spans="1:127" ht="12.75" x14ac:dyDescent="0.2">
      <c r="A284" s="664">
        <v>277</v>
      </c>
      <c r="B284" s="665" t="s">
        <v>422</v>
      </c>
      <c r="C284" s="666" t="s">
        <v>1201</v>
      </c>
      <c r="D284" s="667" t="s">
        <v>1202</v>
      </c>
      <c r="E284" s="668" t="s">
        <v>421</v>
      </c>
      <c r="F284" s="753" t="s">
        <v>1884</v>
      </c>
      <c r="G284" s="129">
        <v>135828357</v>
      </c>
      <c r="H284" s="129">
        <v>10473990</v>
      </c>
      <c r="I284" s="129">
        <v>146302347</v>
      </c>
      <c r="J284" s="793">
        <v>49.9</v>
      </c>
      <c r="K284" s="129">
        <v>67778350</v>
      </c>
      <c r="L284" s="129">
        <v>5226521</v>
      </c>
      <c r="M284" s="129">
        <v>0</v>
      </c>
      <c r="N284" s="129">
        <v>0</v>
      </c>
      <c r="O284" s="129">
        <v>67778350</v>
      </c>
      <c r="P284" s="129">
        <v>5226521</v>
      </c>
      <c r="Q284" s="129">
        <v>73004871</v>
      </c>
      <c r="R284" s="129">
        <v>-127028</v>
      </c>
      <c r="S284" s="129">
        <v>-43</v>
      </c>
      <c r="T284" s="129">
        <v>-127071</v>
      </c>
      <c r="U284" s="129">
        <v>2271853</v>
      </c>
      <c r="V284" s="129">
        <v>0</v>
      </c>
      <c r="W284" s="129">
        <v>2271853</v>
      </c>
      <c r="X284" s="129">
        <v>2144825</v>
      </c>
      <c r="Y284" s="129">
        <v>-43</v>
      </c>
      <c r="Z284" s="129">
        <v>0</v>
      </c>
      <c r="AA284" s="129">
        <v>0</v>
      </c>
      <c r="AB284" s="129">
        <v>2144825</v>
      </c>
      <c r="AC284" s="129">
        <v>-43</v>
      </c>
      <c r="AD284" s="129">
        <v>2144782</v>
      </c>
      <c r="AE284" s="129">
        <v>-2144825</v>
      </c>
      <c r="AF284" s="129">
        <v>43</v>
      </c>
      <c r="AG284" s="129">
        <v>-2144782</v>
      </c>
      <c r="AH284" s="129">
        <v>-2641823</v>
      </c>
      <c r="AI284" s="129">
        <v>-56058</v>
      </c>
      <c r="AJ284" s="129">
        <v>-2697881</v>
      </c>
      <c r="AK284" s="129">
        <v>0</v>
      </c>
      <c r="AL284" s="129">
        <v>0</v>
      </c>
      <c r="AM284" s="129">
        <v>0</v>
      </c>
      <c r="AN284" s="129">
        <v>1364141</v>
      </c>
      <c r="AO284" s="129">
        <v>119961</v>
      </c>
      <c r="AP284" s="129">
        <v>1484102</v>
      </c>
      <c r="AQ284" s="129">
        <v>-1277682</v>
      </c>
      <c r="AR284" s="129">
        <v>63903</v>
      </c>
      <c r="AS284" s="129">
        <v>-1213779</v>
      </c>
      <c r="AT284" s="129">
        <v>-6205970</v>
      </c>
      <c r="AU284" s="129">
        <v>-87818</v>
      </c>
      <c r="AV284" s="129">
        <v>-6293788</v>
      </c>
      <c r="AW284" s="129">
        <v>-105431</v>
      </c>
      <c r="AX284" s="129">
        <v>0</v>
      </c>
      <c r="AY284" s="129">
        <v>-105431</v>
      </c>
      <c r="AZ284" s="129">
        <v>-21874</v>
      </c>
      <c r="BA284" s="129">
        <v>0</v>
      </c>
      <c r="BB284" s="129">
        <v>-21874</v>
      </c>
      <c r="BC284" s="129">
        <v>0</v>
      </c>
      <c r="BD284" s="129">
        <v>0</v>
      </c>
      <c r="BE284" s="129">
        <v>0</v>
      </c>
      <c r="BF284" s="129">
        <v>-7610957</v>
      </c>
      <c r="BG284" s="129">
        <v>-23915</v>
      </c>
      <c r="BH284" s="129">
        <v>0</v>
      </c>
      <c r="BI284" s="129">
        <v>0</v>
      </c>
      <c r="BJ284" s="129">
        <v>-7610957</v>
      </c>
      <c r="BK284" s="129">
        <v>-23915</v>
      </c>
      <c r="BL284" s="129">
        <v>-7634872</v>
      </c>
      <c r="BM284" s="129">
        <v>0</v>
      </c>
      <c r="BN284" s="129">
        <v>0</v>
      </c>
      <c r="BO284" s="129">
        <v>0</v>
      </c>
      <c r="BP284" s="129">
        <v>-1302825</v>
      </c>
      <c r="BQ284" s="129">
        <v>-27520</v>
      </c>
      <c r="BR284" s="129">
        <v>-1330345</v>
      </c>
      <c r="BS284" s="129">
        <v>-1302825</v>
      </c>
      <c r="BT284" s="129">
        <v>-27520</v>
      </c>
      <c r="BU284" s="129">
        <v>0</v>
      </c>
      <c r="BV284" s="129">
        <v>0</v>
      </c>
      <c r="BW284" s="129">
        <v>-1302825</v>
      </c>
      <c r="BX284" s="129">
        <v>-27520</v>
      </c>
      <c r="BY284" s="129">
        <v>-1330345</v>
      </c>
      <c r="BZ284" s="129">
        <v>-170806</v>
      </c>
      <c r="CA284" s="129">
        <v>-348</v>
      </c>
      <c r="CB284" s="129">
        <v>-171154</v>
      </c>
      <c r="CC284" s="129">
        <v>-6290</v>
      </c>
      <c r="CD284" s="129">
        <v>0</v>
      </c>
      <c r="CE284" s="129">
        <v>-6290</v>
      </c>
      <c r="CF284" s="129">
        <v>-6589</v>
      </c>
      <c r="CG284" s="129">
        <v>0</v>
      </c>
      <c r="CH284" s="129">
        <v>-6589</v>
      </c>
      <c r="CI284" s="129">
        <v>0</v>
      </c>
      <c r="CJ284" s="129">
        <v>0</v>
      </c>
      <c r="CK284" s="129">
        <v>0</v>
      </c>
      <c r="CL284" s="129">
        <v>0</v>
      </c>
      <c r="CM284" s="129">
        <v>0</v>
      </c>
      <c r="CN284" s="129">
        <v>0</v>
      </c>
      <c r="CO284" s="129">
        <v>0</v>
      </c>
      <c r="CP284" s="129">
        <v>-653604</v>
      </c>
      <c r="CQ284" s="129">
        <v>-653604</v>
      </c>
      <c r="CR284" s="129">
        <v>-653604</v>
      </c>
      <c r="CS284" s="129">
        <v>0</v>
      </c>
      <c r="CT284" s="129">
        <v>-183685</v>
      </c>
      <c r="CU284" s="129">
        <v>-653952</v>
      </c>
      <c r="CV284" s="129">
        <v>0</v>
      </c>
      <c r="CW284" s="129">
        <v>0</v>
      </c>
      <c r="CX284" s="129">
        <v>-183685</v>
      </c>
      <c r="CY284" s="129">
        <v>-653952</v>
      </c>
      <c r="CZ284" s="129">
        <v>-837637</v>
      </c>
      <c r="DA284" s="129">
        <v>-21874</v>
      </c>
      <c r="DB284" s="129">
        <v>0</v>
      </c>
      <c r="DC284" s="129">
        <v>-21874</v>
      </c>
      <c r="DD284" s="129">
        <v>-28058</v>
      </c>
      <c r="DE284" s="129">
        <v>0</v>
      </c>
      <c r="DF284" s="129">
        <v>-28058</v>
      </c>
      <c r="DG284" s="129">
        <v>0</v>
      </c>
      <c r="DH284" s="129">
        <v>0</v>
      </c>
      <c r="DI284" s="129">
        <v>0</v>
      </c>
      <c r="DJ284" s="129">
        <v>-49932</v>
      </c>
      <c r="DK284" s="129">
        <v>0</v>
      </c>
      <c r="DL284" s="129">
        <v>0</v>
      </c>
      <c r="DM284" s="129">
        <v>0</v>
      </c>
      <c r="DN284" s="129">
        <v>-49932</v>
      </c>
      <c r="DO284" s="129">
        <v>0</v>
      </c>
      <c r="DP284" s="129">
        <v>-49932</v>
      </c>
      <c r="DQ284" s="129">
        <v>60775776</v>
      </c>
      <c r="DR284" s="129">
        <v>4521091</v>
      </c>
      <c r="DS284" s="129">
        <v>65296867</v>
      </c>
      <c r="DT284" s="662" t="s">
        <v>421</v>
      </c>
      <c r="DU284" s="324" t="s">
        <v>560</v>
      </c>
      <c r="DV284" s="663" t="s">
        <v>512</v>
      </c>
      <c r="DW284" s="529" t="s">
        <v>1490</v>
      </c>
    </row>
    <row r="285" spans="1:127" ht="12.75" x14ac:dyDescent="0.2">
      <c r="A285" s="664">
        <v>278</v>
      </c>
      <c r="B285" s="665" t="s">
        <v>424</v>
      </c>
      <c r="C285" s="666" t="s">
        <v>1217</v>
      </c>
      <c r="D285" s="667" t="s">
        <v>1218</v>
      </c>
      <c r="E285" s="668" t="s">
        <v>423</v>
      </c>
      <c r="F285" s="753" t="s">
        <v>1882</v>
      </c>
      <c r="G285" s="129">
        <v>330840934</v>
      </c>
      <c r="H285" s="129">
        <v>260250</v>
      </c>
      <c r="I285" s="129">
        <v>331101184</v>
      </c>
      <c r="J285" s="793">
        <v>49.9</v>
      </c>
      <c r="K285" s="129">
        <v>165089626</v>
      </c>
      <c r="L285" s="129">
        <v>129865</v>
      </c>
      <c r="M285" s="129">
        <v>2495000</v>
      </c>
      <c r="N285" s="129">
        <v>0</v>
      </c>
      <c r="O285" s="129">
        <v>167584626</v>
      </c>
      <c r="P285" s="129">
        <v>129865</v>
      </c>
      <c r="Q285" s="129">
        <v>167714491</v>
      </c>
      <c r="R285" s="129">
        <v>-440831</v>
      </c>
      <c r="S285" s="129">
        <v>0</v>
      </c>
      <c r="T285" s="129">
        <v>-440831</v>
      </c>
      <c r="U285" s="129">
        <v>807748</v>
      </c>
      <c r="V285" s="129">
        <v>0</v>
      </c>
      <c r="W285" s="129">
        <v>807748</v>
      </c>
      <c r="X285" s="129">
        <v>366917</v>
      </c>
      <c r="Y285" s="129">
        <v>0</v>
      </c>
      <c r="Z285" s="129">
        <v>0</v>
      </c>
      <c r="AA285" s="129">
        <v>0</v>
      </c>
      <c r="AB285" s="129">
        <v>366917</v>
      </c>
      <c r="AC285" s="129">
        <v>0</v>
      </c>
      <c r="AD285" s="129">
        <v>366917</v>
      </c>
      <c r="AE285" s="129">
        <v>-366917</v>
      </c>
      <c r="AF285" s="129">
        <v>0</v>
      </c>
      <c r="AG285" s="129">
        <v>-366917</v>
      </c>
      <c r="AH285" s="129">
        <v>-14201384</v>
      </c>
      <c r="AI285" s="129">
        <v>0</v>
      </c>
      <c r="AJ285" s="129">
        <v>-14201384</v>
      </c>
      <c r="AK285" s="129">
        <v>0</v>
      </c>
      <c r="AL285" s="129">
        <v>0</v>
      </c>
      <c r="AM285" s="129">
        <v>0</v>
      </c>
      <c r="AN285" s="129">
        <v>3078742</v>
      </c>
      <c r="AO285" s="129">
        <v>2951</v>
      </c>
      <c r="AP285" s="129">
        <v>3081693</v>
      </c>
      <c r="AQ285" s="129">
        <v>-11122642</v>
      </c>
      <c r="AR285" s="129">
        <v>2951</v>
      </c>
      <c r="AS285" s="129">
        <v>-11119691</v>
      </c>
      <c r="AT285" s="129">
        <v>-8130912</v>
      </c>
      <c r="AU285" s="129">
        <v>0</v>
      </c>
      <c r="AV285" s="129">
        <v>-8130912</v>
      </c>
      <c r="AW285" s="129">
        <v>-106102</v>
      </c>
      <c r="AX285" s="129">
        <v>0</v>
      </c>
      <c r="AY285" s="129">
        <v>-106102</v>
      </c>
      <c r="AZ285" s="129">
        <v>-12595</v>
      </c>
      <c r="BA285" s="129">
        <v>0</v>
      </c>
      <c r="BB285" s="129">
        <v>-12595</v>
      </c>
      <c r="BC285" s="129">
        <v>0</v>
      </c>
      <c r="BD285" s="129">
        <v>0</v>
      </c>
      <c r="BE285" s="129">
        <v>0</v>
      </c>
      <c r="BF285" s="129">
        <v>-19372251</v>
      </c>
      <c r="BG285" s="129">
        <v>2951</v>
      </c>
      <c r="BH285" s="129">
        <v>0</v>
      </c>
      <c r="BI285" s="129">
        <v>0</v>
      </c>
      <c r="BJ285" s="129">
        <v>-19372251</v>
      </c>
      <c r="BK285" s="129">
        <v>2951</v>
      </c>
      <c r="BL285" s="129">
        <v>-19369300</v>
      </c>
      <c r="BM285" s="129">
        <v>0</v>
      </c>
      <c r="BN285" s="129">
        <v>0</v>
      </c>
      <c r="BO285" s="129">
        <v>0</v>
      </c>
      <c r="BP285" s="129">
        <v>-5200000</v>
      </c>
      <c r="BQ285" s="129">
        <v>0</v>
      </c>
      <c r="BR285" s="129">
        <v>-5200000</v>
      </c>
      <c r="BS285" s="129">
        <v>-5200000</v>
      </c>
      <c r="BT285" s="129">
        <v>0</v>
      </c>
      <c r="BU285" s="129">
        <v>0</v>
      </c>
      <c r="BV285" s="129">
        <v>0</v>
      </c>
      <c r="BW285" s="129">
        <v>-5200000</v>
      </c>
      <c r="BX285" s="129">
        <v>0</v>
      </c>
      <c r="BY285" s="129">
        <v>-5200000</v>
      </c>
      <c r="BZ285" s="129">
        <v>-663102</v>
      </c>
      <c r="CA285" s="129">
        <v>0</v>
      </c>
      <c r="CB285" s="129">
        <v>-663102</v>
      </c>
      <c r="CC285" s="129">
        <v>-359973</v>
      </c>
      <c r="CD285" s="129">
        <v>0</v>
      </c>
      <c r="CE285" s="129">
        <v>-359973</v>
      </c>
      <c r="CF285" s="129">
        <v>-18640</v>
      </c>
      <c r="CG285" s="129">
        <v>0</v>
      </c>
      <c r="CH285" s="129">
        <v>-18640</v>
      </c>
      <c r="CI285" s="129">
        <v>0</v>
      </c>
      <c r="CJ285" s="129">
        <v>0</v>
      </c>
      <c r="CK285" s="129">
        <v>0</v>
      </c>
      <c r="CL285" s="129">
        <v>0</v>
      </c>
      <c r="CM285" s="129">
        <v>0</v>
      </c>
      <c r="CN285" s="129">
        <v>0</v>
      </c>
      <c r="CO285" s="129">
        <v>0</v>
      </c>
      <c r="CP285" s="129">
        <v>-112040</v>
      </c>
      <c r="CQ285" s="129">
        <v>-112040</v>
      </c>
      <c r="CR285" s="129">
        <v>-112040</v>
      </c>
      <c r="CS285" s="129">
        <v>0</v>
      </c>
      <c r="CT285" s="129">
        <v>-1041715</v>
      </c>
      <c r="CU285" s="129">
        <v>-112040</v>
      </c>
      <c r="CV285" s="129">
        <v>0</v>
      </c>
      <c r="CW285" s="129">
        <v>0</v>
      </c>
      <c r="CX285" s="129">
        <v>-1041715</v>
      </c>
      <c r="CY285" s="129">
        <v>-112040</v>
      </c>
      <c r="CZ285" s="129">
        <v>-1153755</v>
      </c>
      <c r="DA285" s="129">
        <v>0</v>
      </c>
      <c r="DB285" s="129">
        <v>0</v>
      </c>
      <c r="DC285" s="129">
        <v>0</v>
      </c>
      <c r="DD285" s="129">
        <v>-79811</v>
      </c>
      <c r="DE285" s="129">
        <v>0</v>
      </c>
      <c r="DF285" s="129">
        <v>-79811</v>
      </c>
      <c r="DG285" s="129">
        <v>0</v>
      </c>
      <c r="DH285" s="129">
        <v>0</v>
      </c>
      <c r="DI285" s="129">
        <v>0</v>
      </c>
      <c r="DJ285" s="129">
        <v>-79811</v>
      </c>
      <c r="DK285" s="129">
        <v>0</v>
      </c>
      <c r="DL285" s="129">
        <v>0</v>
      </c>
      <c r="DM285" s="129">
        <v>0</v>
      </c>
      <c r="DN285" s="129">
        <v>-79811</v>
      </c>
      <c r="DO285" s="129">
        <v>0</v>
      </c>
      <c r="DP285" s="129">
        <v>-79811</v>
      </c>
      <c r="DQ285" s="129">
        <v>142257766</v>
      </c>
      <c r="DR285" s="129">
        <v>20776</v>
      </c>
      <c r="DS285" s="129">
        <v>142278542</v>
      </c>
      <c r="DT285" s="662" t="s">
        <v>423</v>
      </c>
      <c r="DU285" s="324" t="s">
        <v>570</v>
      </c>
      <c r="DV285" s="663" t="s">
        <v>575</v>
      </c>
      <c r="DW285" s="529" t="s">
        <v>1491</v>
      </c>
    </row>
    <row r="286" spans="1:127" ht="12.75" x14ac:dyDescent="0.2">
      <c r="A286" s="664">
        <v>279</v>
      </c>
      <c r="B286" s="665" t="s">
        <v>426</v>
      </c>
      <c r="C286" s="666" t="s">
        <v>1217</v>
      </c>
      <c r="D286" s="667" t="s">
        <v>1228</v>
      </c>
      <c r="E286" s="668" t="s">
        <v>425</v>
      </c>
      <c r="F286" s="753" t="s">
        <v>1873</v>
      </c>
      <c r="G286" s="129">
        <v>189824186</v>
      </c>
      <c r="H286" s="129">
        <v>489750</v>
      </c>
      <c r="I286" s="129">
        <v>190313936</v>
      </c>
      <c r="J286" s="793">
        <v>49.9</v>
      </c>
      <c r="K286" s="129">
        <v>94722269</v>
      </c>
      <c r="L286" s="129">
        <v>244385</v>
      </c>
      <c r="M286" s="129">
        <v>0</v>
      </c>
      <c r="N286" s="129">
        <v>0</v>
      </c>
      <c r="O286" s="129">
        <v>94722269</v>
      </c>
      <c r="P286" s="129">
        <v>244385</v>
      </c>
      <c r="Q286" s="129">
        <v>94966654</v>
      </c>
      <c r="R286" s="129">
        <v>-205384</v>
      </c>
      <c r="S286" s="129">
        <v>-1466</v>
      </c>
      <c r="T286" s="129">
        <v>-206850</v>
      </c>
      <c r="U286" s="129">
        <v>325901</v>
      </c>
      <c r="V286" s="129">
        <v>0</v>
      </c>
      <c r="W286" s="129">
        <v>325901</v>
      </c>
      <c r="X286" s="129">
        <v>120517</v>
      </c>
      <c r="Y286" s="129">
        <v>-1466</v>
      </c>
      <c r="Z286" s="129">
        <v>0</v>
      </c>
      <c r="AA286" s="129">
        <v>0</v>
      </c>
      <c r="AB286" s="129">
        <v>120517</v>
      </c>
      <c r="AC286" s="129">
        <v>-1466</v>
      </c>
      <c r="AD286" s="129">
        <v>119051</v>
      </c>
      <c r="AE286" s="129">
        <v>-120517</v>
      </c>
      <c r="AF286" s="129">
        <v>1466</v>
      </c>
      <c r="AG286" s="129">
        <v>-119051</v>
      </c>
      <c r="AH286" s="129">
        <v>-10560651</v>
      </c>
      <c r="AI286" s="129">
        <v>-1627</v>
      </c>
      <c r="AJ286" s="129">
        <v>-10562278</v>
      </c>
      <c r="AK286" s="129">
        <v>-20738</v>
      </c>
      <c r="AL286" s="129">
        <v>0</v>
      </c>
      <c r="AM286" s="129">
        <v>-20738</v>
      </c>
      <c r="AN286" s="129">
        <v>1692712</v>
      </c>
      <c r="AO286" s="129">
        <v>2132</v>
      </c>
      <c r="AP286" s="129">
        <v>1694844</v>
      </c>
      <c r="AQ286" s="129">
        <v>-8867939</v>
      </c>
      <c r="AR286" s="129">
        <v>505</v>
      </c>
      <c r="AS286" s="129">
        <v>-8867434</v>
      </c>
      <c r="AT286" s="129">
        <v>-5909161</v>
      </c>
      <c r="AU286" s="129">
        <v>0</v>
      </c>
      <c r="AV286" s="129">
        <v>-5909161</v>
      </c>
      <c r="AW286" s="129">
        <v>-54554</v>
      </c>
      <c r="AX286" s="129">
        <v>0</v>
      </c>
      <c r="AY286" s="129">
        <v>-54554</v>
      </c>
      <c r="AZ286" s="129">
        <v>0</v>
      </c>
      <c r="BA286" s="129">
        <v>0</v>
      </c>
      <c r="BB286" s="129">
        <v>0</v>
      </c>
      <c r="BC286" s="129">
        <v>0</v>
      </c>
      <c r="BD286" s="129">
        <v>0</v>
      </c>
      <c r="BE286" s="129">
        <v>0</v>
      </c>
      <c r="BF286" s="129">
        <v>-14831654</v>
      </c>
      <c r="BG286" s="129">
        <v>505</v>
      </c>
      <c r="BH286" s="129">
        <v>0</v>
      </c>
      <c r="BI286" s="129">
        <v>0</v>
      </c>
      <c r="BJ286" s="129">
        <v>-14831654</v>
      </c>
      <c r="BK286" s="129">
        <v>505</v>
      </c>
      <c r="BL286" s="129">
        <v>-14831149</v>
      </c>
      <c r="BM286" s="129">
        <v>0</v>
      </c>
      <c r="BN286" s="129">
        <v>0</v>
      </c>
      <c r="BO286" s="129">
        <v>0</v>
      </c>
      <c r="BP286" s="129">
        <v>-1521364</v>
      </c>
      <c r="BQ286" s="129">
        <v>0</v>
      </c>
      <c r="BR286" s="129">
        <v>-1521364</v>
      </c>
      <c r="BS286" s="129">
        <v>-1521364</v>
      </c>
      <c r="BT286" s="129">
        <v>0</v>
      </c>
      <c r="BU286" s="129">
        <v>0</v>
      </c>
      <c r="BV286" s="129">
        <v>0</v>
      </c>
      <c r="BW286" s="129">
        <v>-1521364</v>
      </c>
      <c r="BX286" s="129">
        <v>0</v>
      </c>
      <c r="BY286" s="129">
        <v>-1521364</v>
      </c>
      <c r="BZ286" s="129">
        <v>-130996</v>
      </c>
      <c r="CA286" s="129">
        <v>0</v>
      </c>
      <c r="CB286" s="129">
        <v>-130996</v>
      </c>
      <c r="CC286" s="129">
        <v>-25513</v>
      </c>
      <c r="CD286" s="129">
        <v>0</v>
      </c>
      <c r="CE286" s="129">
        <v>-25513</v>
      </c>
      <c r="CF286" s="129">
        <v>-3589</v>
      </c>
      <c r="CG286" s="129">
        <v>0</v>
      </c>
      <c r="CH286" s="129">
        <v>-3589</v>
      </c>
      <c r="CI286" s="129">
        <v>0</v>
      </c>
      <c r="CJ286" s="129">
        <v>0</v>
      </c>
      <c r="CK286" s="129">
        <v>0</v>
      </c>
      <c r="CL286" s="129">
        <v>0</v>
      </c>
      <c r="CM286" s="129">
        <v>0</v>
      </c>
      <c r="CN286" s="129">
        <v>0</v>
      </c>
      <c r="CO286" s="129">
        <v>0</v>
      </c>
      <c r="CP286" s="129">
        <v>-46032</v>
      </c>
      <c r="CQ286" s="129">
        <v>-46032</v>
      </c>
      <c r="CR286" s="129">
        <v>-46032</v>
      </c>
      <c r="CS286" s="129">
        <v>0</v>
      </c>
      <c r="CT286" s="129">
        <v>-160098</v>
      </c>
      <c r="CU286" s="129">
        <v>-46032</v>
      </c>
      <c r="CV286" s="129">
        <v>0</v>
      </c>
      <c r="CW286" s="129">
        <v>0</v>
      </c>
      <c r="CX286" s="129">
        <v>-160098</v>
      </c>
      <c r="CY286" s="129">
        <v>-46032</v>
      </c>
      <c r="CZ286" s="129">
        <v>-206130</v>
      </c>
      <c r="DA286" s="129">
        <v>0</v>
      </c>
      <c r="DB286" s="129">
        <v>0</v>
      </c>
      <c r="DC286" s="129">
        <v>0</v>
      </c>
      <c r="DD286" s="129">
        <v>-20592</v>
      </c>
      <c r="DE286" s="129">
        <v>0</v>
      </c>
      <c r="DF286" s="129">
        <v>-20592</v>
      </c>
      <c r="DG286" s="129">
        <v>0</v>
      </c>
      <c r="DH286" s="129">
        <v>0</v>
      </c>
      <c r="DI286" s="129">
        <v>0</v>
      </c>
      <c r="DJ286" s="129">
        <v>-20592</v>
      </c>
      <c r="DK286" s="129">
        <v>0</v>
      </c>
      <c r="DL286" s="129">
        <v>0</v>
      </c>
      <c r="DM286" s="129">
        <v>0</v>
      </c>
      <c r="DN286" s="129">
        <v>-20592</v>
      </c>
      <c r="DO286" s="129">
        <v>0</v>
      </c>
      <c r="DP286" s="129">
        <v>-20592</v>
      </c>
      <c r="DQ286" s="129">
        <v>78309078</v>
      </c>
      <c r="DR286" s="129">
        <v>197392</v>
      </c>
      <c r="DS286" s="129">
        <v>78506470</v>
      </c>
      <c r="DT286" s="662" t="s">
        <v>425</v>
      </c>
      <c r="DU286" s="324" t="s">
        <v>570</v>
      </c>
      <c r="DV286" s="663" t="s">
        <v>574</v>
      </c>
      <c r="DW286" s="529" t="s">
        <v>1492</v>
      </c>
    </row>
    <row r="287" spans="1:127" ht="12.75" x14ac:dyDescent="0.2">
      <c r="A287" s="664">
        <v>280</v>
      </c>
      <c r="B287" s="665" t="s">
        <v>428</v>
      </c>
      <c r="C287" s="666" t="s">
        <v>1213</v>
      </c>
      <c r="D287" s="667" t="s">
        <v>1214</v>
      </c>
      <c r="E287" s="668" t="s">
        <v>427</v>
      </c>
      <c r="F287" s="753" t="s">
        <v>1879</v>
      </c>
      <c r="G287" s="129">
        <v>178149250</v>
      </c>
      <c r="H287" s="129">
        <v>0</v>
      </c>
      <c r="I287" s="129">
        <v>178149250</v>
      </c>
      <c r="J287" s="793">
        <v>49.9</v>
      </c>
      <c r="K287" s="129">
        <v>88896476</v>
      </c>
      <c r="L287" s="129">
        <v>0</v>
      </c>
      <c r="M287" s="129">
        <v>98717</v>
      </c>
      <c r="N287" s="129">
        <v>0</v>
      </c>
      <c r="O287" s="129">
        <v>88995193</v>
      </c>
      <c r="P287" s="129">
        <v>0</v>
      </c>
      <c r="Q287" s="129">
        <v>88995193</v>
      </c>
      <c r="R287" s="129">
        <v>-410777</v>
      </c>
      <c r="S287" s="129">
        <v>0</v>
      </c>
      <c r="T287" s="129">
        <v>-410777</v>
      </c>
      <c r="U287" s="129">
        <v>154033</v>
      </c>
      <c r="V287" s="129">
        <v>0</v>
      </c>
      <c r="W287" s="129">
        <v>154033</v>
      </c>
      <c r="X287" s="129">
        <v>-256744</v>
      </c>
      <c r="Y287" s="129">
        <v>0</v>
      </c>
      <c r="Z287" s="129">
        <v>0</v>
      </c>
      <c r="AA287" s="129">
        <v>0</v>
      </c>
      <c r="AB287" s="129">
        <v>-256744</v>
      </c>
      <c r="AC287" s="129">
        <v>0</v>
      </c>
      <c r="AD287" s="129">
        <v>-256744</v>
      </c>
      <c r="AE287" s="129">
        <v>256744</v>
      </c>
      <c r="AF287" s="129">
        <v>0</v>
      </c>
      <c r="AG287" s="129">
        <v>256744</v>
      </c>
      <c r="AH287" s="129">
        <v>-9267254</v>
      </c>
      <c r="AI287" s="129">
        <v>0</v>
      </c>
      <c r="AJ287" s="129">
        <v>-9267254</v>
      </c>
      <c r="AK287" s="129">
        <v>0</v>
      </c>
      <c r="AL287" s="129">
        <v>0</v>
      </c>
      <c r="AM287" s="129">
        <v>0</v>
      </c>
      <c r="AN287" s="129">
        <v>1450000</v>
      </c>
      <c r="AO287" s="129">
        <v>0</v>
      </c>
      <c r="AP287" s="129">
        <v>1450000</v>
      </c>
      <c r="AQ287" s="129">
        <v>-7817254</v>
      </c>
      <c r="AR287" s="129">
        <v>0</v>
      </c>
      <c r="AS287" s="129">
        <v>-7817254</v>
      </c>
      <c r="AT287" s="129">
        <v>-6850000</v>
      </c>
      <c r="AU287" s="129">
        <v>0</v>
      </c>
      <c r="AV287" s="129">
        <v>-6850000</v>
      </c>
      <c r="AW287" s="129">
        <v>-53000</v>
      </c>
      <c r="AX287" s="129">
        <v>0</v>
      </c>
      <c r="AY287" s="129">
        <v>-53000</v>
      </c>
      <c r="AZ287" s="129">
        <v>0</v>
      </c>
      <c r="BA287" s="129">
        <v>0</v>
      </c>
      <c r="BB287" s="129">
        <v>0</v>
      </c>
      <c r="BC287" s="129">
        <v>0</v>
      </c>
      <c r="BD287" s="129">
        <v>0</v>
      </c>
      <c r="BE287" s="129">
        <v>0</v>
      </c>
      <c r="BF287" s="129">
        <v>-14720254</v>
      </c>
      <c r="BG287" s="129">
        <v>0</v>
      </c>
      <c r="BH287" s="129">
        <v>0</v>
      </c>
      <c r="BI287" s="129">
        <v>0</v>
      </c>
      <c r="BJ287" s="129">
        <v>-14720254</v>
      </c>
      <c r="BK287" s="129">
        <v>0</v>
      </c>
      <c r="BL287" s="129">
        <v>-14720254</v>
      </c>
      <c r="BM287" s="129">
        <v>-10000</v>
      </c>
      <c r="BN287" s="129">
        <v>0</v>
      </c>
      <c r="BO287" s="129">
        <v>-10000</v>
      </c>
      <c r="BP287" s="129">
        <v>-1200000</v>
      </c>
      <c r="BQ287" s="129">
        <v>0</v>
      </c>
      <c r="BR287" s="129">
        <v>-1200000</v>
      </c>
      <c r="BS287" s="129">
        <v>-1210000</v>
      </c>
      <c r="BT287" s="129">
        <v>0</v>
      </c>
      <c r="BU287" s="129">
        <v>0</v>
      </c>
      <c r="BV287" s="129">
        <v>0</v>
      </c>
      <c r="BW287" s="129">
        <v>-1210000</v>
      </c>
      <c r="BX287" s="129">
        <v>0</v>
      </c>
      <c r="BY287" s="129">
        <v>-1210000</v>
      </c>
      <c r="BZ287" s="129">
        <v>-230000</v>
      </c>
      <c r="CA287" s="129">
        <v>0</v>
      </c>
      <c r="CB287" s="129">
        <v>-230000</v>
      </c>
      <c r="CC287" s="129">
        <v>-230000</v>
      </c>
      <c r="CD287" s="129">
        <v>0</v>
      </c>
      <c r="CE287" s="129">
        <v>-230000</v>
      </c>
      <c r="CF287" s="129">
        <v>-2500</v>
      </c>
      <c r="CG287" s="129">
        <v>0</v>
      </c>
      <c r="CH287" s="129">
        <v>-2500</v>
      </c>
      <c r="CI287" s="129">
        <v>0</v>
      </c>
      <c r="CJ287" s="129">
        <v>0</v>
      </c>
      <c r="CK287" s="129">
        <v>0</v>
      </c>
      <c r="CL287" s="129">
        <v>0</v>
      </c>
      <c r="CM287" s="129">
        <v>0</v>
      </c>
      <c r="CN287" s="129">
        <v>0</v>
      </c>
      <c r="CO287" s="129">
        <v>0</v>
      </c>
      <c r="CP287" s="129">
        <v>0</v>
      </c>
      <c r="CQ287" s="129">
        <v>0</v>
      </c>
      <c r="CR287" s="129">
        <v>0</v>
      </c>
      <c r="CS287" s="129">
        <v>0</v>
      </c>
      <c r="CT287" s="129">
        <v>-462500</v>
      </c>
      <c r="CU287" s="129">
        <v>0</v>
      </c>
      <c r="CV287" s="129">
        <v>0</v>
      </c>
      <c r="CW287" s="129">
        <v>0</v>
      </c>
      <c r="CX287" s="129">
        <v>-462500</v>
      </c>
      <c r="CY287" s="129">
        <v>0</v>
      </c>
      <c r="CZ287" s="129">
        <v>-462500</v>
      </c>
      <c r="DA287" s="129">
        <v>0</v>
      </c>
      <c r="DB287" s="129">
        <v>0</v>
      </c>
      <c r="DC287" s="129">
        <v>0</v>
      </c>
      <c r="DD287" s="129">
        <v>-179198</v>
      </c>
      <c r="DE287" s="129">
        <v>0</v>
      </c>
      <c r="DF287" s="129">
        <v>-179198</v>
      </c>
      <c r="DG287" s="129">
        <v>0</v>
      </c>
      <c r="DH287" s="129">
        <v>0</v>
      </c>
      <c r="DI287" s="129">
        <v>0</v>
      </c>
      <c r="DJ287" s="129">
        <v>-179198</v>
      </c>
      <c r="DK287" s="129">
        <v>0</v>
      </c>
      <c r="DL287" s="129">
        <v>0</v>
      </c>
      <c r="DM287" s="129">
        <v>0</v>
      </c>
      <c r="DN287" s="129">
        <v>-179198</v>
      </c>
      <c r="DO287" s="129">
        <v>0</v>
      </c>
      <c r="DP287" s="129">
        <v>-179198</v>
      </c>
      <c r="DQ287" s="129">
        <v>72166497</v>
      </c>
      <c r="DR287" s="129">
        <v>0</v>
      </c>
      <c r="DS287" s="129">
        <v>72166497</v>
      </c>
      <c r="DT287" s="662" t="s">
        <v>427</v>
      </c>
      <c r="DU287" s="324" t="s">
        <v>576</v>
      </c>
      <c r="DV287" s="669" t="s">
        <v>485</v>
      </c>
      <c r="DW287" s="529" t="s">
        <v>1493</v>
      </c>
    </row>
    <row r="288" spans="1:127" ht="12.75" x14ac:dyDescent="0.2">
      <c r="A288" s="664">
        <v>281</v>
      </c>
      <c r="B288" s="665" t="s">
        <v>430</v>
      </c>
      <c r="C288" s="666" t="s">
        <v>1257</v>
      </c>
      <c r="D288" s="667" t="s">
        <v>1214</v>
      </c>
      <c r="E288" s="668" t="s">
        <v>429</v>
      </c>
      <c r="F288" s="753" t="s">
        <v>1880</v>
      </c>
      <c r="G288" s="129">
        <v>289066602</v>
      </c>
      <c r="H288" s="129">
        <v>26067504</v>
      </c>
      <c r="I288" s="129">
        <v>315134106</v>
      </c>
      <c r="J288" s="793">
        <v>49.9</v>
      </c>
      <c r="K288" s="129">
        <v>144244234</v>
      </c>
      <c r="L288" s="129">
        <v>13007684</v>
      </c>
      <c r="M288" s="129">
        <v>0</v>
      </c>
      <c r="N288" s="129">
        <v>0</v>
      </c>
      <c r="O288" s="129">
        <v>144244234</v>
      </c>
      <c r="P288" s="129">
        <v>13007684</v>
      </c>
      <c r="Q288" s="129">
        <v>157251918</v>
      </c>
      <c r="R288" s="129">
        <v>-314888</v>
      </c>
      <c r="S288" s="129">
        <v>-9461</v>
      </c>
      <c r="T288" s="129">
        <v>-324349</v>
      </c>
      <c r="U288" s="129">
        <v>42064</v>
      </c>
      <c r="V288" s="129">
        <v>0</v>
      </c>
      <c r="W288" s="129">
        <v>42064</v>
      </c>
      <c r="X288" s="129">
        <v>-272824</v>
      </c>
      <c r="Y288" s="129">
        <v>-9461</v>
      </c>
      <c r="Z288" s="129">
        <v>0</v>
      </c>
      <c r="AA288" s="129">
        <v>0</v>
      </c>
      <c r="AB288" s="129">
        <v>-272824</v>
      </c>
      <c r="AC288" s="129">
        <v>-9461</v>
      </c>
      <c r="AD288" s="129">
        <v>-282285</v>
      </c>
      <c r="AE288" s="129">
        <v>272824</v>
      </c>
      <c r="AF288" s="129">
        <v>9461</v>
      </c>
      <c r="AG288" s="129">
        <v>282285</v>
      </c>
      <c r="AH288" s="129">
        <v>-7976308</v>
      </c>
      <c r="AI288" s="129">
        <v>-259656</v>
      </c>
      <c r="AJ288" s="129">
        <v>-8235964</v>
      </c>
      <c r="AK288" s="129">
        <v>0</v>
      </c>
      <c r="AL288" s="129">
        <v>0</v>
      </c>
      <c r="AM288" s="129">
        <v>0</v>
      </c>
      <c r="AN288" s="129">
        <v>2611862</v>
      </c>
      <c r="AO288" s="129">
        <v>292059</v>
      </c>
      <c r="AP288" s="129">
        <v>2903921</v>
      </c>
      <c r="AQ288" s="129">
        <v>-5364446</v>
      </c>
      <c r="AR288" s="129">
        <v>32403</v>
      </c>
      <c r="AS288" s="129">
        <v>-5332043</v>
      </c>
      <c r="AT288" s="129">
        <v>-13861115</v>
      </c>
      <c r="AU288" s="129">
        <v>-48332</v>
      </c>
      <c r="AV288" s="129">
        <v>-13909447</v>
      </c>
      <c r="AW288" s="129">
        <v>-23470</v>
      </c>
      <c r="AX288" s="129">
        <v>0</v>
      </c>
      <c r="AY288" s="129">
        <v>-23470</v>
      </c>
      <c r="AZ288" s="129">
        <v>0</v>
      </c>
      <c r="BA288" s="129">
        <v>0</v>
      </c>
      <c r="BB288" s="129">
        <v>0</v>
      </c>
      <c r="BC288" s="129">
        <v>0</v>
      </c>
      <c r="BD288" s="129">
        <v>0</v>
      </c>
      <c r="BE288" s="129">
        <v>0</v>
      </c>
      <c r="BF288" s="129">
        <v>-19249031</v>
      </c>
      <c r="BG288" s="129">
        <v>-15929</v>
      </c>
      <c r="BH288" s="129">
        <v>0</v>
      </c>
      <c r="BI288" s="129">
        <v>0</v>
      </c>
      <c r="BJ288" s="129">
        <v>-19249031</v>
      </c>
      <c r="BK288" s="129">
        <v>-15929</v>
      </c>
      <c r="BL288" s="129">
        <v>-19264960</v>
      </c>
      <c r="BM288" s="129">
        <v>0</v>
      </c>
      <c r="BN288" s="129">
        <v>0</v>
      </c>
      <c r="BO288" s="129">
        <v>0</v>
      </c>
      <c r="BP288" s="129">
        <v>-2665291</v>
      </c>
      <c r="BQ288" s="129">
        <v>-255546</v>
      </c>
      <c r="BR288" s="129">
        <v>-2920837</v>
      </c>
      <c r="BS288" s="129">
        <v>-2665291</v>
      </c>
      <c r="BT288" s="129">
        <v>-255546</v>
      </c>
      <c r="BU288" s="129">
        <v>0</v>
      </c>
      <c r="BV288" s="129">
        <v>0</v>
      </c>
      <c r="BW288" s="129">
        <v>-2665291</v>
      </c>
      <c r="BX288" s="129">
        <v>-255546</v>
      </c>
      <c r="BY288" s="129">
        <v>-2920837</v>
      </c>
      <c r="BZ288" s="129">
        <v>-202368</v>
      </c>
      <c r="CA288" s="129">
        <v>0</v>
      </c>
      <c r="CB288" s="129">
        <v>-202368</v>
      </c>
      <c r="CC288" s="129">
        <v>-946196</v>
      </c>
      <c r="CD288" s="129">
        <v>0</v>
      </c>
      <c r="CE288" s="129">
        <v>-946196</v>
      </c>
      <c r="CF288" s="129">
        <v>-863</v>
      </c>
      <c r="CG288" s="129">
        <v>0</v>
      </c>
      <c r="CH288" s="129">
        <v>-863</v>
      </c>
      <c r="CI288" s="129">
        <v>0</v>
      </c>
      <c r="CJ288" s="129">
        <v>0</v>
      </c>
      <c r="CK288" s="129">
        <v>0</v>
      </c>
      <c r="CL288" s="129">
        <v>0</v>
      </c>
      <c r="CM288" s="129">
        <v>0</v>
      </c>
      <c r="CN288" s="129">
        <v>0</v>
      </c>
      <c r="CO288" s="129">
        <v>0</v>
      </c>
      <c r="CP288" s="129">
        <v>0</v>
      </c>
      <c r="CQ288" s="129">
        <v>0</v>
      </c>
      <c r="CR288" s="129">
        <v>0</v>
      </c>
      <c r="CS288" s="129">
        <v>0</v>
      </c>
      <c r="CT288" s="129">
        <v>-1149427</v>
      </c>
      <c r="CU288" s="129">
        <v>0</v>
      </c>
      <c r="CV288" s="129">
        <v>0</v>
      </c>
      <c r="CW288" s="129">
        <v>0</v>
      </c>
      <c r="CX288" s="129">
        <v>-1149427</v>
      </c>
      <c r="CY288" s="129">
        <v>0</v>
      </c>
      <c r="CZ288" s="129">
        <v>-1149427</v>
      </c>
      <c r="DA288" s="129">
        <v>0</v>
      </c>
      <c r="DB288" s="129">
        <v>0</v>
      </c>
      <c r="DC288" s="129">
        <v>0</v>
      </c>
      <c r="DD288" s="129">
        <v>-77505</v>
      </c>
      <c r="DE288" s="129">
        <v>0</v>
      </c>
      <c r="DF288" s="129">
        <v>-77505</v>
      </c>
      <c r="DG288" s="129">
        <v>0</v>
      </c>
      <c r="DH288" s="129">
        <v>0</v>
      </c>
      <c r="DI288" s="129">
        <v>0</v>
      </c>
      <c r="DJ288" s="129">
        <v>-77505</v>
      </c>
      <c r="DK288" s="129">
        <v>0</v>
      </c>
      <c r="DL288" s="129">
        <v>0</v>
      </c>
      <c r="DM288" s="129">
        <v>0</v>
      </c>
      <c r="DN288" s="129">
        <v>-77505</v>
      </c>
      <c r="DO288" s="129">
        <v>0</v>
      </c>
      <c r="DP288" s="129">
        <v>-77505</v>
      </c>
      <c r="DQ288" s="129">
        <v>120830156</v>
      </c>
      <c r="DR288" s="129">
        <v>12726748</v>
      </c>
      <c r="DS288" s="129">
        <v>133556904</v>
      </c>
      <c r="DT288" s="662" t="s">
        <v>429</v>
      </c>
      <c r="DU288" s="324" t="s">
        <v>576</v>
      </c>
      <c r="DV288" s="669" t="s">
        <v>485</v>
      </c>
      <c r="DW288" s="529" t="s">
        <v>1494</v>
      </c>
    </row>
    <row r="289" spans="1:127" ht="12.75" x14ac:dyDescent="0.2">
      <c r="A289" s="664">
        <v>282</v>
      </c>
      <c r="B289" s="665" t="s">
        <v>432</v>
      </c>
      <c r="C289" s="666" t="s">
        <v>486</v>
      </c>
      <c r="D289" s="667" t="s">
        <v>1204</v>
      </c>
      <c r="E289" s="668" t="s">
        <v>506</v>
      </c>
      <c r="F289" s="753" t="s">
        <v>1875</v>
      </c>
      <c r="G289" s="129">
        <v>245813927</v>
      </c>
      <c r="H289" s="129">
        <v>2880880</v>
      </c>
      <c r="I289" s="129">
        <v>248694807</v>
      </c>
      <c r="J289" s="793">
        <v>49.9</v>
      </c>
      <c r="K289" s="129">
        <v>122661150</v>
      </c>
      <c r="L289" s="129">
        <v>1437559</v>
      </c>
      <c r="M289" s="129">
        <v>0</v>
      </c>
      <c r="N289" s="129">
        <v>0</v>
      </c>
      <c r="O289" s="129">
        <v>122661150</v>
      </c>
      <c r="P289" s="129">
        <v>1437559</v>
      </c>
      <c r="Q289" s="129">
        <v>124098709</v>
      </c>
      <c r="R289" s="129">
        <v>-135528</v>
      </c>
      <c r="S289" s="129">
        <v>0</v>
      </c>
      <c r="T289" s="129">
        <v>-135528</v>
      </c>
      <c r="U289" s="129">
        <v>948205</v>
      </c>
      <c r="V289" s="129">
        <v>0</v>
      </c>
      <c r="W289" s="129">
        <v>948205</v>
      </c>
      <c r="X289" s="129">
        <v>812677</v>
      </c>
      <c r="Y289" s="129">
        <v>0</v>
      </c>
      <c r="Z289" s="129">
        <v>0</v>
      </c>
      <c r="AA289" s="129">
        <v>0</v>
      </c>
      <c r="AB289" s="129">
        <v>812677</v>
      </c>
      <c r="AC289" s="129">
        <v>0</v>
      </c>
      <c r="AD289" s="129">
        <v>812677</v>
      </c>
      <c r="AE289" s="129">
        <v>-812677</v>
      </c>
      <c r="AF289" s="129">
        <v>0</v>
      </c>
      <c r="AG289" s="129">
        <v>-812677</v>
      </c>
      <c r="AH289" s="129">
        <v>-6913223</v>
      </c>
      <c r="AI289" s="129">
        <v>-19668</v>
      </c>
      <c r="AJ289" s="129">
        <v>-6932891</v>
      </c>
      <c r="AK289" s="129">
        <v>0</v>
      </c>
      <c r="AL289" s="129">
        <v>0</v>
      </c>
      <c r="AM289" s="129">
        <v>0</v>
      </c>
      <c r="AN289" s="129">
        <v>2442812</v>
      </c>
      <c r="AO289" s="129">
        <v>31836</v>
      </c>
      <c r="AP289" s="129">
        <v>2474648</v>
      </c>
      <c r="AQ289" s="129">
        <v>-4470411</v>
      </c>
      <c r="AR289" s="129">
        <v>12168</v>
      </c>
      <c r="AS289" s="129">
        <v>-4458243</v>
      </c>
      <c r="AT289" s="129">
        <v>-4993385</v>
      </c>
      <c r="AU289" s="129">
        <v>0</v>
      </c>
      <c r="AV289" s="129">
        <v>-4993385</v>
      </c>
      <c r="AW289" s="129">
        <v>-76452</v>
      </c>
      <c r="AX289" s="129">
        <v>0</v>
      </c>
      <c r="AY289" s="129">
        <v>-76452</v>
      </c>
      <c r="AZ289" s="129">
        <v>0</v>
      </c>
      <c r="BA289" s="129">
        <v>0</v>
      </c>
      <c r="BB289" s="129">
        <v>0</v>
      </c>
      <c r="BC289" s="129">
        <v>0</v>
      </c>
      <c r="BD289" s="129">
        <v>0</v>
      </c>
      <c r="BE289" s="129">
        <v>0</v>
      </c>
      <c r="BF289" s="129">
        <v>-9540248</v>
      </c>
      <c r="BG289" s="129">
        <v>12168</v>
      </c>
      <c r="BH289" s="129">
        <v>0</v>
      </c>
      <c r="BI289" s="129">
        <v>0</v>
      </c>
      <c r="BJ289" s="129">
        <v>-9540248</v>
      </c>
      <c r="BK289" s="129">
        <v>12168</v>
      </c>
      <c r="BL289" s="129">
        <v>-9528080</v>
      </c>
      <c r="BM289" s="129">
        <v>0</v>
      </c>
      <c r="BN289" s="129">
        <v>0</v>
      </c>
      <c r="BO289" s="129">
        <v>0</v>
      </c>
      <c r="BP289" s="129">
        <v>-1695919</v>
      </c>
      <c r="BQ289" s="129">
        <v>-2775</v>
      </c>
      <c r="BR289" s="129">
        <v>-1698694</v>
      </c>
      <c r="BS289" s="129">
        <v>-1695919</v>
      </c>
      <c r="BT289" s="129">
        <v>-2775</v>
      </c>
      <c r="BU289" s="129">
        <v>0</v>
      </c>
      <c r="BV289" s="129">
        <v>0</v>
      </c>
      <c r="BW289" s="129">
        <v>-1695919</v>
      </c>
      <c r="BX289" s="129">
        <v>-2775</v>
      </c>
      <c r="BY289" s="129">
        <v>-1698694</v>
      </c>
      <c r="BZ289" s="129">
        <v>-176148</v>
      </c>
      <c r="CA289" s="129">
        <v>0</v>
      </c>
      <c r="CB289" s="129">
        <v>-176148</v>
      </c>
      <c r="CC289" s="129">
        <v>-787261</v>
      </c>
      <c r="CD289" s="129">
        <v>0</v>
      </c>
      <c r="CE289" s="129">
        <v>-787261</v>
      </c>
      <c r="CF289" s="129">
        <v>0</v>
      </c>
      <c r="CG289" s="129">
        <v>0</v>
      </c>
      <c r="CH289" s="129">
        <v>0</v>
      </c>
      <c r="CI289" s="129">
        <v>0</v>
      </c>
      <c r="CJ289" s="129">
        <v>0</v>
      </c>
      <c r="CK289" s="129">
        <v>0</v>
      </c>
      <c r="CL289" s="129">
        <v>-4210</v>
      </c>
      <c r="CM289" s="129">
        <v>0</v>
      </c>
      <c r="CN289" s="129">
        <v>-4210</v>
      </c>
      <c r="CO289" s="129">
        <v>0</v>
      </c>
      <c r="CP289" s="129">
        <v>-299638</v>
      </c>
      <c r="CQ289" s="129">
        <v>-299638</v>
      </c>
      <c r="CR289" s="129">
        <v>-299638</v>
      </c>
      <c r="CS289" s="129">
        <v>0</v>
      </c>
      <c r="CT289" s="129">
        <v>-967619</v>
      </c>
      <c r="CU289" s="129">
        <v>-299638</v>
      </c>
      <c r="CV289" s="129">
        <v>0</v>
      </c>
      <c r="CW289" s="129">
        <v>0</v>
      </c>
      <c r="CX289" s="129">
        <v>-967619</v>
      </c>
      <c r="CY289" s="129">
        <v>-299638</v>
      </c>
      <c r="CZ289" s="129">
        <v>-1267257</v>
      </c>
      <c r="DA289" s="129">
        <v>-1971</v>
      </c>
      <c r="DB289" s="129">
        <v>0</v>
      </c>
      <c r="DC289" s="129">
        <v>-1971</v>
      </c>
      <c r="DD289" s="129">
        <v>-22128</v>
      </c>
      <c r="DE289" s="129">
        <v>0</v>
      </c>
      <c r="DF289" s="129">
        <v>-22128</v>
      </c>
      <c r="DG289" s="129">
        <v>0</v>
      </c>
      <c r="DH289" s="129">
        <v>0</v>
      </c>
      <c r="DI289" s="129">
        <v>0</v>
      </c>
      <c r="DJ289" s="129">
        <v>-24099</v>
      </c>
      <c r="DK289" s="129">
        <v>0</v>
      </c>
      <c r="DL289" s="129">
        <v>0</v>
      </c>
      <c r="DM289" s="129">
        <v>0</v>
      </c>
      <c r="DN289" s="129">
        <v>-24099</v>
      </c>
      <c r="DO289" s="129">
        <v>0</v>
      </c>
      <c r="DP289" s="129">
        <v>-24099</v>
      </c>
      <c r="DQ289" s="129">
        <v>111245942</v>
      </c>
      <c r="DR289" s="129">
        <v>1147314</v>
      </c>
      <c r="DS289" s="129">
        <v>112393256</v>
      </c>
      <c r="DT289" s="662" t="s">
        <v>506</v>
      </c>
      <c r="DU289" s="324" t="s">
        <v>486</v>
      </c>
      <c r="DV289" s="663" t="s">
        <v>505</v>
      </c>
      <c r="DW289" s="529" t="s">
        <v>1495</v>
      </c>
    </row>
    <row r="290" spans="1:127" ht="12.75" x14ac:dyDescent="0.2">
      <c r="A290" s="664">
        <v>283</v>
      </c>
      <c r="B290" s="665" t="s">
        <v>434</v>
      </c>
      <c r="C290" s="666" t="s">
        <v>1201</v>
      </c>
      <c r="D290" s="667" t="s">
        <v>1228</v>
      </c>
      <c r="E290" s="668" t="s">
        <v>433</v>
      </c>
      <c r="F290" s="753" t="s">
        <v>1899</v>
      </c>
      <c r="G290" s="129">
        <v>170774944</v>
      </c>
      <c r="H290" s="129">
        <v>0</v>
      </c>
      <c r="I290" s="129">
        <v>170774944</v>
      </c>
      <c r="J290" s="793">
        <v>49.9</v>
      </c>
      <c r="K290" s="129">
        <v>85216697</v>
      </c>
      <c r="L290" s="129">
        <v>0</v>
      </c>
      <c r="M290" s="129">
        <v>0</v>
      </c>
      <c r="N290" s="129">
        <v>0</v>
      </c>
      <c r="O290" s="129">
        <v>85216697</v>
      </c>
      <c r="P290" s="129">
        <v>0</v>
      </c>
      <c r="Q290" s="129">
        <v>85216697</v>
      </c>
      <c r="R290" s="129">
        <v>-111991</v>
      </c>
      <c r="S290" s="129">
        <v>0</v>
      </c>
      <c r="T290" s="129">
        <v>-111991</v>
      </c>
      <c r="U290" s="129">
        <v>139105</v>
      </c>
      <c r="V290" s="129">
        <v>0</v>
      </c>
      <c r="W290" s="129">
        <v>139105</v>
      </c>
      <c r="X290" s="129">
        <v>27114</v>
      </c>
      <c r="Y290" s="129">
        <v>0</v>
      </c>
      <c r="Z290" s="129">
        <v>0</v>
      </c>
      <c r="AA290" s="129">
        <v>0</v>
      </c>
      <c r="AB290" s="129">
        <v>27114</v>
      </c>
      <c r="AC290" s="129">
        <v>0</v>
      </c>
      <c r="AD290" s="129">
        <v>27114</v>
      </c>
      <c r="AE290" s="129">
        <v>-27114</v>
      </c>
      <c r="AF290" s="129">
        <v>0</v>
      </c>
      <c r="AG290" s="129">
        <v>-27114</v>
      </c>
      <c r="AH290" s="129">
        <v>-5461730</v>
      </c>
      <c r="AI290" s="129">
        <v>0</v>
      </c>
      <c r="AJ290" s="129">
        <v>-5461730</v>
      </c>
      <c r="AK290" s="129">
        <v>0</v>
      </c>
      <c r="AL290" s="129">
        <v>0</v>
      </c>
      <c r="AM290" s="129">
        <v>0</v>
      </c>
      <c r="AN290" s="129">
        <v>1625730</v>
      </c>
      <c r="AO290" s="129">
        <v>0</v>
      </c>
      <c r="AP290" s="129">
        <v>1625730</v>
      </c>
      <c r="AQ290" s="129">
        <v>-3836000</v>
      </c>
      <c r="AR290" s="129">
        <v>0</v>
      </c>
      <c r="AS290" s="129">
        <v>-3836000</v>
      </c>
      <c r="AT290" s="129">
        <v>-5134953</v>
      </c>
      <c r="AU290" s="129">
        <v>0</v>
      </c>
      <c r="AV290" s="129">
        <v>-5134953</v>
      </c>
      <c r="AW290" s="129">
        <v>-61420</v>
      </c>
      <c r="AX290" s="129">
        <v>0</v>
      </c>
      <c r="AY290" s="129">
        <v>-61420</v>
      </c>
      <c r="AZ290" s="129">
        <v>-8115</v>
      </c>
      <c r="BA290" s="129">
        <v>0</v>
      </c>
      <c r="BB290" s="129">
        <v>-8115</v>
      </c>
      <c r="BC290" s="129">
        <v>0</v>
      </c>
      <c r="BD290" s="129">
        <v>0</v>
      </c>
      <c r="BE290" s="129">
        <v>0</v>
      </c>
      <c r="BF290" s="129">
        <v>-9040488</v>
      </c>
      <c r="BG290" s="129">
        <v>0</v>
      </c>
      <c r="BH290" s="129">
        <v>0</v>
      </c>
      <c r="BI290" s="129">
        <v>0</v>
      </c>
      <c r="BJ290" s="129">
        <v>-9040488</v>
      </c>
      <c r="BK290" s="129">
        <v>0</v>
      </c>
      <c r="BL290" s="129">
        <v>-9040488</v>
      </c>
      <c r="BM290" s="129">
        <v>0</v>
      </c>
      <c r="BN290" s="129">
        <v>0</v>
      </c>
      <c r="BO290" s="129">
        <v>0</v>
      </c>
      <c r="BP290" s="129">
        <v>-1716993</v>
      </c>
      <c r="BQ290" s="129">
        <v>0</v>
      </c>
      <c r="BR290" s="129">
        <v>-1716993</v>
      </c>
      <c r="BS290" s="129">
        <v>-1716993</v>
      </c>
      <c r="BT290" s="129">
        <v>0</v>
      </c>
      <c r="BU290" s="129">
        <v>0</v>
      </c>
      <c r="BV290" s="129">
        <v>0</v>
      </c>
      <c r="BW290" s="129">
        <v>-1716993</v>
      </c>
      <c r="BX290" s="129">
        <v>0</v>
      </c>
      <c r="BY290" s="129">
        <v>-1716993</v>
      </c>
      <c r="BZ290" s="129">
        <v>-7681</v>
      </c>
      <c r="CA290" s="129">
        <v>0</v>
      </c>
      <c r="CB290" s="129">
        <v>-7681</v>
      </c>
      <c r="CC290" s="129">
        <v>-99403</v>
      </c>
      <c r="CD290" s="129">
        <v>0</v>
      </c>
      <c r="CE290" s="129">
        <v>-99403</v>
      </c>
      <c r="CF290" s="129">
        <v>0</v>
      </c>
      <c r="CG290" s="129">
        <v>0</v>
      </c>
      <c r="CH290" s="129">
        <v>0</v>
      </c>
      <c r="CI290" s="129">
        <v>0</v>
      </c>
      <c r="CJ290" s="129">
        <v>0</v>
      </c>
      <c r="CK290" s="129">
        <v>0</v>
      </c>
      <c r="CL290" s="129">
        <v>0</v>
      </c>
      <c r="CM290" s="129">
        <v>0</v>
      </c>
      <c r="CN290" s="129">
        <v>0</v>
      </c>
      <c r="CO290" s="129">
        <v>0</v>
      </c>
      <c r="CP290" s="129">
        <v>0</v>
      </c>
      <c r="CQ290" s="129">
        <v>0</v>
      </c>
      <c r="CR290" s="129">
        <v>0</v>
      </c>
      <c r="CS290" s="129">
        <v>0</v>
      </c>
      <c r="CT290" s="129">
        <v>-107084</v>
      </c>
      <c r="CU290" s="129">
        <v>0</v>
      </c>
      <c r="CV290" s="129">
        <v>0</v>
      </c>
      <c r="CW290" s="129">
        <v>0</v>
      </c>
      <c r="CX290" s="129">
        <v>-107084</v>
      </c>
      <c r="CY290" s="129">
        <v>0</v>
      </c>
      <c r="CZ290" s="129">
        <v>-107084</v>
      </c>
      <c r="DA290" s="129">
        <v>-12045</v>
      </c>
      <c r="DB290" s="129">
        <v>0</v>
      </c>
      <c r="DC290" s="129">
        <v>-12045</v>
      </c>
      <c r="DD290" s="129">
        <v>-20664</v>
      </c>
      <c r="DE290" s="129">
        <v>0</v>
      </c>
      <c r="DF290" s="129">
        <v>-20664</v>
      </c>
      <c r="DG290" s="129">
        <v>-612</v>
      </c>
      <c r="DH290" s="129">
        <v>0</v>
      </c>
      <c r="DI290" s="129">
        <v>-612</v>
      </c>
      <c r="DJ290" s="129">
        <v>-33321</v>
      </c>
      <c r="DK290" s="129">
        <v>0</v>
      </c>
      <c r="DL290" s="129">
        <v>0</v>
      </c>
      <c r="DM290" s="129">
        <v>0</v>
      </c>
      <c r="DN290" s="129">
        <v>-33321</v>
      </c>
      <c r="DO290" s="129">
        <v>0</v>
      </c>
      <c r="DP290" s="129">
        <v>-33321</v>
      </c>
      <c r="DQ290" s="129">
        <v>74345925</v>
      </c>
      <c r="DR290" s="129">
        <v>0</v>
      </c>
      <c r="DS290" s="129">
        <v>74345925</v>
      </c>
      <c r="DT290" s="662" t="s">
        <v>433</v>
      </c>
      <c r="DU290" s="324" t="s">
        <v>567</v>
      </c>
      <c r="DV290" s="663" t="s">
        <v>512</v>
      </c>
      <c r="DW290" s="529" t="s">
        <v>1496</v>
      </c>
    </row>
    <row r="291" spans="1:127" ht="12.75" x14ac:dyDescent="0.2">
      <c r="A291" s="664">
        <v>284</v>
      </c>
      <c r="B291" s="665" t="s">
        <v>436</v>
      </c>
      <c r="C291" s="666" t="s">
        <v>1201</v>
      </c>
      <c r="D291" s="667" t="s">
        <v>1211</v>
      </c>
      <c r="E291" s="668" t="s">
        <v>435</v>
      </c>
      <c r="F291" s="753" t="s">
        <v>1908</v>
      </c>
      <c r="G291" s="129">
        <v>146978841</v>
      </c>
      <c r="H291" s="129">
        <v>0</v>
      </c>
      <c r="I291" s="129">
        <v>146978841</v>
      </c>
      <c r="J291" s="793">
        <v>49.9</v>
      </c>
      <c r="K291" s="129">
        <v>73342442</v>
      </c>
      <c r="L291" s="129">
        <v>0</v>
      </c>
      <c r="M291" s="129">
        <v>0</v>
      </c>
      <c r="N291" s="129">
        <v>0</v>
      </c>
      <c r="O291" s="129">
        <v>73342442</v>
      </c>
      <c r="P291" s="129">
        <v>0</v>
      </c>
      <c r="Q291" s="129">
        <v>73342442</v>
      </c>
      <c r="R291" s="129">
        <v>-72266</v>
      </c>
      <c r="S291" s="129">
        <v>0</v>
      </c>
      <c r="T291" s="129">
        <v>-72266</v>
      </c>
      <c r="U291" s="129">
        <v>1707481</v>
      </c>
      <c r="V291" s="129">
        <v>0</v>
      </c>
      <c r="W291" s="129">
        <v>1707481</v>
      </c>
      <c r="X291" s="129">
        <v>1635215</v>
      </c>
      <c r="Y291" s="129">
        <v>0</v>
      </c>
      <c r="Z291" s="129">
        <v>0</v>
      </c>
      <c r="AA291" s="129">
        <v>0</v>
      </c>
      <c r="AB291" s="129">
        <v>1635215</v>
      </c>
      <c r="AC291" s="129">
        <v>0</v>
      </c>
      <c r="AD291" s="129">
        <v>1635215</v>
      </c>
      <c r="AE291" s="129">
        <v>-1635215</v>
      </c>
      <c r="AF291" s="129">
        <v>0</v>
      </c>
      <c r="AG291" s="129">
        <v>-1635215</v>
      </c>
      <c r="AH291" s="129">
        <v>-2901980</v>
      </c>
      <c r="AI291" s="129">
        <v>0</v>
      </c>
      <c r="AJ291" s="129">
        <v>-2901980</v>
      </c>
      <c r="AK291" s="129">
        <v>-14696</v>
      </c>
      <c r="AL291" s="129">
        <v>0</v>
      </c>
      <c r="AM291" s="129">
        <v>-14696</v>
      </c>
      <c r="AN291" s="129">
        <v>1543370</v>
      </c>
      <c r="AO291" s="129">
        <v>0</v>
      </c>
      <c r="AP291" s="129">
        <v>1543370</v>
      </c>
      <c r="AQ291" s="129">
        <v>-1358610</v>
      </c>
      <c r="AR291" s="129">
        <v>0</v>
      </c>
      <c r="AS291" s="129">
        <v>-1358610</v>
      </c>
      <c r="AT291" s="129">
        <v>-3793031</v>
      </c>
      <c r="AU291" s="129">
        <v>0</v>
      </c>
      <c r="AV291" s="129">
        <v>-3793031</v>
      </c>
      <c r="AW291" s="129">
        <v>0</v>
      </c>
      <c r="AX291" s="129">
        <v>0</v>
      </c>
      <c r="AY291" s="129">
        <v>0</v>
      </c>
      <c r="AZ291" s="129">
        <v>0</v>
      </c>
      <c r="BA291" s="129">
        <v>0</v>
      </c>
      <c r="BB291" s="129">
        <v>0</v>
      </c>
      <c r="BC291" s="129">
        <v>0</v>
      </c>
      <c r="BD291" s="129">
        <v>0</v>
      </c>
      <c r="BE291" s="129">
        <v>0</v>
      </c>
      <c r="BF291" s="129">
        <v>-5151641</v>
      </c>
      <c r="BG291" s="129">
        <v>0</v>
      </c>
      <c r="BH291" s="129">
        <v>0</v>
      </c>
      <c r="BI291" s="129">
        <v>0</v>
      </c>
      <c r="BJ291" s="129">
        <v>-5151641</v>
      </c>
      <c r="BK291" s="129">
        <v>0</v>
      </c>
      <c r="BL291" s="129">
        <v>-5151641</v>
      </c>
      <c r="BM291" s="129">
        <v>-215799</v>
      </c>
      <c r="BN291" s="129">
        <v>0</v>
      </c>
      <c r="BO291" s="129">
        <v>-215799</v>
      </c>
      <c r="BP291" s="129">
        <v>-3149676</v>
      </c>
      <c r="BQ291" s="129">
        <v>0</v>
      </c>
      <c r="BR291" s="129">
        <v>-3149676</v>
      </c>
      <c r="BS291" s="129">
        <v>-3365475</v>
      </c>
      <c r="BT291" s="129">
        <v>0</v>
      </c>
      <c r="BU291" s="129">
        <v>0</v>
      </c>
      <c r="BV291" s="129">
        <v>0</v>
      </c>
      <c r="BW291" s="129">
        <v>-3365475</v>
      </c>
      <c r="BX291" s="129">
        <v>0</v>
      </c>
      <c r="BY291" s="129">
        <v>-3365475</v>
      </c>
      <c r="BZ291" s="129">
        <v>-134479</v>
      </c>
      <c r="CA291" s="129">
        <v>0</v>
      </c>
      <c r="CB291" s="129">
        <v>-134479</v>
      </c>
      <c r="CC291" s="129">
        <v>0</v>
      </c>
      <c r="CD291" s="129">
        <v>0</v>
      </c>
      <c r="CE291" s="129">
        <v>0</v>
      </c>
      <c r="CF291" s="129">
        <v>0</v>
      </c>
      <c r="CG291" s="129">
        <v>0</v>
      </c>
      <c r="CH291" s="129">
        <v>0</v>
      </c>
      <c r="CI291" s="129">
        <v>0</v>
      </c>
      <c r="CJ291" s="129">
        <v>0</v>
      </c>
      <c r="CK291" s="129">
        <v>0</v>
      </c>
      <c r="CL291" s="129">
        <v>0</v>
      </c>
      <c r="CM291" s="129">
        <v>0</v>
      </c>
      <c r="CN291" s="129">
        <v>0</v>
      </c>
      <c r="CO291" s="129">
        <v>0</v>
      </c>
      <c r="CP291" s="129">
        <v>0</v>
      </c>
      <c r="CQ291" s="129">
        <v>0</v>
      </c>
      <c r="CR291" s="129">
        <v>0</v>
      </c>
      <c r="CS291" s="129">
        <v>0</v>
      </c>
      <c r="CT291" s="129">
        <v>-134479</v>
      </c>
      <c r="CU291" s="129">
        <v>0</v>
      </c>
      <c r="CV291" s="129">
        <v>0</v>
      </c>
      <c r="CW291" s="129">
        <v>0</v>
      </c>
      <c r="CX291" s="129">
        <v>-134479</v>
      </c>
      <c r="CY291" s="129">
        <v>0</v>
      </c>
      <c r="CZ291" s="129">
        <v>-134479</v>
      </c>
      <c r="DA291" s="129">
        <v>0</v>
      </c>
      <c r="DB291" s="129">
        <v>0</v>
      </c>
      <c r="DC291" s="129">
        <v>0</v>
      </c>
      <c r="DD291" s="129">
        <v>-16067</v>
      </c>
      <c r="DE291" s="129">
        <v>0</v>
      </c>
      <c r="DF291" s="129">
        <v>-16067</v>
      </c>
      <c r="DG291" s="129">
        <v>-1500</v>
      </c>
      <c r="DH291" s="129">
        <v>0</v>
      </c>
      <c r="DI291" s="129">
        <v>-1500</v>
      </c>
      <c r="DJ291" s="129">
        <v>-17567</v>
      </c>
      <c r="DK291" s="129">
        <v>0</v>
      </c>
      <c r="DL291" s="129">
        <v>0</v>
      </c>
      <c r="DM291" s="129">
        <v>0</v>
      </c>
      <c r="DN291" s="129">
        <v>-17567</v>
      </c>
      <c r="DO291" s="129">
        <v>0</v>
      </c>
      <c r="DP291" s="129">
        <v>-17567</v>
      </c>
      <c r="DQ291" s="129">
        <v>66308495</v>
      </c>
      <c r="DR291" s="129">
        <v>0</v>
      </c>
      <c r="DS291" s="129">
        <v>66308495</v>
      </c>
      <c r="DT291" s="662" t="s">
        <v>435</v>
      </c>
      <c r="DU291" s="324" t="s">
        <v>536</v>
      </c>
      <c r="DV291" s="663" t="s">
        <v>512</v>
      </c>
      <c r="DW291" s="529" t="s">
        <v>1497</v>
      </c>
    </row>
    <row r="292" spans="1:127" ht="12.75" x14ac:dyDescent="0.2">
      <c r="A292" s="664">
        <v>285</v>
      </c>
      <c r="B292" s="665" t="s">
        <v>438</v>
      </c>
      <c r="C292" s="666" t="s">
        <v>1201</v>
      </c>
      <c r="D292" s="667" t="s">
        <v>1202</v>
      </c>
      <c r="E292" s="668" t="s">
        <v>437</v>
      </c>
      <c r="F292" s="753" t="s">
        <v>1889</v>
      </c>
      <c r="G292" s="129">
        <v>104392941</v>
      </c>
      <c r="H292" s="129">
        <v>0</v>
      </c>
      <c r="I292" s="129">
        <v>104392941</v>
      </c>
      <c r="J292" s="793">
        <v>49.9</v>
      </c>
      <c r="K292" s="129">
        <v>52092078</v>
      </c>
      <c r="L292" s="129">
        <v>0</v>
      </c>
      <c r="M292" s="129">
        <v>-614370</v>
      </c>
      <c r="N292" s="129">
        <v>0</v>
      </c>
      <c r="O292" s="129">
        <v>51477708</v>
      </c>
      <c r="P292" s="129">
        <v>0</v>
      </c>
      <c r="Q292" s="129">
        <v>51477708</v>
      </c>
      <c r="R292" s="129">
        <v>-281490</v>
      </c>
      <c r="S292" s="129">
        <v>0</v>
      </c>
      <c r="T292" s="129">
        <v>-281490</v>
      </c>
      <c r="U292" s="129">
        <v>14332</v>
      </c>
      <c r="V292" s="129">
        <v>0</v>
      </c>
      <c r="W292" s="129">
        <v>14332</v>
      </c>
      <c r="X292" s="129">
        <v>-267158</v>
      </c>
      <c r="Y292" s="129">
        <v>0</v>
      </c>
      <c r="Z292" s="129">
        <v>0</v>
      </c>
      <c r="AA292" s="129">
        <v>0</v>
      </c>
      <c r="AB292" s="129">
        <v>-267158</v>
      </c>
      <c r="AC292" s="129">
        <v>0</v>
      </c>
      <c r="AD292" s="129">
        <v>-267158</v>
      </c>
      <c r="AE292" s="129">
        <v>267158</v>
      </c>
      <c r="AF292" s="129">
        <v>0</v>
      </c>
      <c r="AG292" s="129">
        <v>267158</v>
      </c>
      <c r="AH292" s="129">
        <v>-4436835</v>
      </c>
      <c r="AI292" s="129">
        <v>0</v>
      </c>
      <c r="AJ292" s="129">
        <v>-4436835</v>
      </c>
      <c r="AK292" s="129">
        <v>0</v>
      </c>
      <c r="AL292" s="129">
        <v>0</v>
      </c>
      <c r="AM292" s="129">
        <v>0</v>
      </c>
      <c r="AN292" s="129">
        <v>870543</v>
      </c>
      <c r="AO292" s="129">
        <v>0</v>
      </c>
      <c r="AP292" s="129">
        <v>870543</v>
      </c>
      <c r="AQ292" s="129">
        <v>-3566292</v>
      </c>
      <c r="AR292" s="129">
        <v>0</v>
      </c>
      <c r="AS292" s="129">
        <v>-3566292</v>
      </c>
      <c r="AT292" s="129">
        <v>-6616282</v>
      </c>
      <c r="AU292" s="129">
        <v>0</v>
      </c>
      <c r="AV292" s="129">
        <v>-6616282</v>
      </c>
      <c r="AW292" s="129">
        <v>-42180</v>
      </c>
      <c r="AX292" s="129">
        <v>0</v>
      </c>
      <c r="AY292" s="129">
        <v>-42180</v>
      </c>
      <c r="AZ292" s="129">
        <v>-6042</v>
      </c>
      <c r="BA292" s="129">
        <v>0</v>
      </c>
      <c r="BB292" s="129">
        <v>-6042</v>
      </c>
      <c r="BC292" s="129">
        <v>0</v>
      </c>
      <c r="BD292" s="129">
        <v>0</v>
      </c>
      <c r="BE292" s="129">
        <v>0</v>
      </c>
      <c r="BF292" s="129">
        <v>-10230796</v>
      </c>
      <c r="BG292" s="129">
        <v>0</v>
      </c>
      <c r="BH292" s="129">
        <v>0</v>
      </c>
      <c r="BI292" s="129">
        <v>0</v>
      </c>
      <c r="BJ292" s="129">
        <v>-10230796</v>
      </c>
      <c r="BK292" s="129">
        <v>0</v>
      </c>
      <c r="BL292" s="129">
        <v>-10230796</v>
      </c>
      <c r="BM292" s="129">
        <v>0</v>
      </c>
      <c r="BN292" s="129">
        <v>0</v>
      </c>
      <c r="BO292" s="129">
        <v>0</v>
      </c>
      <c r="BP292" s="129">
        <v>-923266</v>
      </c>
      <c r="BQ292" s="129">
        <v>0</v>
      </c>
      <c r="BR292" s="129">
        <v>-923266</v>
      </c>
      <c r="BS292" s="129">
        <v>-923266</v>
      </c>
      <c r="BT292" s="129">
        <v>0</v>
      </c>
      <c r="BU292" s="129">
        <v>0</v>
      </c>
      <c r="BV292" s="129">
        <v>0</v>
      </c>
      <c r="BW292" s="129">
        <v>-923266</v>
      </c>
      <c r="BX292" s="129">
        <v>0</v>
      </c>
      <c r="BY292" s="129">
        <v>-923266</v>
      </c>
      <c r="BZ292" s="129">
        <v>-51840</v>
      </c>
      <c r="CA292" s="129">
        <v>0</v>
      </c>
      <c r="CB292" s="129">
        <v>-51840</v>
      </c>
      <c r="CC292" s="129">
        <v>-522231</v>
      </c>
      <c r="CD292" s="129">
        <v>0</v>
      </c>
      <c r="CE292" s="129">
        <v>-522231</v>
      </c>
      <c r="CF292" s="129">
        <v>0</v>
      </c>
      <c r="CG292" s="129">
        <v>0</v>
      </c>
      <c r="CH292" s="129">
        <v>0</v>
      </c>
      <c r="CI292" s="129">
        <v>0</v>
      </c>
      <c r="CJ292" s="129">
        <v>0</v>
      </c>
      <c r="CK292" s="129">
        <v>0</v>
      </c>
      <c r="CL292" s="129">
        <v>-7525</v>
      </c>
      <c r="CM292" s="129">
        <v>0</v>
      </c>
      <c r="CN292" s="129">
        <v>-7525</v>
      </c>
      <c r="CO292" s="129">
        <v>0</v>
      </c>
      <c r="CP292" s="129">
        <v>0</v>
      </c>
      <c r="CQ292" s="129">
        <v>0</v>
      </c>
      <c r="CR292" s="129">
        <v>0</v>
      </c>
      <c r="CS292" s="129">
        <v>0</v>
      </c>
      <c r="CT292" s="129">
        <v>-581596</v>
      </c>
      <c r="CU292" s="129">
        <v>0</v>
      </c>
      <c r="CV292" s="129">
        <v>0</v>
      </c>
      <c r="CW292" s="129">
        <v>0</v>
      </c>
      <c r="CX292" s="129">
        <v>-581596</v>
      </c>
      <c r="CY292" s="129">
        <v>0</v>
      </c>
      <c r="CZ292" s="129">
        <v>-581596</v>
      </c>
      <c r="DA292" s="129">
        <v>-6042</v>
      </c>
      <c r="DB292" s="129">
        <v>0</v>
      </c>
      <c r="DC292" s="129">
        <v>-6042</v>
      </c>
      <c r="DD292" s="129">
        <v>-43382</v>
      </c>
      <c r="DE292" s="129">
        <v>0</v>
      </c>
      <c r="DF292" s="129">
        <v>-43382</v>
      </c>
      <c r="DG292" s="129">
        <v>-4500</v>
      </c>
      <c r="DH292" s="129">
        <v>0</v>
      </c>
      <c r="DI292" s="129">
        <v>-4500</v>
      </c>
      <c r="DJ292" s="129">
        <v>-53924</v>
      </c>
      <c r="DK292" s="129">
        <v>0</v>
      </c>
      <c r="DL292" s="129">
        <v>0</v>
      </c>
      <c r="DM292" s="129">
        <v>0</v>
      </c>
      <c r="DN292" s="129">
        <v>-53924</v>
      </c>
      <c r="DO292" s="129">
        <v>0</v>
      </c>
      <c r="DP292" s="129">
        <v>-53924</v>
      </c>
      <c r="DQ292" s="129">
        <v>39420968</v>
      </c>
      <c r="DR292" s="129">
        <v>0</v>
      </c>
      <c r="DS292" s="129">
        <v>39420968</v>
      </c>
      <c r="DT292" s="662" t="s">
        <v>437</v>
      </c>
      <c r="DU292" s="324" t="s">
        <v>566</v>
      </c>
      <c r="DV292" s="663" t="s">
        <v>512</v>
      </c>
      <c r="DW292" s="529" t="s">
        <v>1498</v>
      </c>
    </row>
    <row r="293" spans="1:127" ht="12.75" x14ac:dyDescent="0.2">
      <c r="A293" s="664">
        <v>286</v>
      </c>
      <c r="B293" s="665" t="s">
        <v>440</v>
      </c>
      <c r="C293" s="666" t="s">
        <v>1201</v>
      </c>
      <c r="D293" s="667" t="s">
        <v>1202</v>
      </c>
      <c r="E293" s="668" t="s">
        <v>439</v>
      </c>
      <c r="F293" s="753" t="s">
        <v>1884</v>
      </c>
      <c r="G293" s="129">
        <v>95476360</v>
      </c>
      <c r="H293" s="129">
        <v>0</v>
      </c>
      <c r="I293" s="129">
        <v>95476360</v>
      </c>
      <c r="J293" s="793">
        <v>49.9</v>
      </c>
      <c r="K293" s="129">
        <v>47642704</v>
      </c>
      <c r="L293" s="129">
        <v>0</v>
      </c>
      <c r="M293" s="129">
        <v>0</v>
      </c>
      <c r="N293" s="129">
        <v>0</v>
      </c>
      <c r="O293" s="129">
        <v>47642704</v>
      </c>
      <c r="P293" s="129">
        <v>0</v>
      </c>
      <c r="Q293" s="129">
        <v>47642704</v>
      </c>
      <c r="R293" s="129">
        <v>-191716</v>
      </c>
      <c r="S293" s="129">
        <v>0</v>
      </c>
      <c r="T293" s="129">
        <v>-191716</v>
      </c>
      <c r="U293" s="129">
        <v>42008</v>
      </c>
      <c r="V293" s="129">
        <v>0</v>
      </c>
      <c r="W293" s="129">
        <v>42008</v>
      </c>
      <c r="X293" s="129">
        <v>-149708</v>
      </c>
      <c r="Y293" s="129">
        <v>0</v>
      </c>
      <c r="Z293" s="129">
        <v>0</v>
      </c>
      <c r="AA293" s="129">
        <v>0</v>
      </c>
      <c r="AB293" s="129">
        <v>-149708</v>
      </c>
      <c r="AC293" s="129">
        <v>0</v>
      </c>
      <c r="AD293" s="129">
        <v>-149708</v>
      </c>
      <c r="AE293" s="129">
        <v>149708</v>
      </c>
      <c r="AF293" s="129">
        <v>0</v>
      </c>
      <c r="AG293" s="129">
        <v>149708</v>
      </c>
      <c r="AH293" s="129">
        <v>-9141883</v>
      </c>
      <c r="AI293" s="129">
        <v>0</v>
      </c>
      <c r="AJ293" s="129">
        <v>-9141883</v>
      </c>
      <c r="AK293" s="129">
        <v>-12814</v>
      </c>
      <c r="AL293" s="129">
        <v>0</v>
      </c>
      <c r="AM293" s="129">
        <v>-12814</v>
      </c>
      <c r="AN293" s="129">
        <v>599979</v>
      </c>
      <c r="AO293" s="129">
        <v>0</v>
      </c>
      <c r="AP293" s="129">
        <v>599979</v>
      </c>
      <c r="AQ293" s="129">
        <v>-8541904</v>
      </c>
      <c r="AR293" s="129">
        <v>0</v>
      </c>
      <c r="AS293" s="129">
        <v>-8541904</v>
      </c>
      <c r="AT293" s="129">
        <v>-3490811</v>
      </c>
      <c r="AU293" s="129">
        <v>0</v>
      </c>
      <c r="AV293" s="129">
        <v>-3490811</v>
      </c>
      <c r="AW293" s="129">
        <v>-100072</v>
      </c>
      <c r="AX293" s="129">
        <v>0</v>
      </c>
      <c r="AY293" s="129">
        <v>-100072</v>
      </c>
      <c r="AZ293" s="129">
        <v>-35718</v>
      </c>
      <c r="BA293" s="129">
        <v>0</v>
      </c>
      <c r="BB293" s="129">
        <v>-35718</v>
      </c>
      <c r="BC293" s="129">
        <v>0</v>
      </c>
      <c r="BD293" s="129">
        <v>0</v>
      </c>
      <c r="BE293" s="129">
        <v>0</v>
      </c>
      <c r="BF293" s="129">
        <v>-12168505</v>
      </c>
      <c r="BG293" s="129">
        <v>0</v>
      </c>
      <c r="BH293" s="129">
        <v>0</v>
      </c>
      <c r="BI293" s="129">
        <v>0</v>
      </c>
      <c r="BJ293" s="129">
        <v>-12168505</v>
      </c>
      <c r="BK293" s="129">
        <v>0</v>
      </c>
      <c r="BL293" s="129">
        <v>-12168505</v>
      </c>
      <c r="BM293" s="129">
        <v>-10000</v>
      </c>
      <c r="BN293" s="129">
        <v>0</v>
      </c>
      <c r="BO293" s="129">
        <v>-10000</v>
      </c>
      <c r="BP293" s="129">
        <v>-386086</v>
      </c>
      <c r="BQ293" s="129">
        <v>0</v>
      </c>
      <c r="BR293" s="129">
        <v>-386086</v>
      </c>
      <c r="BS293" s="129">
        <v>-396086</v>
      </c>
      <c r="BT293" s="129">
        <v>0</v>
      </c>
      <c r="BU293" s="129">
        <v>0</v>
      </c>
      <c r="BV293" s="129">
        <v>0</v>
      </c>
      <c r="BW293" s="129">
        <v>-396086</v>
      </c>
      <c r="BX293" s="129">
        <v>0</v>
      </c>
      <c r="BY293" s="129">
        <v>-396086</v>
      </c>
      <c r="BZ293" s="129">
        <v>-108800</v>
      </c>
      <c r="CA293" s="129">
        <v>0</v>
      </c>
      <c r="CB293" s="129">
        <v>-108800</v>
      </c>
      <c r="CC293" s="129">
        <v>-5000</v>
      </c>
      <c r="CD293" s="129">
        <v>0</v>
      </c>
      <c r="CE293" s="129">
        <v>-5000</v>
      </c>
      <c r="CF293" s="129">
        <v>0</v>
      </c>
      <c r="CG293" s="129">
        <v>0</v>
      </c>
      <c r="CH293" s="129">
        <v>0</v>
      </c>
      <c r="CI293" s="129">
        <v>0</v>
      </c>
      <c r="CJ293" s="129">
        <v>0</v>
      </c>
      <c r="CK293" s="129">
        <v>0</v>
      </c>
      <c r="CL293" s="129">
        <v>-5000</v>
      </c>
      <c r="CM293" s="129">
        <v>0</v>
      </c>
      <c r="CN293" s="129">
        <v>-5000</v>
      </c>
      <c r="CO293" s="129">
        <v>0</v>
      </c>
      <c r="CP293" s="129">
        <v>0</v>
      </c>
      <c r="CQ293" s="129">
        <v>0</v>
      </c>
      <c r="CR293" s="129">
        <v>0</v>
      </c>
      <c r="CS293" s="129">
        <v>0</v>
      </c>
      <c r="CT293" s="129">
        <v>-118800</v>
      </c>
      <c r="CU293" s="129">
        <v>0</v>
      </c>
      <c r="CV293" s="129">
        <v>0</v>
      </c>
      <c r="CW293" s="129">
        <v>0</v>
      </c>
      <c r="CX293" s="129">
        <v>-118800</v>
      </c>
      <c r="CY293" s="129">
        <v>0</v>
      </c>
      <c r="CZ293" s="129">
        <v>-118800</v>
      </c>
      <c r="DA293" s="129">
        <v>-35718</v>
      </c>
      <c r="DB293" s="129">
        <v>0</v>
      </c>
      <c r="DC293" s="129">
        <v>-35718</v>
      </c>
      <c r="DD293" s="129">
        <v>-62588</v>
      </c>
      <c r="DE293" s="129">
        <v>0</v>
      </c>
      <c r="DF293" s="129">
        <v>-62588</v>
      </c>
      <c r="DG293" s="129">
        <v>0</v>
      </c>
      <c r="DH293" s="129">
        <v>0</v>
      </c>
      <c r="DI293" s="129">
        <v>0</v>
      </c>
      <c r="DJ293" s="129">
        <v>-98306</v>
      </c>
      <c r="DK293" s="129">
        <v>0</v>
      </c>
      <c r="DL293" s="129">
        <v>0</v>
      </c>
      <c r="DM293" s="129">
        <v>0</v>
      </c>
      <c r="DN293" s="129">
        <v>-98306</v>
      </c>
      <c r="DO293" s="129">
        <v>0</v>
      </c>
      <c r="DP293" s="129">
        <v>-98306</v>
      </c>
      <c r="DQ293" s="129">
        <v>34711299</v>
      </c>
      <c r="DR293" s="129">
        <v>0</v>
      </c>
      <c r="DS293" s="129">
        <v>34711299</v>
      </c>
      <c r="DT293" s="662" t="s">
        <v>439</v>
      </c>
      <c r="DU293" s="324" t="s">
        <v>525</v>
      </c>
      <c r="DV293" s="663" t="s">
        <v>524</v>
      </c>
      <c r="DW293" s="529" t="s">
        <v>1499</v>
      </c>
    </row>
    <row r="294" spans="1:127" ht="12.75" x14ac:dyDescent="0.2">
      <c r="A294" s="664">
        <v>287</v>
      </c>
      <c r="B294" s="665" t="s">
        <v>442</v>
      </c>
      <c r="C294" s="666" t="s">
        <v>1201</v>
      </c>
      <c r="D294" s="667" t="s">
        <v>1211</v>
      </c>
      <c r="E294" s="668" t="s">
        <v>441</v>
      </c>
      <c r="F294" s="753" t="s">
        <v>1879</v>
      </c>
      <c r="G294" s="129">
        <v>146314404</v>
      </c>
      <c r="H294" s="129">
        <v>0</v>
      </c>
      <c r="I294" s="129">
        <v>146314404</v>
      </c>
      <c r="J294" s="793">
        <v>49.9</v>
      </c>
      <c r="K294" s="129">
        <v>73010888</v>
      </c>
      <c r="L294" s="129">
        <v>0</v>
      </c>
      <c r="M294" s="129">
        <v>-1333246</v>
      </c>
      <c r="N294" s="129">
        <v>0</v>
      </c>
      <c r="O294" s="129">
        <v>71677642</v>
      </c>
      <c r="P294" s="129">
        <v>0</v>
      </c>
      <c r="Q294" s="129">
        <v>71677642</v>
      </c>
      <c r="R294" s="129">
        <v>-188004</v>
      </c>
      <c r="S294" s="129">
        <v>0</v>
      </c>
      <c r="T294" s="129">
        <v>-188004</v>
      </c>
      <c r="U294" s="129">
        <v>358807</v>
      </c>
      <c r="V294" s="129">
        <v>0</v>
      </c>
      <c r="W294" s="129">
        <v>358807</v>
      </c>
      <c r="X294" s="129">
        <v>170803</v>
      </c>
      <c r="Y294" s="129">
        <v>0</v>
      </c>
      <c r="Z294" s="129">
        <v>0</v>
      </c>
      <c r="AA294" s="129">
        <v>0</v>
      </c>
      <c r="AB294" s="129">
        <v>170803</v>
      </c>
      <c r="AC294" s="129">
        <v>0</v>
      </c>
      <c r="AD294" s="129">
        <v>170803</v>
      </c>
      <c r="AE294" s="129">
        <v>-170803</v>
      </c>
      <c r="AF294" s="129">
        <v>0</v>
      </c>
      <c r="AG294" s="129">
        <v>-170803</v>
      </c>
      <c r="AH294" s="129">
        <v>-2509461</v>
      </c>
      <c r="AI294" s="129">
        <v>0</v>
      </c>
      <c r="AJ294" s="129">
        <v>-2509461</v>
      </c>
      <c r="AK294" s="129">
        <v>0</v>
      </c>
      <c r="AL294" s="129">
        <v>0</v>
      </c>
      <c r="AM294" s="129">
        <v>0</v>
      </c>
      <c r="AN294" s="129">
        <v>1550582</v>
      </c>
      <c r="AO294" s="129">
        <v>0</v>
      </c>
      <c r="AP294" s="129">
        <v>1550582</v>
      </c>
      <c r="AQ294" s="129">
        <v>-958879</v>
      </c>
      <c r="AR294" s="129">
        <v>0</v>
      </c>
      <c r="AS294" s="129">
        <v>-958879</v>
      </c>
      <c r="AT294" s="129">
        <v>-6808064</v>
      </c>
      <c r="AU294" s="129">
        <v>0</v>
      </c>
      <c r="AV294" s="129">
        <v>-6808064</v>
      </c>
      <c r="AW294" s="129">
        <v>-62423</v>
      </c>
      <c r="AX294" s="129">
        <v>0</v>
      </c>
      <c r="AY294" s="129">
        <v>-62423</v>
      </c>
      <c r="AZ294" s="129">
        <v>0</v>
      </c>
      <c r="BA294" s="129">
        <v>0</v>
      </c>
      <c r="BB294" s="129">
        <v>0</v>
      </c>
      <c r="BC294" s="129">
        <v>0</v>
      </c>
      <c r="BD294" s="129">
        <v>0</v>
      </c>
      <c r="BE294" s="129">
        <v>0</v>
      </c>
      <c r="BF294" s="129">
        <v>-7829366</v>
      </c>
      <c r="BG294" s="129">
        <v>0</v>
      </c>
      <c r="BH294" s="129">
        <v>-39930</v>
      </c>
      <c r="BI294" s="129">
        <v>0</v>
      </c>
      <c r="BJ294" s="129">
        <v>-7869296</v>
      </c>
      <c r="BK294" s="129">
        <v>0</v>
      </c>
      <c r="BL294" s="129">
        <v>-7869296</v>
      </c>
      <c r="BM294" s="129">
        <v>-621291</v>
      </c>
      <c r="BN294" s="129">
        <v>0</v>
      </c>
      <c r="BO294" s="129">
        <v>-621291</v>
      </c>
      <c r="BP294" s="129">
        <v>-703695</v>
      </c>
      <c r="BQ294" s="129">
        <v>0</v>
      </c>
      <c r="BR294" s="129">
        <v>-703695</v>
      </c>
      <c r="BS294" s="129">
        <v>-1324986</v>
      </c>
      <c r="BT294" s="129">
        <v>0</v>
      </c>
      <c r="BU294" s="129">
        <v>-198748</v>
      </c>
      <c r="BV294" s="129">
        <v>0</v>
      </c>
      <c r="BW294" s="129">
        <v>-1523734</v>
      </c>
      <c r="BX294" s="129">
        <v>0</v>
      </c>
      <c r="BY294" s="129">
        <v>-1523734</v>
      </c>
      <c r="BZ294" s="129">
        <v>-217218</v>
      </c>
      <c r="CA294" s="129">
        <v>0</v>
      </c>
      <c r="CB294" s="129">
        <v>-217218</v>
      </c>
      <c r="CC294" s="129">
        <v>-40486</v>
      </c>
      <c r="CD294" s="129">
        <v>0</v>
      </c>
      <c r="CE294" s="129">
        <v>-40486</v>
      </c>
      <c r="CF294" s="129">
        <v>-8748</v>
      </c>
      <c r="CG294" s="129">
        <v>0</v>
      </c>
      <c r="CH294" s="129">
        <v>-8748</v>
      </c>
      <c r="CI294" s="129">
        <v>0</v>
      </c>
      <c r="CJ294" s="129">
        <v>0</v>
      </c>
      <c r="CK294" s="129">
        <v>0</v>
      </c>
      <c r="CL294" s="129">
        <v>0</v>
      </c>
      <c r="CM294" s="129">
        <v>0</v>
      </c>
      <c r="CN294" s="129">
        <v>0</v>
      </c>
      <c r="CO294" s="129">
        <v>0</v>
      </c>
      <c r="CP294" s="129">
        <v>0</v>
      </c>
      <c r="CQ294" s="129">
        <v>0</v>
      </c>
      <c r="CR294" s="129">
        <v>0</v>
      </c>
      <c r="CS294" s="129">
        <v>0</v>
      </c>
      <c r="CT294" s="129">
        <v>-266452</v>
      </c>
      <c r="CU294" s="129">
        <v>0</v>
      </c>
      <c r="CV294" s="129">
        <v>-2665</v>
      </c>
      <c r="CW294" s="129">
        <v>0</v>
      </c>
      <c r="CX294" s="129">
        <v>-269117</v>
      </c>
      <c r="CY294" s="129">
        <v>0</v>
      </c>
      <c r="CZ294" s="129">
        <v>-269117</v>
      </c>
      <c r="DA294" s="129">
        <v>0</v>
      </c>
      <c r="DB294" s="129">
        <v>0</v>
      </c>
      <c r="DC294" s="129">
        <v>0</v>
      </c>
      <c r="DD294" s="129">
        <v>-43072</v>
      </c>
      <c r="DE294" s="129">
        <v>0</v>
      </c>
      <c r="DF294" s="129">
        <v>-43072</v>
      </c>
      <c r="DG294" s="129">
        <v>0</v>
      </c>
      <c r="DH294" s="129">
        <v>0</v>
      </c>
      <c r="DI294" s="129">
        <v>0</v>
      </c>
      <c r="DJ294" s="129">
        <v>-43072</v>
      </c>
      <c r="DK294" s="129">
        <v>0</v>
      </c>
      <c r="DL294" s="129">
        <v>0</v>
      </c>
      <c r="DM294" s="129">
        <v>0</v>
      </c>
      <c r="DN294" s="129">
        <v>-43072</v>
      </c>
      <c r="DO294" s="129">
        <v>0</v>
      </c>
      <c r="DP294" s="129">
        <v>-43072</v>
      </c>
      <c r="DQ294" s="129">
        <v>62143226</v>
      </c>
      <c r="DR294" s="129">
        <v>0</v>
      </c>
      <c r="DS294" s="129">
        <v>62143226</v>
      </c>
      <c r="DT294" s="662" t="s">
        <v>441</v>
      </c>
      <c r="DU294" s="324" t="s">
        <v>536</v>
      </c>
      <c r="DV294" s="663" t="s">
        <v>512</v>
      </c>
      <c r="DW294" s="529" t="s">
        <v>1500</v>
      </c>
    </row>
    <row r="295" spans="1:127" ht="12.75" x14ac:dyDescent="0.2">
      <c r="A295" s="664">
        <v>288</v>
      </c>
      <c r="B295" s="665" t="s">
        <v>443</v>
      </c>
      <c r="C295" s="666" t="s">
        <v>486</v>
      </c>
      <c r="D295" s="667" t="s">
        <v>1202</v>
      </c>
      <c r="E295" s="668" t="s">
        <v>495</v>
      </c>
      <c r="F295" s="753" t="s">
        <v>1891</v>
      </c>
      <c r="G295" s="129">
        <v>205774094</v>
      </c>
      <c r="H295" s="129">
        <v>0</v>
      </c>
      <c r="I295" s="129">
        <v>205774094</v>
      </c>
      <c r="J295" s="793">
        <v>49.9</v>
      </c>
      <c r="K295" s="129">
        <v>102681273</v>
      </c>
      <c r="L295" s="129">
        <v>0</v>
      </c>
      <c r="M295" s="129">
        <v>0</v>
      </c>
      <c r="N295" s="129">
        <v>0</v>
      </c>
      <c r="O295" s="129">
        <v>102681273</v>
      </c>
      <c r="P295" s="129">
        <v>0</v>
      </c>
      <c r="Q295" s="129">
        <v>102681273</v>
      </c>
      <c r="R295" s="129">
        <v>-390591</v>
      </c>
      <c r="S295" s="129">
        <v>0</v>
      </c>
      <c r="T295" s="129">
        <v>-390591</v>
      </c>
      <c r="U295" s="129">
        <v>1052829</v>
      </c>
      <c r="V295" s="129">
        <v>0</v>
      </c>
      <c r="W295" s="129">
        <v>1052829</v>
      </c>
      <c r="X295" s="129">
        <v>662238</v>
      </c>
      <c r="Y295" s="129">
        <v>0</v>
      </c>
      <c r="Z295" s="129">
        <v>0</v>
      </c>
      <c r="AA295" s="129">
        <v>0</v>
      </c>
      <c r="AB295" s="129">
        <v>662238</v>
      </c>
      <c r="AC295" s="129">
        <v>0</v>
      </c>
      <c r="AD295" s="129">
        <v>662238</v>
      </c>
      <c r="AE295" s="129">
        <v>-662238</v>
      </c>
      <c r="AF295" s="129">
        <v>0</v>
      </c>
      <c r="AG295" s="129">
        <v>-662238</v>
      </c>
      <c r="AH295" s="129">
        <v>-6375737</v>
      </c>
      <c r="AI295" s="129">
        <v>0</v>
      </c>
      <c r="AJ295" s="129">
        <v>-6375737</v>
      </c>
      <c r="AK295" s="129">
        <v>-39766</v>
      </c>
      <c r="AL295" s="129">
        <v>0</v>
      </c>
      <c r="AM295" s="129">
        <v>-39766</v>
      </c>
      <c r="AN295" s="129">
        <v>1945268</v>
      </c>
      <c r="AO295" s="129">
        <v>0</v>
      </c>
      <c r="AP295" s="129">
        <v>1945268</v>
      </c>
      <c r="AQ295" s="129">
        <v>-4430469</v>
      </c>
      <c r="AR295" s="129">
        <v>0</v>
      </c>
      <c r="AS295" s="129">
        <v>-4430469</v>
      </c>
      <c r="AT295" s="129">
        <v>-5021417</v>
      </c>
      <c r="AU295" s="129">
        <v>0</v>
      </c>
      <c r="AV295" s="129">
        <v>-5021417</v>
      </c>
      <c r="AW295" s="129">
        <v>-77407</v>
      </c>
      <c r="AX295" s="129">
        <v>0</v>
      </c>
      <c r="AY295" s="129">
        <v>-77407</v>
      </c>
      <c r="AZ295" s="129">
        <v>-7104</v>
      </c>
      <c r="BA295" s="129">
        <v>0</v>
      </c>
      <c r="BB295" s="129">
        <v>-7104</v>
      </c>
      <c r="BC295" s="129">
        <v>0</v>
      </c>
      <c r="BD295" s="129">
        <v>0</v>
      </c>
      <c r="BE295" s="129">
        <v>0</v>
      </c>
      <c r="BF295" s="129">
        <v>-9536397</v>
      </c>
      <c r="BG295" s="129">
        <v>0</v>
      </c>
      <c r="BH295" s="129">
        <v>0</v>
      </c>
      <c r="BI295" s="129">
        <v>0</v>
      </c>
      <c r="BJ295" s="129">
        <v>-9536397</v>
      </c>
      <c r="BK295" s="129">
        <v>0</v>
      </c>
      <c r="BL295" s="129">
        <v>-9536397</v>
      </c>
      <c r="BM295" s="129">
        <v>0</v>
      </c>
      <c r="BN295" s="129">
        <v>0</v>
      </c>
      <c r="BO295" s="129">
        <v>0</v>
      </c>
      <c r="BP295" s="129">
        <v>-2567679</v>
      </c>
      <c r="BQ295" s="129">
        <v>0</v>
      </c>
      <c r="BR295" s="129">
        <v>-2567679</v>
      </c>
      <c r="BS295" s="129">
        <v>-2567679</v>
      </c>
      <c r="BT295" s="129">
        <v>0</v>
      </c>
      <c r="BU295" s="129">
        <v>0</v>
      </c>
      <c r="BV295" s="129">
        <v>0</v>
      </c>
      <c r="BW295" s="129">
        <v>-2567679</v>
      </c>
      <c r="BX295" s="129">
        <v>0</v>
      </c>
      <c r="BY295" s="129">
        <v>-2567679</v>
      </c>
      <c r="BZ295" s="129">
        <v>-34460</v>
      </c>
      <c r="CA295" s="129">
        <v>0</v>
      </c>
      <c r="CB295" s="129">
        <v>-34460</v>
      </c>
      <c r="CC295" s="129">
        <v>0</v>
      </c>
      <c r="CD295" s="129">
        <v>0</v>
      </c>
      <c r="CE295" s="129">
        <v>0</v>
      </c>
      <c r="CF295" s="129">
        <v>-3069</v>
      </c>
      <c r="CG295" s="129">
        <v>0</v>
      </c>
      <c r="CH295" s="129">
        <v>-3069</v>
      </c>
      <c r="CI295" s="129">
        <v>0</v>
      </c>
      <c r="CJ295" s="129">
        <v>0</v>
      </c>
      <c r="CK295" s="129">
        <v>0</v>
      </c>
      <c r="CL295" s="129">
        <v>0</v>
      </c>
      <c r="CM295" s="129">
        <v>0</v>
      </c>
      <c r="CN295" s="129">
        <v>0</v>
      </c>
      <c r="CO295" s="129">
        <v>0</v>
      </c>
      <c r="CP295" s="129">
        <v>0</v>
      </c>
      <c r="CQ295" s="129">
        <v>0</v>
      </c>
      <c r="CR295" s="129">
        <v>0</v>
      </c>
      <c r="CS295" s="129">
        <v>0</v>
      </c>
      <c r="CT295" s="129">
        <v>-37529</v>
      </c>
      <c r="CU295" s="129">
        <v>0</v>
      </c>
      <c r="CV295" s="129">
        <v>0</v>
      </c>
      <c r="CW295" s="129">
        <v>0</v>
      </c>
      <c r="CX295" s="129">
        <v>-37529</v>
      </c>
      <c r="CY295" s="129">
        <v>0</v>
      </c>
      <c r="CZ295" s="129">
        <v>-37529</v>
      </c>
      <c r="DA295" s="129">
        <v>0</v>
      </c>
      <c r="DB295" s="129">
        <v>0</v>
      </c>
      <c r="DC295" s="129">
        <v>0</v>
      </c>
      <c r="DD295" s="129">
        <v>-512420</v>
      </c>
      <c r="DE295" s="129">
        <v>0</v>
      </c>
      <c r="DF295" s="129">
        <v>-512420</v>
      </c>
      <c r="DG295" s="129">
        <v>0</v>
      </c>
      <c r="DH295" s="129">
        <v>0</v>
      </c>
      <c r="DI295" s="129">
        <v>0</v>
      </c>
      <c r="DJ295" s="129">
        <v>-512420</v>
      </c>
      <c r="DK295" s="129">
        <v>0</v>
      </c>
      <c r="DL295" s="129">
        <v>0</v>
      </c>
      <c r="DM295" s="129">
        <v>0</v>
      </c>
      <c r="DN295" s="129">
        <v>-512420</v>
      </c>
      <c r="DO295" s="129">
        <v>0</v>
      </c>
      <c r="DP295" s="129">
        <v>-512420</v>
      </c>
      <c r="DQ295" s="129">
        <v>90689486</v>
      </c>
      <c r="DR295" s="129">
        <v>0</v>
      </c>
      <c r="DS295" s="129">
        <v>90689486</v>
      </c>
      <c r="DT295" s="662" t="s">
        <v>495</v>
      </c>
      <c r="DU295" s="324" t="s">
        <v>486</v>
      </c>
      <c r="DV295" s="663" t="s">
        <v>494</v>
      </c>
      <c r="DW295" s="529" t="s">
        <v>1501</v>
      </c>
    </row>
    <row r="296" spans="1:127" ht="12.75" x14ac:dyDescent="0.2">
      <c r="A296" s="664">
        <v>289</v>
      </c>
      <c r="B296" s="665" t="s">
        <v>445</v>
      </c>
      <c r="C296" s="666" t="s">
        <v>1201</v>
      </c>
      <c r="D296" s="667" t="s">
        <v>1224</v>
      </c>
      <c r="E296" s="668" t="s">
        <v>444</v>
      </c>
      <c r="F296" s="753" t="s">
        <v>1880</v>
      </c>
      <c r="G296" s="129">
        <v>32726044</v>
      </c>
      <c r="H296" s="129">
        <v>0</v>
      </c>
      <c r="I296" s="129">
        <v>32726044</v>
      </c>
      <c r="J296" s="793">
        <v>49.9</v>
      </c>
      <c r="K296" s="129">
        <v>16330296</v>
      </c>
      <c r="L296" s="129">
        <v>0</v>
      </c>
      <c r="M296" s="129">
        <v>0</v>
      </c>
      <c r="N296" s="129">
        <v>0</v>
      </c>
      <c r="O296" s="129">
        <v>16330296</v>
      </c>
      <c r="P296" s="129">
        <v>0</v>
      </c>
      <c r="Q296" s="129">
        <v>16330296</v>
      </c>
      <c r="R296" s="129">
        <v>-77017</v>
      </c>
      <c r="S296" s="129">
        <v>0</v>
      </c>
      <c r="T296" s="129">
        <v>-77017</v>
      </c>
      <c r="U296" s="129">
        <v>150</v>
      </c>
      <c r="V296" s="129">
        <v>0</v>
      </c>
      <c r="W296" s="129">
        <v>150</v>
      </c>
      <c r="X296" s="129">
        <v>-76867</v>
      </c>
      <c r="Y296" s="129">
        <v>0</v>
      </c>
      <c r="Z296" s="129">
        <v>0</v>
      </c>
      <c r="AA296" s="129">
        <v>0</v>
      </c>
      <c r="AB296" s="129">
        <v>-76867</v>
      </c>
      <c r="AC296" s="129">
        <v>0</v>
      </c>
      <c r="AD296" s="129">
        <v>-76867</v>
      </c>
      <c r="AE296" s="129">
        <v>76867</v>
      </c>
      <c r="AF296" s="129">
        <v>0</v>
      </c>
      <c r="AG296" s="129">
        <v>76867</v>
      </c>
      <c r="AH296" s="129">
        <v>-3174514</v>
      </c>
      <c r="AI296" s="129">
        <v>0</v>
      </c>
      <c r="AJ296" s="129">
        <v>-3174514</v>
      </c>
      <c r="AK296" s="129">
        <v>0</v>
      </c>
      <c r="AL296" s="129">
        <v>0</v>
      </c>
      <c r="AM296" s="129">
        <v>0</v>
      </c>
      <c r="AN296" s="129">
        <v>206120</v>
      </c>
      <c r="AO296" s="129">
        <v>0</v>
      </c>
      <c r="AP296" s="129">
        <v>206120</v>
      </c>
      <c r="AQ296" s="129">
        <v>-2968394</v>
      </c>
      <c r="AR296" s="129">
        <v>0</v>
      </c>
      <c r="AS296" s="129">
        <v>-2968394</v>
      </c>
      <c r="AT296" s="129">
        <v>-1463596</v>
      </c>
      <c r="AU296" s="129">
        <v>0</v>
      </c>
      <c r="AV296" s="129">
        <v>-1463596</v>
      </c>
      <c r="AW296" s="129">
        <v>-78893</v>
      </c>
      <c r="AX296" s="129">
        <v>0</v>
      </c>
      <c r="AY296" s="129">
        <v>-78893</v>
      </c>
      <c r="AZ296" s="129">
        <v>-39821</v>
      </c>
      <c r="BA296" s="129">
        <v>0</v>
      </c>
      <c r="BB296" s="129">
        <v>-39821</v>
      </c>
      <c r="BC296" s="129">
        <v>0</v>
      </c>
      <c r="BD296" s="129">
        <v>0</v>
      </c>
      <c r="BE296" s="129">
        <v>0</v>
      </c>
      <c r="BF296" s="129">
        <v>-4550704</v>
      </c>
      <c r="BG296" s="129">
        <v>0</v>
      </c>
      <c r="BH296" s="129">
        <v>0</v>
      </c>
      <c r="BI296" s="129">
        <v>0</v>
      </c>
      <c r="BJ296" s="129">
        <v>-4550704</v>
      </c>
      <c r="BK296" s="129">
        <v>0</v>
      </c>
      <c r="BL296" s="129">
        <v>-4550704</v>
      </c>
      <c r="BM296" s="129">
        <v>-58040</v>
      </c>
      <c r="BN296" s="129">
        <v>0</v>
      </c>
      <c r="BO296" s="129">
        <v>-58040</v>
      </c>
      <c r="BP296" s="129">
        <v>-373893</v>
      </c>
      <c r="BQ296" s="129">
        <v>0</v>
      </c>
      <c r="BR296" s="129">
        <v>-373893</v>
      </c>
      <c r="BS296" s="129">
        <v>-431933</v>
      </c>
      <c r="BT296" s="129">
        <v>0</v>
      </c>
      <c r="BU296" s="129">
        <v>0</v>
      </c>
      <c r="BV296" s="129">
        <v>0</v>
      </c>
      <c r="BW296" s="129">
        <v>-431933</v>
      </c>
      <c r="BX296" s="129">
        <v>0</v>
      </c>
      <c r="BY296" s="129">
        <v>-431933</v>
      </c>
      <c r="BZ296" s="129">
        <v>-52578</v>
      </c>
      <c r="CA296" s="129">
        <v>0</v>
      </c>
      <c r="CB296" s="129">
        <v>-52578</v>
      </c>
      <c r="CC296" s="129">
        <v>-9102</v>
      </c>
      <c r="CD296" s="129">
        <v>0</v>
      </c>
      <c r="CE296" s="129">
        <v>-9102</v>
      </c>
      <c r="CF296" s="129">
        <v>-8057</v>
      </c>
      <c r="CG296" s="129">
        <v>0</v>
      </c>
      <c r="CH296" s="129">
        <v>-8057</v>
      </c>
      <c r="CI296" s="129">
        <v>0</v>
      </c>
      <c r="CJ296" s="129">
        <v>0</v>
      </c>
      <c r="CK296" s="129">
        <v>0</v>
      </c>
      <c r="CL296" s="129">
        <v>0</v>
      </c>
      <c r="CM296" s="129">
        <v>0</v>
      </c>
      <c r="CN296" s="129">
        <v>0</v>
      </c>
      <c r="CO296" s="129">
        <v>0</v>
      </c>
      <c r="CP296" s="129">
        <v>0</v>
      </c>
      <c r="CQ296" s="129">
        <v>0</v>
      </c>
      <c r="CR296" s="129">
        <v>0</v>
      </c>
      <c r="CS296" s="129">
        <v>0</v>
      </c>
      <c r="CT296" s="129">
        <v>-69737</v>
      </c>
      <c r="CU296" s="129">
        <v>0</v>
      </c>
      <c r="CV296" s="129">
        <v>0</v>
      </c>
      <c r="CW296" s="129">
        <v>0</v>
      </c>
      <c r="CX296" s="129">
        <v>-69737</v>
      </c>
      <c r="CY296" s="129">
        <v>0</v>
      </c>
      <c r="CZ296" s="129">
        <v>-69737</v>
      </c>
      <c r="DA296" s="129">
        <v>-39821</v>
      </c>
      <c r="DB296" s="129">
        <v>0</v>
      </c>
      <c r="DC296" s="129">
        <v>-39821</v>
      </c>
      <c r="DD296" s="129">
        <v>-27377</v>
      </c>
      <c r="DE296" s="129">
        <v>0</v>
      </c>
      <c r="DF296" s="129">
        <v>-27377</v>
      </c>
      <c r="DG296" s="129">
        <v>-1500</v>
      </c>
      <c r="DH296" s="129">
        <v>0</v>
      </c>
      <c r="DI296" s="129">
        <v>-1500</v>
      </c>
      <c r="DJ296" s="129">
        <v>-68698</v>
      </c>
      <c r="DK296" s="129">
        <v>0</v>
      </c>
      <c r="DL296" s="129">
        <v>0</v>
      </c>
      <c r="DM296" s="129">
        <v>0</v>
      </c>
      <c r="DN296" s="129">
        <v>-68698</v>
      </c>
      <c r="DO296" s="129">
        <v>0</v>
      </c>
      <c r="DP296" s="129">
        <v>-68698</v>
      </c>
      <c r="DQ296" s="129">
        <v>11132357</v>
      </c>
      <c r="DR296" s="129">
        <v>0</v>
      </c>
      <c r="DS296" s="129">
        <v>11132357</v>
      </c>
      <c r="DT296" s="662" t="s">
        <v>444</v>
      </c>
      <c r="DU296" s="324" t="s">
        <v>521</v>
      </c>
      <c r="DV296" s="663" t="s">
        <v>519</v>
      </c>
      <c r="DW296" s="529" t="s">
        <v>1502</v>
      </c>
    </row>
    <row r="297" spans="1:127" ht="12.75" x14ac:dyDescent="0.2">
      <c r="A297" s="664">
        <v>290</v>
      </c>
      <c r="B297" s="665" t="s">
        <v>447</v>
      </c>
      <c r="C297" s="666" t="s">
        <v>1201</v>
      </c>
      <c r="D297" s="667" t="s">
        <v>1204</v>
      </c>
      <c r="E297" s="668" t="s">
        <v>446</v>
      </c>
      <c r="F297" s="753" t="s">
        <v>1879</v>
      </c>
      <c r="G297" s="129">
        <v>80142820</v>
      </c>
      <c r="H297" s="129">
        <v>0</v>
      </c>
      <c r="I297" s="129">
        <v>80142820</v>
      </c>
      <c r="J297" s="793">
        <v>49.9</v>
      </c>
      <c r="K297" s="129">
        <v>39991267</v>
      </c>
      <c r="L297" s="129">
        <v>0</v>
      </c>
      <c r="M297" s="129">
        <v>-79834</v>
      </c>
      <c r="N297" s="129">
        <v>0</v>
      </c>
      <c r="O297" s="129">
        <v>39911433</v>
      </c>
      <c r="P297" s="129">
        <v>0</v>
      </c>
      <c r="Q297" s="129">
        <v>39911433</v>
      </c>
      <c r="R297" s="129">
        <v>-78108</v>
      </c>
      <c r="S297" s="129">
        <v>0</v>
      </c>
      <c r="T297" s="129">
        <v>-78108</v>
      </c>
      <c r="U297" s="129">
        <v>81450</v>
      </c>
      <c r="V297" s="129">
        <v>0</v>
      </c>
      <c r="W297" s="129">
        <v>81450</v>
      </c>
      <c r="X297" s="129">
        <v>3342</v>
      </c>
      <c r="Y297" s="129">
        <v>0</v>
      </c>
      <c r="Z297" s="129">
        <v>0</v>
      </c>
      <c r="AA297" s="129">
        <v>0</v>
      </c>
      <c r="AB297" s="129">
        <v>3342</v>
      </c>
      <c r="AC297" s="129">
        <v>0</v>
      </c>
      <c r="AD297" s="129">
        <v>3342</v>
      </c>
      <c r="AE297" s="129">
        <v>-3342</v>
      </c>
      <c r="AF297" s="129">
        <v>0</v>
      </c>
      <c r="AG297" s="129">
        <v>-3342</v>
      </c>
      <c r="AH297" s="129">
        <v>-4140826</v>
      </c>
      <c r="AI297" s="129">
        <v>0</v>
      </c>
      <c r="AJ297" s="129">
        <v>-4140826</v>
      </c>
      <c r="AK297" s="129">
        <v>-18014</v>
      </c>
      <c r="AL297" s="129">
        <v>0</v>
      </c>
      <c r="AM297" s="129">
        <v>-18014</v>
      </c>
      <c r="AN297" s="129">
        <v>693774</v>
      </c>
      <c r="AO297" s="129">
        <v>0</v>
      </c>
      <c r="AP297" s="129">
        <v>693774</v>
      </c>
      <c r="AQ297" s="129">
        <v>-3447052</v>
      </c>
      <c r="AR297" s="129">
        <v>0</v>
      </c>
      <c r="AS297" s="129">
        <v>-3447052</v>
      </c>
      <c r="AT297" s="129">
        <v>-2995972</v>
      </c>
      <c r="AU297" s="129">
        <v>0</v>
      </c>
      <c r="AV297" s="129">
        <v>-2995972</v>
      </c>
      <c r="AW297" s="129">
        <v>0</v>
      </c>
      <c r="AX297" s="129">
        <v>0</v>
      </c>
      <c r="AY297" s="129">
        <v>0</v>
      </c>
      <c r="AZ297" s="129">
        <v>-1523</v>
      </c>
      <c r="BA297" s="129">
        <v>0</v>
      </c>
      <c r="BB297" s="129">
        <v>-1523</v>
      </c>
      <c r="BC297" s="129">
        <v>0</v>
      </c>
      <c r="BD297" s="129">
        <v>0</v>
      </c>
      <c r="BE297" s="129">
        <v>0</v>
      </c>
      <c r="BF297" s="129">
        <v>-6444547</v>
      </c>
      <c r="BG297" s="129">
        <v>0</v>
      </c>
      <c r="BH297" s="129">
        <v>0</v>
      </c>
      <c r="BI297" s="129">
        <v>0</v>
      </c>
      <c r="BJ297" s="129">
        <v>-6444547</v>
      </c>
      <c r="BK297" s="129">
        <v>0</v>
      </c>
      <c r="BL297" s="129">
        <v>-6444547</v>
      </c>
      <c r="BM297" s="129">
        <v>-4113</v>
      </c>
      <c r="BN297" s="129">
        <v>0</v>
      </c>
      <c r="BO297" s="129">
        <v>-4113</v>
      </c>
      <c r="BP297" s="129">
        <v>-337485</v>
      </c>
      <c r="BQ297" s="129">
        <v>0</v>
      </c>
      <c r="BR297" s="129">
        <v>-337485</v>
      </c>
      <c r="BS297" s="129">
        <v>-341598</v>
      </c>
      <c r="BT297" s="129">
        <v>0</v>
      </c>
      <c r="BU297" s="129">
        <v>0</v>
      </c>
      <c r="BV297" s="129">
        <v>0</v>
      </c>
      <c r="BW297" s="129">
        <v>-341598</v>
      </c>
      <c r="BX297" s="129">
        <v>0</v>
      </c>
      <c r="BY297" s="129">
        <v>-341598</v>
      </c>
      <c r="BZ297" s="129">
        <v>-14203</v>
      </c>
      <c r="CA297" s="129">
        <v>0</v>
      </c>
      <c r="CB297" s="129">
        <v>-14203</v>
      </c>
      <c r="CC297" s="129">
        <v>-16565</v>
      </c>
      <c r="CD297" s="129">
        <v>0</v>
      </c>
      <c r="CE297" s="129">
        <v>-16565</v>
      </c>
      <c r="CF297" s="129">
        <v>0</v>
      </c>
      <c r="CG297" s="129">
        <v>0</v>
      </c>
      <c r="CH297" s="129">
        <v>0</v>
      </c>
      <c r="CI297" s="129">
        <v>0</v>
      </c>
      <c r="CJ297" s="129">
        <v>0</v>
      </c>
      <c r="CK297" s="129">
        <v>0</v>
      </c>
      <c r="CL297" s="129">
        <v>0</v>
      </c>
      <c r="CM297" s="129">
        <v>0</v>
      </c>
      <c r="CN297" s="129">
        <v>0</v>
      </c>
      <c r="CO297" s="129">
        <v>0</v>
      </c>
      <c r="CP297" s="129">
        <v>0</v>
      </c>
      <c r="CQ297" s="129">
        <v>0</v>
      </c>
      <c r="CR297" s="129">
        <v>0</v>
      </c>
      <c r="CS297" s="129">
        <v>0</v>
      </c>
      <c r="CT297" s="129">
        <v>-30768</v>
      </c>
      <c r="CU297" s="129">
        <v>0</v>
      </c>
      <c r="CV297" s="129">
        <v>0</v>
      </c>
      <c r="CW297" s="129">
        <v>0</v>
      </c>
      <c r="CX297" s="129">
        <v>-30768</v>
      </c>
      <c r="CY297" s="129">
        <v>0</v>
      </c>
      <c r="CZ297" s="129">
        <v>-30768</v>
      </c>
      <c r="DA297" s="129">
        <v>-1523</v>
      </c>
      <c r="DB297" s="129">
        <v>0</v>
      </c>
      <c r="DC297" s="129">
        <v>-1523</v>
      </c>
      <c r="DD297" s="129">
        <v>-2120</v>
      </c>
      <c r="DE297" s="129">
        <v>0</v>
      </c>
      <c r="DF297" s="129">
        <v>-2120</v>
      </c>
      <c r="DG297" s="129">
        <v>0</v>
      </c>
      <c r="DH297" s="129">
        <v>0</v>
      </c>
      <c r="DI297" s="129">
        <v>0</v>
      </c>
      <c r="DJ297" s="129">
        <v>-3643</v>
      </c>
      <c r="DK297" s="129">
        <v>0</v>
      </c>
      <c r="DL297" s="129">
        <v>0</v>
      </c>
      <c r="DM297" s="129">
        <v>0</v>
      </c>
      <c r="DN297" s="129">
        <v>-3643</v>
      </c>
      <c r="DO297" s="129">
        <v>0</v>
      </c>
      <c r="DP297" s="129">
        <v>-3643</v>
      </c>
      <c r="DQ297" s="129">
        <v>33094219</v>
      </c>
      <c r="DR297" s="129">
        <v>0</v>
      </c>
      <c r="DS297" s="129">
        <v>33094219</v>
      </c>
      <c r="DT297" s="662" t="s">
        <v>446</v>
      </c>
      <c r="DU297" s="324" t="s">
        <v>547</v>
      </c>
      <c r="DV297" s="663" t="s">
        <v>545</v>
      </c>
      <c r="DW297" s="529" t="s">
        <v>1503</v>
      </c>
    </row>
    <row r="298" spans="1:127" ht="12.75" x14ac:dyDescent="0.2">
      <c r="A298" s="664">
        <v>291</v>
      </c>
      <c r="B298" s="665" t="s">
        <v>449</v>
      </c>
      <c r="C298" s="666" t="s">
        <v>1201</v>
      </c>
      <c r="D298" s="667" t="s">
        <v>1206</v>
      </c>
      <c r="E298" s="668" t="s">
        <v>448</v>
      </c>
      <c r="F298" s="753" t="s">
        <v>1875</v>
      </c>
      <c r="G298" s="129">
        <v>49116914</v>
      </c>
      <c r="H298" s="129">
        <v>0</v>
      </c>
      <c r="I298" s="129">
        <v>49116914</v>
      </c>
      <c r="J298" s="793">
        <v>49.9</v>
      </c>
      <c r="K298" s="129">
        <v>24509340</v>
      </c>
      <c r="L298" s="129">
        <v>0</v>
      </c>
      <c r="M298" s="129">
        <v>-300000</v>
      </c>
      <c r="N298" s="129">
        <v>0</v>
      </c>
      <c r="O298" s="129">
        <v>24209340</v>
      </c>
      <c r="P298" s="129">
        <v>0</v>
      </c>
      <c r="Q298" s="129">
        <v>24209340</v>
      </c>
      <c r="R298" s="129">
        <v>-165526</v>
      </c>
      <c r="S298" s="129">
        <v>0</v>
      </c>
      <c r="T298" s="129">
        <v>-165526</v>
      </c>
      <c r="U298" s="129">
        <v>52262</v>
      </c>
      <c r="V298" s="129">
        <v>0</v>
      </c>
      <c r="W298" s="129">
        <v>52262</v>
      </c>
      <c r="X298" s="129">
        <v>-113264</v>
      </c>
      <c r="Y298" s="129">
        <v>0</v>
      </c>
      <c r="Z298" s="129">
        <v>0</v>
      </c>
      <c r="AA298" s="129">
        <v>0</v>
      </c>
      <c r="AB298" s="129">
        <v>-113264</v>
      </c>
      <c r="AC298" s="129">
        <v>0</v>
      </c>
      <c r="AD298" s="129">
        <v>-113264</v>
      </c>
      <c r="AE298" s="129">
        <v>113264</v>
      </c>
      <c r="AF298" s="129">
        <v>0</v>
      </c>
      <c r="AG298" s="129">
        <v>113264</v>
      </c>
      <c r="AH298" s="129">
        <v>-3122531</v>
      </c>
      <c r="AI298" s="129">
        <v>0</v>
      </c>
      <c r="AJ298" s="129">
        <v>-3122531</v>
      </c>
      <c r="AK298" s="129">
        <v>-1073</v>
      </c>
      <c r="AL298" s="129">
        <v>0</v>
      </c>
      <c r="AM298" s="129">
        <v>-1073</v>
      </c>
      <c r="AN298" s="129">
        <v>388922</v>
      </c>
      <c r="AO298" s="129">
        <v>0</v>
      </c>
      <c r="AP298" s="129">
        <v>388922</v>
      </c>
      <c r="AQ298" s="129">
        <v>-2733609</v>
      </c>
      <c r="AR298" s="129">
        <v>0</v>
      </c>
      <c r="AS298" s="129">
        <v>-2733609</v>
      </c>
      <c r="AT298" s="129">
        <v>-1765449</v>
      </c>
      <c r="AU298" s="129">
        <v>0</v>
      </c>
      <c r="AV298" s="129">
        <v>-1765449</v>
      </c>
      <c r="AW298" s="129">
        <v>-45005</v>
      </c>
      <c r="AX298" s="129">
        <v>0</v>
      </c>
      <c r="AY298" s="129">
        <v>-45005</v>
      </c>
      <c r="AZ298" s="129">
        <v>-34323</v>
      </c>
      <c r="BA298" s="129">
        <v>0</v>
      </c>
      <c r="BB298" s="129">
        <v>-34323</v>
      </c>
      <c r="BC298" s="129">
        <v>0</v>
      </c>
      <c r="BD298" s="129">
        <v>0</v>
      </c>
      <c r="BE298" s="129">
        <v>0</v>
      </c>
      <c r="BF298" s="129">
        <v>-4578386</v>
      </c>
      <c r="BG298" s="129">
        <v>0</v>
      </c>
      <c r="BH298" s="129">
        <v>0</v>
      </c>
      <c r="BI298" s="129">
        <v>0</v>
      </c>
      <c r="BJ298" s="129">
        <v>-4578386</v>
      </c>
      <c r="BK298" s="129">
        <v>0</v>
      </c>
      <c r="BL298" s="129">
        <v>-4578386</v>
      </c>
      <c r="BM298" s="129">
        <v>0</v>
      </c>
      <c r="BN298" s="129">
        <v>0</v>
      </c>
      <c r="BO298" s="129">
        <v>0</v>
      </c>
      <c r="BP298" s="129">
        <v>-578418</v>
      </c>
      <c r="BQ298" s="129">
        <v>0</v>
      </c>
      <c r="BR298" s="129">
        <v>-578418</v>
      </c>
      <c r="BS298" s="129">
        <v>-578418</v>
      </c>
      <c r="BT298" s="129">
        <v>0</v>
      </c>
      <c r="BU298" s="129">
        <v>-200000</v>
      </c>
      <c r="BV298" s="129">
        <v>0</v>
      </c>
      <c r="BW298" s="129">
        <v>-778418</v>
      </c>
      <c r="BX298" s="129">
        <v>0</v>
      </c>
      <c r="BY298" s="129">
        <v>-778418</v>
      </c>
      <c r="BZ298" s="129">
        <v>-59088</v>
      </c>
      <c r="CA298" s="129">
        <v>0</v>
      </c>
      <c r="CB298" s="129">
        <v>-59088</v>
      </c>
      <c r="CC298" s="129">
        <v>-289</v>
      </c>
      <c r="CD298" s="129">
        <v>0</v>
      </c>
      <c r="CE298" s="129">
        <v>-289</v>
      </c>
      <c r="CF298" s="129">
        <v>-1498</v>
      </c>
      <c r="CG298" s="129">
        <v>0</v>
      </c>
      <c r="CH298" s="129">
        <v>-1498</v>
      </c>
      <c r="CI298" s="129">
        <v>0</v>
      </c>
      <c r="CJ298" s="129">
        <v>0</v>
      </c>
      <c r="CK298" s="129">
        <v>0</v>
      </c>
      <c r="CL298" s="129">
        <v>0</v>
      </c>
      <c r="CM298" s="129">
        <v>0</v>
      </c>
      <c r="CN298" s="129">
        <v>0</v>
      </c>
      <c r="CO298" s="129">
        <v>0</v>
      </c>
      <c r="CP298" s="129">
        <v>0</v>
      </c>
      <c r="CQ298" s="129">
        <v>0</v>
      </c>
      <c r="CR298" s="129">
        <v>0</v>
      </c>
      <c r="CS298" s="129">
        <v>0</v>
      </c>
      <c r="CT298" s="129">
        <v>-60875</v>
      </c>
      <c r="CU298" s="129">
        <v>0</v>
      </c>
      <c r="CV298" s="129">
        <v>0</v>
      </c>
      <c r="CW298" s="129">
        <v>0</v>
      </c>
      <c r="CX298" s="129">
        <v>-60875</v>
      </c>
      <c r="CY298" s="129">
        <v>0</v>
      </c>
      <c r="CZ298" s="129">
        <v>-60875</v>
      </c>
      <c r="DA298" s="129">
        <v>-34323</v>
      </c>
      <c r="DB298" s="129">
        <v>0</v>
      </c>
      <c r="DC298" s="129">
        <v>-34323</v>
      </c>
      <c r="DD298" s="129">
        <v>-33392</v>
      </c>
      <c r="DE298" s="129">
        <v>0</v>
      </c>
      <c r="DF298" s="129">
        <v>-33392</v>
      </c>
      <c r="DG298" s="129">
        <v>0</v>
      </c>
      <c r="DH298" s="129">
        <v>0</v>
      </c>
      <c r="DI298" s="129">
        <v>0</v>
      </c>
      <c r="DJ298" s="129">
        <v>-67715</v>
      </c>
      <c r="DK298" s="129">
        <v>0</v>
      </c>
      <c r="DL298" s="129">
        <v>0</v>
      </c>
      <c r="DM298" s="129">
        <v>0</v>
      </c>
      <c r="DN298" s="129">
        <v>-67715</v>
      </c>
      <c r="DO298" s="129">
        <v>0</v>
      </c>
      <c r="DP298" s="129">
        <v>-67715</v>
      </c>
      <c r="DQ298" s="129">
        <v>18610682</v>
      </c>
      <c r="DR298" s="129">
        <v>0</v>
      </c>
      <c r="DS298" s="129">
        <v>18610682</v>
      </c>
      <c r="DT298" s="662" t="s">
        <v>448</v>
      </c>
      <c r="DU298" s="324" t="s">
        <v>552</v>
      </c>
      <c r="DV298" s="663" t="s">
        <v>512</v>
      </c>
      <c r="DW298" s="529" t="s">
        <v>1504</v>
      </c>
    </row>
    <row r="299" spans="1:127" ht="12.75" x14ac:dyDescent="0.2">
      <c r="A299" s="664">
        <v>292</v>
      </c>
      <c r="B299" s="665" t="s">
        <v>1126</v>
      </c>
      <c r="C299" s="666" t="s">
        <v>486</v>
      </c>
      <c r="D299" s="667" t="s">
        <v>1206</v>
      </c>
      <c r="E299" s="668" t="s">
        <v>1093</v>
      </c>
      <c r="F299" s="753" t="s">
        <v>1875</v>
      </c>
      <c r="G299" s="129">
        <v>417046174</v>
      </c>
      <c r="H299" s="129">
        <v>11393510</v>
      </c>
      <c r="I299" s="129">
        <v>428439684</v>
      </c>
      <c r="J299" s="793">
        <v>49.9</v>
      </c>
      <c r="K299" s="129">
        <v>208106041</v>
      </c>
      <c r="L299" s="129">
        <v>5685361</v>
      </c>
      <c r="M299" s="129">
        <v>0</v>
      </c>
      <c r="N299" s="129">
        <v>0</v>
      </c>
      <c r="O299" s="129">
        <v>208106041</v>
      </c>
      <c r="P299" s="129">
        <v>5685361</v>
      </c>
      <c r="Q299" s="129">
        <v>213791402</v>
      </c>
      <c r="R299" s="129">
        <v>-218515</v>
      </c>
      <c r="S299" s="129">
        <v>0</v>
      </c>
      <c r="T299" s="129">
        <v>-218515</v>
      </c>
      <c r="U299" s="129">
        <v>375574</v>
      </c>
      <c r="V299" s="129">
        <v>3975</v>
      </c>
      <c r="W299" s="129">
        <v>379549</v>
      </c>
      <c r="X299" s="129">
        <v>157059</v>
      </c>
      <c r="Y299" s="129">
        <v>3975</v>
      </c>
      <c r="Z299" s="129">
        <v>0</v>
      </c>
      <c r="AA299" s="129">
        <v>0</v>
      </c>
      <c r="AB299" s="129">
        <v>157059</v>
      </c>
      <c r="AC299" s="129">
        <v>3975</v>
      </c>
      <c r="AD299" s="129">
        <v>161034</v>
      </c>
      <c r="AE299" s="129">
        <v>-157059</v>
      </c>
      <c r="AF299" s="129">
        <v>-3975</v>
      </c>
      <c r="AG299" s="129">
        <v>-161034</v>
      </c>
      <c r="AH299" s="129">
        <v>-12457971</v>
      </c>
      <c r="AI299" s="129">
        <v>-142428</v>
      </c>
      <c r="AJ299" s="129">
        <v>-12600399</v>
      </c>
      <c r="AK299" s="129">
        <v>0</v>
      </c>
      <c r="AL299" s="129">
        <v>0</v>
      </c>
      <c r="AM299" s="129">
        <v>0</v>
      </c>
      <c r="AN299" s="129">
        <v>4155778</v>
      </c>
      <c r="AO299" s="129">
        <v>116306</v>
      </c>
      <c r="AP299" s="129">
        <v>4272084</v>
      </c>
      <c r="AQ299" s="129">
        <v>-8302193</v>
      </c>
      <c r="AR299" s="129">
        <v>-26122</v>
      </c>
      <c r="AS299" s="129">
        <v>-8328315</v>
      </c>
      <c r="AT299" s="129">
        <v>-14156802</v>
      </c>
      <c r="AU299" s="129">
        <v>-58060</v>
      </c>
      <c r="AV299" s="129">
        <v>-14214862</v>
      </c>
      <c r="AW299" s="129">
        <v>-61297</v>
      </c>
      <c r="AX299" s="129">
        <v>0</v>
      </c>
      <c r="AY299" s="129">
        <v>-61297</v>
      </c>
      <c r="AZ299" s="129">
        <v>-47251</v>
      </c>
      <c r="BA299" s="129">
        <v>0</v>
      </c>
      <c r="BB299" s="129">
        <v>-47251</v>
      </c>
      <c r="BC299" s="129">
        <v>0</v>
      </c>
      <c r="BD299" s="129">
        <v>0</v>
      </c>
      <c r="BE299" s="129">
        <v>0</v>
      </c>
      <c r="BF299" s="129">
        <v>-22567543</v>
      </c>
      <c r="BG299" s="129">
        <v>-84182</v>
      </c>
      <c r="BH299" s="129">
        <v>0</v>
      </c>
      <c r="BI299" s="129">
        <v>0</v>
      </c>
      <c r="BJ299" s="129">
        <v>-22567543</v>
      </c>
      <c r="BK299" s="129">
        <v>-84182</v>
      </c>
      <c r="BL299" s="129">
        <v>-22651725</v>
      </c>
      <c r="BM299" s="129">
        <v>-200000</v>
      </c>
      <c r="BN299" s="129">
        <v>0</v>
      </c>
      <c r="BO299" s="129">
        <v>-200000</v>
      </c>
      <c r="BP299" s="129">
        <v>-2873942</v>
      </c>
      <c r="BQ299" s="129">
        <v>-41114</v>
      </c>
      <c r="BR299" s="129">
        <v>-2915056</v>
      </c>
      <c r="BS299" s="129">
        <v>-3073942</v>
      </c>
      <c r="BT299" s="129">
        <v>-41114</v>
      </c>
      <c r="BU299" s="129">
        <v>-1435467</v>
      </c>
      <c r="BV299" s="129">
        <v>-47022</v>
      </c>
      <c r="BW299" s="129">
        <v>-4509409</v>
      </c>
      <c r="BX299" s="129">
        <v>-88136</v>
      </c>
      <c r="BY299" s="129">
        <v>-4597545</v>
      </c>
      <c r="BZ299" s="129">
        <v>-347660</v>
      </c>
      <c r="CA299" s="129">
        <v>-2285</v>
      </c>
      <c r="CB299" s="129">
        <v>-349945</v>
      </c>
      <c r="CC299" s="129">
        <v>-193848</v>
      </c>
      <c r="CD299" s="129">
        <v>0</v>
      </c>
      <c r="CE299" s="129">
        <v>-193848</v>
      </c>
      <c r="CF299" s="129">
        <v>-3711</v>
      </c>
      <c r="CG299" s="129">
        <v>0</v>
      </c>
      <c r="CH299" s="129">
        <v>-3711</v>
      </c>
      <c r="CI299" s="129">
        <v>-742</v>
      </c>
      <c r="CJ299" s="129">
        <v>0</v>
      </c>
      <c r="CK299" s="129">
        <v>-742</v>
      </c>
      <c r="CL299" s="129">
        <v>0</v>
      </c>
      <c r="CM299" s="129">
        <v>0</v>
      </c>
      <c r="CN299" s="129">
        <v>0</v>
      </c>
      <c r="CO299" s="129">
        <v>0</v>
      </c>
      <c r="CP299" s="129">
        <v>-256861</v>
      </c>
      <c r="CQ299" s="129">
        <v>-256861</v>
      </c>
      <c r="CR299" s="129">
        <v>-256861</v>
      </c>
      <c r="CS299" s="129">
        <v>0</v>
      </c>
      <c r="CT299" s="129">
        <v>-545961</v>
      </c>
      <c r="CU299" s="129">
        <v>-259146</v>
      </c>
      <c r="CV299" s="129">
        <v>0</v>
      </c>
      <c r="CW299" s="129">
        <v>0</v>
      </c>
      <c r="CX299" s="129">
        <v>-545961</v>
      </c>
      <c r="CY299" s="129">
        <v>-259146</v>
      </c>
      <c r="CZ299" s="129">
        <v>-805107</v>
      </c>
      <c r="DA299" s="129">
        <v>-127361</v>
      </c>
      <c r="DB299" s="129">
        <v>0</v>
      </c>
      <c r="DC299" s="129">
        <v>-127361</v>
      </c>
      <c r="DD299" s="129">
        <v>-64494</v>
      </c>
      <c r="DE299" s="129">
        <v>0</v>
      </c>
      <c r="DF299" s="129">
        <v>-64494</v>
      </c>
      <c r="DG299" s="129">
        <v>0</v>
      </c>
      <c r="DH299" s="129">
        <v>0</v>
      </c>
      <c r="DI299" s="129">
        <v>0</v>
      </c>
      <c r="DJ299" s="129">
        <v>-191855</v>
      </c>
      <c r="DK299" s="129">
        <v>0</v>
      </c>
      <c r="DL299" s="129">
        <v>0</v>
      </c>
      <c r="DM299" s="129">
        <v>0</v>
      </c>
      <c r="DN299" s="129">
        <v>-191855</v>
      </c>
      <c r="DO299" s="129">
        <v>0</v>
      </c>
      <c r="DP299" s="129">
        <v>-191855</v>
      </c>
      <c r="DQ299" s="129">
        <v>180448332</v>
      </c>
      <c r="DR299" s="129">
        <v>5257872</v>
      </c>
      <c r="DS299" s="129">
        <v>185706204</v>
      </c>
      <c r="DT299" s="662" t="s">
        <v>1093</v>
      </c>
      <c r="DU299" s="324" t="s">
        <v>486</v>
      </c>
      <c r="DV299" s="663" t="s">
        <v>1026</v>
      </c>
      <c r="DW299" s="529" t="s">
        <v>1541</v>
      </c>
    </row>
    <row r="300" spans="1:127" ht="12.75" x14ac:dyDescent="0.2">
      <c r="A300" s="664">
        <v>293</v>
      </c>
      <c r="B300" s="665" t="s">
        <v>451</v>
      </c>
      <c r="C300" s="666" t="s">
        <v>1201</v>
      </c>
      <c r="D300" s="667" t="s">
        <v>1202</v>
      </c>
      <c r="E300" s="668" t="s">
        <v>450</v>
      </c>
      <c r="F300" s="753" t="s">
        <v>1882</v>
      </c>
      <c r="G300" s="129">
        <v>101560630</v>
      </c>
      <c r="H300" s="129">
        <v>0</v>
      </c>
      <c r="I300" s="129">
        <v>101560630</v>
      </c>
      <c r="J300" s="793">
        <v>49.9</v>
      </c>
      <c r="K300" s="129">
        <v>50678754</v>
      </c>
      <c r="L300" s="129">
        <v>0</v>
      </c>
      <c r="M300" s="129">
        <v>-31756</v>
      </c>
      <c r="N300" s="129">
        <v>0</v>
      </c>
      <c r="O300" s="129">
        <v>50646998</v>
      </c>
      <c r="P300" s="129">
        <v>0</v>
      </c>
      <c r="Q300" s="129">
        <v>50646998</v>
      </c>
      <c r="R300" s="129">
        <v>-202299</v>
      </c>
      <c r="S300" s="129">
        <v>0</v>
      </c>
      <c r="T300" s="129">
        <v>-202299</v>
      </c>
      <c r="U300" s="129">
        <v>0</v>
      </c>
      <c r="V300" s="129">
        <v>0</v>
      </c>
      <c r="W300" s="129">
        <v>0</v>
      </c>
      <c r="X300" s="129">
        <v>-202299</v>
      </c>
      <c r="Y300" s="129">
        <v>0</v>
      </c>
      <c r="Z300" s="129">
        <v>0</v>
      </c>
      <c r="AA300" s="129">
        <v>0</v>
      </c>
      <c r="AB300" s="129">
        <v>-202299</v>
      </c>
      <c r="AC300" s="129">
        <v>0</v>
      </c>
      <c r="AD300" s="129">
        <v>-202299</v>
      </c>
      <c r="AE300" s="129">
        <v>202299</v>
      </c>
      <c r="AF300" s="129">
        <v>0</v>
      </c>
      <c r="AG300" s="129">
        <v>202299</v>
      </c>
      <c r="AH300" s="129">
        <v>-4505273</v>
      </c>
      <c r="AI300" s="129">
        <v>0</v>
      </c>
      <c r="AJ300" s="129">
        <v>-4505273</v>
      </c>
      <c r="AK300" s="129">
        <v>-10230</v>
      </c>
      <c r="AL300" s="129">
        <v>0</v>
      </c>
      <c r="AM300" s="129">
        <v>-10230</v>
      </c>
      <c r="AN300" s="129">
        <v>812325</v>
      </c>
      <c r="AO300" s="129">
        <v>0</v>
      </c>
      <c r="AP300" s="129">
        <v>812325</v>
      </c>
      <c r="AQ300" s="129">
        <v>-3692948</v>
      </c>
      <c r="AR300" s="129">
        <v>0</v>
      </c>
      <c r="AS300" s="129">
        <v>-3692948</v>
      </c>
      <c r="AT300" s="129">
        <v>-3502082</v>
      </c>
      <c r="AU300" s="129">
        <v>0</v>
      </c>
      <c r="AV300" s="129">
        <v>-3502082</v>
      </c>
      <c r="AW300" s="129">
        <v>-55388</v>
      </c>
      <c r="AX300" s="129">
        <v>0</v>
      </c>
      <c r="AY300" s="129">
        <v>-55388</v>
      </c>
      <c r="AZ300" s="129">
        <v>-30521</v>
      </c>
      <c r="BA300" s="129">
        <v>0</v>
      </c>
      <c r="BB300" s="129">
        <v>-30521</v>
      </c>
      <c r="BC300" s="129">
        <v>0</v>
      </c>
      <c r="BD300" s="129">
        <v>0</v>
      </c>
      <c r="BE300" s="129">
        <v>0</v>
      </c>
      <c r="BF300" s="129">
        <v>-7280939</v>
      </c>
      <c r="BG300" s="129">
        <v>0</v>
      </c>
      <c r="BH300" s="129">
        <v>0</v>
      </c>
      <c r="BI300" s="129">
        <v>0</v>
      </c>
      <c r="BJ300" s="129">
        <v>-7280939</v>
      </c>
      <c r="BK300" s="129">
        <v>0</v>
      </c>
      <c r="BL300" s="129">
        <v>-7280939</v>
      </c>
      <c r="BM300" s="129">
        <v>0</v>
      </c>
      <c r="BN300" s="129">
        <v>0</v>
      </c>
      <c r="BO300" s="129">
        <v>0</v>
      </c>
      <c r="BP300" s="129">
        <v>-1060749</v>
      </c>
      <c r="BQ300" s="129">
        <v>0</v>
      </c>
      <c r="BR300" s="129">
        <v>-1060749</v>
      </c>
      <c r="BS300" s="129">
        <v>-1060749</v>
      </c>
      <c r="BT300" s="129">
        <v>0</v>
      </c>
      <c r="BU300" s="129">
        <v>0</v>
      </c>
      <c r="BV300" s="129">
        <v>0</v>
      </c>
      <c r="BW300" s="129">
        <v>-1060749</v>
      </c>
      <c r="BX300" s="129">
        <v>0</v>
      </c>
      <c r="BY300" s="129">
        <v>-1060749</v>
      </c>
      <c r="BZ300" s="129">
        <v>-80097</v>
      </c>
      <c r="CA300" s="129">
        <v>0</v>
      </c>
      <c r="CB300" s="129">
        <v>-80097</v>
      </c>
      <c r="CC300" s="129">
        <v>-4480</v>
      </c>
      <c r="CD300" s="129">
        <v>0</v>
      </c>
      <c r="CE300" s="129">
        <v>-4480</v>
      </c>
      <c r="CF300" s="129">
        <v>0</v>
      </c>
      <c r="CG300" s="129">
        <v>0</v>
      </c>
      <c r="CH300" s="129">
        <v>0</v>
      </c>
      <c r="CI300" s="129">
        <v>0</v>
      </c>
      <c r="CJ300" s="129">
        <v>0</v>
      </c>
      <c r="CK300" s="129">
        <v>0</v>
      </c>
      <c r="CL300" s="129">
        <v>0</v>
      </c>
      <c r="CM300" s="129">
        <v>0</v>
      </c>
      <c r="CN300" s="129">
        <v>0</v>
      </c>
      <c r="CO300" s="129">
        <v>0</v>
      </c>
      <c r="CP300" s="129">
        <v>0</v>
      </c>
      <c r="CQ300" s="129">
        <v>0</v>
      </c>
      <c r="CR300" s="129">
        <v>0</v>
      </c>
      <c r="CS300" s="129">
        <v>0</v>
      </c>
      <c r="CT300" s="129">
        <v>-84577</v>
      </c>
      <c r="CU300" s="129">
        <v>0</v>
      </c>
      <c r="CV300" s="129">
        <v>0</v>
      </c>
      <c r="CW300" s="129">
        <v>0</v>
      </c>
      <c r="CX300" s="129">
        <v>-84577</v>
      </c>
      <c r="CY300" s="129">
        <v>0</v>
      </c>
      <c r="CZ300" s="129">
        <v>-84577</v>
      </c>
      <c r="DA300" s="129">
        <v>-30521</v>
      </c>
      <c r="DB300" s="129">
        <v>0</v>
      </c>
      <c r="DC300" s="129">
        <v>-30521</v>
      </c>
      <c r="DD300" s="129">
        <v>-62198</v>
      </c>
      <c r="DE300" s="129">
        <v>0</v>
      </c>
      <c r="DF300" s="129">
        <v>-62198</v>
      </c>
      <c r="DG300" s="129">
        <v>0</v>
      </c>
      <c r="DH300" s="129">
        <v>0</v>
      </c>
      <c r="DI300" s="129">
        <v>0</v>
      </c>
      <c r="DJ300" s="129">
        <v>-92719</v>
      </c>
      <c r="DK300" s="129">
        <v>0</v>
      </c>
      <c r="DL300" s="129">
        <v>0</v>
      </c>
      <c r="DM300" s="129">
        <v>0</v>
      </c>
      <c r="DN300" s="129">
        <v>-92719</v>
      </c>
      <c r="DO300" s="129">
        <v>0</v>
      </c>
      <c r="DP300" s="129">
        <v>-92719</v>
      </c>
      <c r="DQ300" s="129">
        <v>41925715</v>
      </c>
      <c r="DR300" s="129">
        <v>0</v>
      </c>
      <c r="DS300" s="129">
        <v>41925715</v>
      </c>
      <c r="DT300" s="662" t="s">
        <v>450</v>
      </c>
      <c r="DU300" s="324" t="s">
        <v>560</v>
      </c>
      <c r="DV300" s="663" t="s">
        <v>512</v>
      </c>
      <c r="DW300" s="529" t="s">
        <v>1505</v>
      </c>
    </row>
    <row r="301" spans="1:127" ht="12.75" x14ac:dyDescent="0.2">
      <c r="A301" s="664">
        <v>294</v>
      </c>
      <c r="B301" s="665" t="s">
        <v>1025</v>
      </c>
      <c r="C301" s="666" t="s">
        <v>1201</v>
      </c>
      <c r="D301" s="667" t="s">
        <v>1224</v>
      </c>
      <c r="E301" s="668" t="s">
        <v>1024</v>
      </c>
      <c r="F301" s="753" t="s">
        <v>1879</v>
      </c>
      <c r="G301" s="129">
        <v>177876275</v>
      </c>
      <c r="H301" s="129">
        <v>1665000</v>
      </c>
      <c r="I301" s="129">
        <v>179541275</v>
      </c>
      <c r="J301" s="793">
        <v>49.9</v>
      </c>
      <c r="K301" s="129">
        <v>88760261</v>
      </c>
      <c r="L301" s="129">
        <v>830835</v>
      </c>
      <c r="M301" s="129">
        <v>0</v>
      </c>
      <c r="N301" s="129">
        <v>349000</v>
      </c>
      <c r="O301" s="129">
        <v>88760261</v>
      </c>
      <c r="P301" s="129">
        <v>1179835</v>
      </c>
      <c r="Q301" s="129">
        <v>89940096</v>
      </c>
      <c r="R301" s="129">
        <v>-118169</v>
      </c>
      <c r="S301" s="129">
        <v>0</v>
      </c>
      <c r="T301" s="129">
        <v>-118169</v>
      </c>
      <c r="U301" s="129">
        <v>65997</v>
      </c>
      <c r="V301" s="129">
        <v>0</v>
      </c>
      <c r="W301" s="129">
        <v>65997</v>
      </c>
      <c r="X301" s="129">
        <v>-52172</v>
      </c>
      <c r="Y301" s="129">
        <v>0</v>
      </c>
      <c r="Z301" s="129">
        <v>0</v>
      </c>
      <c r="AA301" s="129">
        <v>0</v>
      </c>
      <c r="AB301" s="129">
        <v>-52172</v>
      </c>
      <c r="AC301" s="129">
        <v>0</v>
      </c>
      <c r="AD301" s="129">
        <v>-52172</v>
      </c>
      <c r="AE301" s="129">
        <v>52172</v>
      </c>
      <c r="AF301" s="129">
        <v>0</v>
      </c>
      <c r="AG301" s="129">
        <v>52172</v>
      </c>
      <c r="AH301" s="129">
        <v>-6402904</v>
      </c>
      <c r="AI301" s="129">
        <v>0</v>
      </c>
      <c r="AJ301" s="129">
        <v>-6402904</v>
      </c>
      <c r="AK301" s="129">
        <v>0</v>
      </c>
      <c r="AL301" s="129">
        <v>0</v>
      </c>
      <c r="AM301" s="129">
        <v>0</v>
      </c>
      <c r="AN301" s="129">
        <v>1597269</v>
      </c>
      <c r="AO301" s="129">
        <v>21645</v>
      </c>
      <c r="AP301" s="129">
        <v>1618914</v>
      </c>
      <c r="AQ301" s="129">
        <v>-4805635</v>
      </c>
      <c r="AR301" s="129">
        <v>21645</v>
      </c>
      <c r="AS301" s="129">
        <v>-4783990</v>
      </c>
      <c r="AT301" s="129">
        <v>-5150616</v>
      </c>
      <c r="AU301" s="129">
        <v>0</v>
      </c>
      <c r="AV301" s="129">
        <v>-5150616</v>
      </c>
      <c r="AW301" s="129">
        <v>-37556</v>
      </c>
      <c r="AX301" s="129">
        <v>0</v>
      </c>
      <c r="AY301" s="129">
        <v>-37556</v>
      </c>
      <c r="AZ301" s="129">
        <v>-49030</v>
      </c>
      <c r="BA301" s="129">
        <v>0</v>
      </c>
      <c r="BB301" s="129">
        <v>-49030</v>
      </c>
      <c r="BC301" s="129">
        <v>0</v>
      </c>
      <c r="BD301" s="129">
        <v>0</v>
      </c>
      <c r="BE301" s="129">
        <v>0</v>
      </c>
      <c r="BF301" s="129">
        <v>-10042837</v>
      </c>
      <c r="BG301" s="129">
        <v>21645</v>
      </c>
      <c r="BH301" s="129">
        <v>0</v>
      </c>
      <c r="BI301" s="129">
        <v>0</v>
      </c>
      <c r="BJ301" s="129">
        <v>-10042837</v>
      </c>
      <c r="BK301" s="129">
        <v>21645</v>
      </c>
      <c r="BL301" s="129">
        <v>-10021192</v>
      </c>
      <c r="BM301" s="129">
        <v>0</v>
      </c>
      <c r="BN301" s="129">
        <v>0</v>
      </c>
      <c r="BO301" s="129">
        <v>0</v>
      </c>
      <c r="BP301" s="129">
        <v>-1873593</v>
      </c>
      <c r="BQ301" s="129">
        <v>0</v>
      </c>
      <c r="BR301" s="129">
        <v>-1873593</v>
      </c>
      <c r="BS301" s="129">
        <v>-1873593</v>
      </c>
      <c r="BT301" s="129">
        <v>0</v>
      </c>
      <c r="BU301" s="129">
        <v>0</v>
      </c>
      <c r="BV301" s="129">
        <v>0</v>
      </c>
      <c r="BW301" s="129">
        <v>-1873593</v>
      </c>
      <c r="BX301" s="129">
        <v>0</v>
      </c>
      <c r="BY301" s="129">
        <v>-1873593</v>
      </c>
      <c r="BZ301" s="129">
        <v>-69222</v>
      </c>
      <c r="CA301" s="129">
        <v>0</v>
      </c>
      <c r="CB301" s="129">
        <v>-69222</v>
      </c>
      <c r="CC301" s="129">
        <v>-19995</v>
      </c>
      <c r="CD301" s="129">
        <v>0</v>
      </c>
      <c r="CE301" s="129">
        <v>-19995</v>
      </c>
      <c r="CF301" s="129">
        <v>-5171</v>
      </c>
      <c r="CG301" s="129">
        <v>0</v>
      </c>
      <c r="CH301" s="129">
        <v>-5171</v>
      </c>
      <c r="CI301" s="129">
        <v>-947</v>
      </c>
      <c r="CJ301" s="129">
        <v>0</v>
      </c>
      <c r="CK301" s="129">
        <v>-947</v>
      </c>
      <c r="CL301" s="129">
        <v>-1302</v>
      </c>
      <c r="CM301" s="129">
        <v>0</v>
      </c>
      <c r="CN301" s="129">
        <v>-1302</v>
      </c>
      <c r="CO301" s="129">
        <v>0</v>
      </c>
      <c r="CP301" s="129">
        <v>0</v>
      </c>
      <c r="CQ301" s="129">
        <v>0</v>
      </c>
      <c r="CR301" s="129">
        <v>0</v>
      </c>
      <c r="CS301" s="129">
        <v>0</v>
      </c>
      <c r="CT301" s="129">
        <v>-96637</v>
      </c>
      <c r="CU301" s="129">
        <v>0</v>
      </c>
      <c r="CV301" s="129">
        <v>0</v>
      </c>
      <c r="CW301" s="129">
        <v>0</v>
      </c>
      <c r="CX301" s="129">
        <v>-96637</v>
      </c>
      <c r="CY301" s="129">
        <v>0</v>
      </c>
      <c r="CZ301" s="129">
        <v>-96637</v>
      </c>
      <c r="DA301" s="129">
        <v>-48083</v>
      </c>
      <c r="DB301" s="129">
        <v>0</v>
      </c>
      <c r="DC301" s="129">
        <v>-48083</v>
      </c>
      <c r="DD301" s="129">
        <v>-12795</v>
      </c>
      <c r="DE301" s="129">
        <v>0</v>
      </c>
      <c r="DF301" s="129">
        <v>-12795</v>
      </c>
      <c r="DG301" s="129">
        <v>-1500</v>
      </c>
      <c r="DH301" s="129">
        <v>0</v>
      </c>
      <c r="DI301" s="129">
        <v>-1500</v>
      </c>
      <c r="DJ301" s="129">
        <v>-62378</v>
      </c>
      <c r="DK301" s="129">
        <v>0</v>
      </c>
      <c r="DL301" s="129">
        <v>0</v>
      </c>
      <c r="DM301" s="129">
        <v>0</v>
      </c>
      <c r="DN301" s="129">
        <v>-62378</v>
      </c>
      <c r="DO301" s="129">
        <v>0</v>
      </c>
      <c r="DP301" s="129">
        <v>-62378</v>
      </c>
      <c r="DQ301" s="129">
        <v>76632644</v>
      </c>
      <c r="DR301" s="129">
        <v>1201480</v>
      </c>
      <c r="DS301" s="129">
        <v>77834124</v>
      </c>
      <c r="DT301" s="662" t="s">
        <v>1024</v>
      </c>
      <c r="DU301" s="324" t="s">
        <v>562</v>
      </c>
      <c r="DV301" s="663" t="s">
        <v>512</v>
      </c>
      <c r="DW301" s="529" t="s">
        <v>1506</v>
      </c>
    </row>
    <row r="302" spans="1:127" ht="12.75" x14ac:dyDescent="0.2">
      <c r="A302" s="664">
        <v>295</v>
      </c>
      <c r="B302" s="665" t="s">
        <v>453</v>
      </c>
      <c r="C302" s="666" t="s">
        <v>1257</v>
      </c>
      <c r="D302" s="667" t="s">
        <v>1214</v>
      </c>
      <c r="E302" s="668" t="s">
        <v>452</v>
      </c>
      <c r="F302" s="753" t="s">
        <v>1884</v>
      </c>
      <c r="G302" s="129">
        <v>5049562782</v>
      </c>
      <c r="H302" s="129">
        <v>0</v>
      </c>
      <c r="I302" s="129">
        <v>5049562782</v>
      </c>
      <c r="J302" s="793">
        <v>49.9</v>
      </c>
      <c r="K302" s="129">
        <v>2519731828</v>
      </c>
      <c r="L302" s="129">
        <v>0</v>
      </c>
      <c r="M302" s="129">
        <v>0</v>
      </c>
      <c r="N302" s="129">
        <v>0</v>
      </c>
      <c r="O302" s="129">
        <v>2519731828</v>
      </c>
      <c r="P302" s="129">
        <v>0</v>
      </c>
      <c r="Q302" s="129">
        <v>2519731828</v>
      </c>
      <c r="R302" s="129">
        <v>-2453439</v>
      </c>
      <c r="S302" s="129">
        <v>0</v>
      </c>
      <c r="T302" s="129">
        <v>-2453439</v>
      </c>
      <c r="U302" s="129">
        <v>730901</v>
      </c>
      <c r="V302" s="129">
        <v>0</v>
      </c>
      <c r="W302" s="129">
        <v>730901</v>
      </c>
      <c r="X302" s="129">
        <v>-1722538</v>
      </c>
      <c r="Y302" s="129">
        <v>0</v>
      </c>
      <c r="Z302" s="129">
        <v>0</v>
      </c>
      <c r="AA302" s="129">
        <v>0</v>
      </c>
      <c r="AB302" s="129">
        <v>-1722538</v>
      </c>
      <c r="AC302" s="129">
        <v>0</v>
      </c>
      <c r="AD302" s="129">
        <v>-1722538</v>
      </c>
      <c r="AE302" s="129">
        <v>1722538</v>
      </c>
      <c r="AF302" s="129">
        <v>0</v>
      </c>
      <c r="AG302" s="129">
        <v>1722538</v>
      </c>
      <c r="AH302" s="129">
        <v>-7903166</v>
      </c>
      <c r="AI302" s="129">
        <v>0</v>
      </c>
      <c r="AJ302" s="129">
        <v>-7903166</v>
      </c>
      <c r="AK302" s="129">
        <v>0</v>
      </c>
      <c r="AL302" s="129">
        <v>0</v>
      </c>
      <c r="AM302" s="129">
        <v>0</v>
      </c>
      <c r="AN302" s="129">
        <v>61818503</v>
      </c>
      <c r="AO302" s="129">
        <v>0</v>
      </c>
      <c r="AP302" s="129">
        <v>61818503</v>
      </c>
      <c r="AQ302" s="129">
        <v>53915337</v>
      </c>
      <c r="AR302" s="129">
        <v>0</v>
      </c>
      <c r="AS302" s="129">
        <v>53915337</v>
      </c>
      <c r="AT302" s="129">
        <v>-81128592</v>
      </c>
      <c r="AU302" s="129">
        <v>0</v>
      </c>
      <c r="AV302" s="129">
        <v>-81128592</v>
      </c>
      <c r="AW302" s="129">
        <v>-26166</v>
      </c>
      <c r="AX302" s="129">
        <v>0</v>
      </c>
      <c r="AY302" s="129">
        <v>-26166</v>
      </c>
      <c r="AZ302" s="129">
        <v>0</v>
      </c>
      <c r="BA302" s="129">
        <v>0</v>
      </c>
      <c r="BB302" s="129">
        <v>0</v>
      </c>
      <c r="BC302" s="129">
        <v>0</v>
      </c>
      <c r="BD302" s="129">
        <v>0</v>
      </c>
      <c r="BE302" s="129">
        <v>0</v>
      </c>
      <c r="BF302" s="129">
        <v>-27239421</v>
      </c>
      <c r="BG302" s="129">
        <v>0</v>
      </c>
      <c r="BH302" s="129">
        <v>0</v>
      </c>
      <c r="BI302" s="129">
        <v>0</v>
      </c>
      <c r="BJ302" s="129">
        <v>-27239421</v>
      </c>
      <c r="BK302" s="129">
        <v>0</v>
      </c>
      <c r="BL302" s="129">
        <v>-27239421</v>
      </c>
      <c r="BM302" s="129">
        <v>-393039</v>
      </c>
      <c r="BN302" s="129">
        <v>0</v>
      </c>
      <c r="BO302" s="129">
        <v>-393039</v>
      </c>
      <c r="BP302" s="129">
        <v>-151622686</v>
      </c>
      <c r="BQ302" s="129">
        <v>0</v>
      </c>
      <c r="BR302" s="129">
        <v>-151622686</v>
      </c>
      <c r="BS302" s="129">
        <v>-152015725</v>
      </c>
      <c r="BT302" s="129">
        <v>0</v>
      </c>
      <c r="BU302" s="129">
        <v>0</v>
      </c>
      <c r="BV302" s="129">
        <v>0</v>
      </c>
      <c r="BW302" s="129">
        <v>-152015725</v>
      </c>
      <c r="BX302" s="129">
        <v>0</v>
      </c>
      <c r="BY302" s="129">
        <v>-152015725</v>
      </c>
      <c r="BZ302" s="129">
        <v>-223994</v>
      </c>
      <c r="CA302" s="129">
        <v>0</v>
      </c>
      <c r="CB302" s="129">
        <v>-223994</v>
      </c>
      <c r="CC302" s="129">
        <v>-3451</v>
      </c>
      <c r="CD302" s="129">
        <v>0</v>
      </c>
      <c r="CE302" s="129">
        <v>-3451</v>
      </c>
      <c r="CF302" s="129">
        <v>-1510</v>
      </c>
      <c r="CG302" s="129">
        <v>0</v>
      </c>
      <c r="CH302" s="129">
        <v>-1510</v>
      </c>
      <c r="CI302" s="129">
        <v>0</v>
      </c>
      <c r="CJ302" s="129">
        <v>0</v>
      </c>
      <c r="CK302" s="129">
        <v>0</v>
      </c>
      <c r="CL302" s="129">
        <v>0</v>
      </c>
      <c r="CM302" s="129">
        <v>0</v>
      </c>
      <c r="CN302" s="129">
        <v>0</v>
      </c>
      <c r="CO302" s="129">
        <v>-74240</v>
      </c>
      <c r="CP302" s="129">
        <v>0</v>
      </c>
      <c r="CQ302" s="129">
        <v>-74240</v>
      </c>
      <c r="CR302" s="129">
        <v>0</v>
      </c>
      <c r="CS302" s="129">
        <v>0</v>
      </c>
      <c r="CT302" s="129">
        <v>-303195</v>
      </c>
      <c r="CU302" s="129">
        <v>0</v>
      </c>
      <c r="CV302" s="129">
        <v>0</v>
      </c>
      <c r="CW302" s="129">
        <v>0</v>
      </c>
      <c r="CX302" s="129">
        <v>-303195</v>
      </c>
      <c r="CY302" s="129">
        <v>0</v>
      </c>
      <c r="CZ302" s="129">
        <v>-303195</v>
      </c>
      <c r="DA302" s="129">
        <v>0</v>
      </c>
      <c r="DB302" s="129">
        <v>0</v>
      </c>
      <c r="DC302" s="129">
        <v>0</v>
      </c>
      <c r="DD302" s="129">
        <v>-49584</v>
      </c>
      <c r="DE302" s="129">
        <v>0</v>
      </c>
      <c r="DF302" s="129">
        <v>-49584</v>
      </c>
      <c r="DG302" s="129">
        <v>0</v>
      </c>
      <c r="DH302" s="129">
        <v>0</v>
      </c>
      <c r="DI302" s="129">
        <v>0</v>
      </c>
      <c r="DJ302" s="129">
        <v>-49584</v>
      </c>
      <c r="DK302" s="129">
        <v>0</v>
      </c>
      <c r="DL302" s="129">
        <v>0</v>
      </c>
      <c r="DM302" s="129">
        <v>0</v>
      </c>
      <c r="DN302" s="129">
        <v>-49584</v>
      </c>
      <c r="DO302" s="129">
        <v>0</v>
      </c>
      <c r="DP302" s="129">
        <v>-49584</v>
      </c>
      <c r="DQ302" s="129">
        <v>2338401365</v>
      </c>
      <c r="DR302" s="129">
        <v>0</v>
      </c>
      <c r="DS302" s="129">
        <v>2338401365</v>
      </c>
      <c r="DT302" s="662" t="s">
        <v>452</v>
      </c>
      <c r="DU302" s="324" t="s">
        <v>576</v>
      </c>
      <c r="DV302" s="669" t="s">
        <v>485</v>
      </c>
      <c r="DW302" s="529" t="s">
        <v>1507</v>
      </c>
    </row>
    <row r="303" spans="1:127" ht="12.75" x14ac:dyDescent="0.2">
      <c r="A303" s="664">
        <v>296</v>
      </c>
      <c r="B303" s="665" t="s">
        <v>455</v>
      </c>
      <c r="C303" s="671" t="s">
        <v>1217</v>
      </c>
      <c r="D303" s="672" t="s">
        <v>1204</v>
      </c>
      <c r="E303" s="668" t="s">
        <v>454</v>
      </c>
      <c r="F303" s="753"/>
      <c r="G303" s="129">
        <v>212645116</v>
      </c>
      <c r="H303" s="129">
        <v>0</v>
      </c>
      <c r="I303" s="129">
        <v>212645116</v>
      </c>
      <c r="J303" s="793">
        <v>49.9</v>
      </c>
      <c r="K303" s="129">
        <v>106109913</v>
      </c>
      <c r="L303" s="129">
        <v>0</v>
      </c>
      <c r="M303" s="129">
        <v>0</v>
      </c>
      <c r="N303" s="129">
        <v>0</v>
      </c>
      <c r="O303" s="129">
        <v>106109913</v>
      </c>
      <c r="P303" s="129">
        <v>0</v>
      </c>
      <c r="Q303" s="129">
        <v>106109913</v>
      </c>
      <c r="R303" s="129">
        <v>-155428</v>
      </c>
      <c r="S303" s="129">
        <v>0</v>
      </c>
      <c r="T303" s="129">
        <v>-155428</v>
      </c>
      <c r="U303" s="129">
        <v>1107872</v>
      </c>
      <c r="V303" s="129">
        <v>0</v>
      </c>
      <c r="W303" s="129">
        <v>1107872</v>
      </c>
      <c r="X303" s="129">
        <v>952444</v>
      </c>
      <c r="Y303" s="129">
        <v>0</v>
      </c>
      <c r="Z303" s="129">
        <v>0</v>
      </c>
      <c r="AA303" s="129">
        <v>0</v>
      </c>
      <c r="AB303" s="129">
        <v>952444</v>
      </c>
      <c r="AC303" s="129">
        <v>0</v>
      </c>
      <c r="AD303" s="129">
        <v>952444</v>
      </c>
      <c r="AE303" s="129">
        <v>-952444</v>
      </c>
      <c r="AF303" s="129">
        <v>0</v>
      </c>
      <c r="AG303" s="129">
        <v>-952444</v>
      </c>
      <c r="AH303" s="129">
        <v>-12137575</v>
      </c>
      <c r="AI303" s="129">
        <v>0</v>
      </c>
      <c r="AJ303" s="129">
        <v>-12137575</v>
      </c>
      <c r="AK303" s="129">
        <v>-22291</v>
      </c>
      <c r="AL303" s="129">
        <v>0</v>
      </c>
      <c r="AM303" s="129">
        <v>-22291</v>
      </c>
      <c r="AN303" s="129">
        <v>1814197</v>
      </c>
      <c r="AO303" s="129">
        <v>0</v>
      </c>
      <c r="AP303" s="129">
        <v>1814197</v>
      </c>
      <c r="AQ303" s="129">
        <v>-10323378</v>
      </c>
      <c r="AR303" s="129">
        <v>0</v>
      </c>
      <c r="AS303" s="129">
        <v>-10323378</v>
      </c>
      <c r="AT303" s="129">
        <v>-5401268</v>
      </c>
      <c r="AU303" s="129">
        <v>0</v>
      </c>
      <c r="AV303" s="129">
        <v>-5401268</v>
      </c>
      <c r="AW303" s="129">
        <v>-157691</v>
      </c>
      <c r="AX303" s="129">
        <v>0</v>
      </c>
      <c r="AY303" s="129">
        <v>-157691</v>
      </c>
      <c r="AZ303" s="129">
        <v>0</v>
      </c>
      <c r="BA303" s="129">
        <v>0</v>
      </c>
      <c r="BB303" s="129">
        <v>0</v>
      </c>
      <c r="BC303" s="129">
        <v>0</v>
      </c>
      <c r="BD303" s="129">
        <v>0</v>
      </c>
      <c r="BE303" s="129">
        <v>0</v>
      </c>
      <c r="BF303" s="129">
        <v>-15882337</v>
      </c>
      <c r="BG303" s="129">
        <v>0</v>
      </c>
      <c r="BH303" s="129">
        <v>0</v>
      </c>
      <c r="BI303" s="129">
        <v>0</v>
      </c>
      <c r="BJ303" s="129">
        <v>-15882337</v>
      </c>
      <c r="BK303" s="129">
        <v>0</v>
      </c>
      <c r="BL303" s="129">
        <v>-15882337</v>
      </c>
      <c r="BM303" s="129">
        <v>0</v>
      </c>
      <c r="BN303" s="129">
        <v>0</v>
      </c>
      <c r="BO303" s="129">
        <v>0</v>
      </c>
      <c r="BP303" s="129">
        <v>-2392335</v>
      </c>
      <c r="BQ303" s="129">
        <v>0</v>
      </c>
      <c r="BR303" s="129">
        <v>-2392335</v>
      </c>
      <c r="BS303" s="129">
        <v>-2392335</v>
      </c>
      <c r="BT303" s="129">
        <v>0</v>
      </c>
      <c r="BU303" s="129">
        <v>0</v>
      </c>
      <c r="BV303" s="129">
        <v>0</v>
      </c>
      <c r="BW303" s="129">
        <v>-2392335</v>
      </c>
      <c r="BX303" s="129">
        <v>0</v>
      </c>
      <c r="BY303" s="129">
        <v>-2392335</v>
      </c>
      <c r="BZ303" s="129">
        <v>-482397</v>
      </c>
      <c r="CA303" s="129">
        <v>0</v>
      </c>
      <c r="CB303" s="129">
        <v>-482397</v>
      </c>
      <c r="CC303" s="129">
        <v>-175978</v>
      </c>
      <c r="CD303" s="129">
        <v>0</v>
      </c>
      <c r="CE303" s="129">
        <v>-175978</v>
      </c>
      <c r="CF303" s="129">
        <v>-7161</v>
      </c>
      <c r="CG303" s="129">
        <v>0</v>
      </c>
      <c r="CH303" s="129">
        <v>-7161</v>
      </c>
      <c r="CI303" s="129">
        <v>0</v>
      </c>
      <c r="CJ303" s="129">
        <v>0</v>
      </c>
      <c r="CK303" s="129">
        <v>0</v>
      </c>
      <c r="CL303" s="129">
        <v>0</v>
      </c>
      <c r="CM303" s="129">
        <v>0</v>
      </c>
      <c r="CN303" s="129">
        <v>0</v>
      </c>
      <c r="CO303" s="129">
        <v>0</v>
      </c>
      <c r="CP303" s="129">
        <v>0</v>
      </c>
      <c r="CQ303" s="129">
        <v>0</v>
      </c>
      <c r="CR303" s="129">
        <v>0</v>
      </c>
      <c r="CS303" s="129">
        <v>0</v>
      </c>
      <c r="CT303" s="129">
        <v>-665536</v>
      </c>
      <c r="CU303" s="129">
        <v>0</v>
      </c>
      <c r="CV303" s="129">
        <v>0</v>
      </c>
      <c r="CW303" s="129">
        <v>0</v>
      </c>
      <c r="CX303" s="129">
        <v>-665536</v>
      </c>
      <c r="CY303" s="129">
        <v>0</v>
      </c>
      <c r="CZ303" s="129">
        <v>-665536</v>
      </c>
      <c r="DA303" s="129">
        <v>0</v>
      </c>
      <c r="DB303" s="129">
        <v>0</v>
      </c>
      <c r="DC303" s="129">
        <v>0</v>
      </c>
      <c r="DD303" s="129">
        <v>-21734</v>
      </c>
      <c r="DE303" s="129">
        <v>0</v>
      </c>
      <c r="DF303" s="129">
        <v>-21734</v>
      </c>
      <c r="DG303" s="129">
        <v>0</v>
      </c>
      <c r="DH303" s="129">
        <v>0</v>
      </c>
      <c r="DI303" s="129">
        <v>0</v>
      </c>
      <c r="DJ303" s="129">
        <v>-21734</v>
      </c>
      <c r="DK303" s="129">
        <v>0</v>
      </c>
      <c r="DL303" s="129">
        <v>0</v>
      </c>
      <c r="DM303" s="129">
        <v>0</v>
      </c>
      <c r="DN303" s="129">
        <v>-21734</v>
      </c>
      <c r="DO303" s="129">
        <v>0</v>
      </c>
      <c r="DP303" s="129">
        <v>-21734</v>
      </c>
      <c r="DQ303" s="129">
        <v>88100415</v>
      </c>
      <c r="DR303" s="129">
        <v>0</v>
      </c>
      <c r="DS303" s="129">
        <v>88100415</v>
      </c>
      <c r="DT303" s="662" t="s">
        <v>454</v>
      </c>
      <c r="DU303" s="324" t="s">
        <v>570</v>
      </c>
      <c r="DV303" s="663" t="s">
        <v>1915</v>
      </c>
      <c r="DW303" s="529" t="s">
        <v>1508</v>
      </c>
    </row>
    <row r="304" spans="1:127" ht="12.75" x14ac:dyDescent="0.2">
      <c r="A304" s="664">
        <v>297</v>
      </c>
      <c r="B304" s="665" t="s">
        <v>457</v>
      </c>
      <c r="C304" s="666" t="s">
        <v>486</v>
      </c>
      <c r="D304" s="667" t="s">
        <v>1224</v>
      </c>
      <c r="E304" s="668" t="s">
        <v>456</v>
      </c>
      <c r="F304" s="753" t="s">
        <v>1875</v>
      </c>
      <c r="G304" s="129">
        <v>388923302</v>
      </c>
      <c r="H304" s="129">
        <v>0</v>
      </c>
      <c r="I304" s="129">
        <v>388923302</v>
      </c>
      <c r="J304" s="793">
        <v>49.9</v>
      </c>
      <c r="K304" s="129">
        <v>194072728</v>
      </c>
      <c r="L304" s="129">
        <v>0</v>
      </c>
      <c r="M304" s="129">
        <v>-1940727</v>
      </c>
      <c r="N304" s="129">
        <v>0</v>
      </c>
      <c r="O304" s="129">
        <v>192132001</v>
      </c>
      <c r="P304" s="129">
        <v>0</v>
      </c>
      <c r="Q304" s="129">
        <v>192132001</v>
      </c>
      <c r="R304" s="129">
        <v>-557125</v>
      </c>
      <c r="S304" s="129">
        <v>0</v>
      </c>
      <c r="T304" s="129">
        <v>-557125</v>
      </c>
      <c r="U304" s="129">
        <v>733540</v>
      </c>
      <c r="V304" s="129">
        <v>0</v>
      </c>
      <c r="W304" s="129">
        <v>733540</v>
      </c>
      <c r="X304" s="129">
        <v>176415</v>
      </c>
      <c r="Y304" s="129">
        <v>0</v>
      </c>
      <c r="Z304" s="129">
        <v>1764</v>
      </c>
      <c r="AA304" s="129">
        <v>0</v>
      </c>
      <c r="AB304" s="129">
        <v>178179</v>
      </c>
      <c r="AC304" s="129">
        <v>0</v>
      </c>
      <c r="AD304" s="129">
        <v>178179</v>
      </c>
      <c r="AE304" s="129">
        <v>-178179</v>
      </c>
      <c r="AF304" s="129">
        <v>0</v>
      </c>
      <c r="AG304" s="129">
        <v>-178179</v>
      </c>
      <c r="AH304" s="129">
        <v>-19420620</v>
      </c>
      <c r="AI304" s="129">
        <v>0</v>
      </c>
      <c r="AJ304" s="129">
        <v>-19420620</v>
      </c>
      <c r="AK304" s="129">
        <v>-66317</v>
      </c>
      <c r="AL304" s="129">
        <v>0</v>
      </c>
      <c r="AM304" s="129">
        <v>-66317</v>
      </c>
      <c r="AN304" s="129">
        <v>3402606</v>
      </c>
      <c r="AO304" s="129">
        <v>0</v>
      </c>
      <c r="AP304" s="129">
        <v>3402606</v>
      </c>
      <c r="AQ304" s="129">
        <v>-16018014</v>
      </c>
      <c r="AR304" s="129">
        <v>0</v>
      </c>
      <c r="AS304" s="129">
        <v>-16018014</v>
      </c>
      <c r="AT304" s="129">
        <v>-12779819</v>
      </c>
      <c r="AU304" s="129">
        <v>0</v>
      </c>
      <c r="AV304" s="129">
        <v>-12779819</v>
      </c>
      <c r="AW304" s="129">
        <v>-106458</v>
      </c>
      <c r="AX304" s="129">
        <v>0</v>
      </c>
      <c r="AY304" s="129">
        <v>-106458</v>
      </c>
      <c r="AZ304" s="129">
        <v>-144933</v>
      </c>
      <c r="BA304" s="129">
        <v>0</v>
      </c>
      <c r="BB304" s="129">
        <v>-144933</v>
      </c>
      <c r="BC304" s="129">
        <v>0</v>
      </c>
      <c r="BD304" s="129">
        <v>0</v>
      </c>
      <c r="BE304" s="129">
        <v>0</v>
      </c>
      <c r="BF304" s="129">
        <v>-29049224</v>
      </c>
      <c r="BG304" s="129">
        <v>0</v>
      </c>
      <c r="BH304" s="129">
        <v>-290492</v>
      </c>
      <c r="BI304" s="129">
        <v>0</v>
      </c>
      <c r="BJ304" s="129">
        <v>-29339716</v>
      </c>
      <c r="BK304" s="129">
        <v>0</v>
      </c>
      <c r="BL304" s="129">
        <v>-29339716</v>
      </c>
      <c r="BM304" s="129">
        <v>-30000</v>
      </c>
      <c r="BN304" s="129">
        <v>0</v>
      </c>
      <c r="BO304" s="129">
        <v>-30000</v>
      </c>
      <c r="BP304" s="129">
        <v>-3296083</v>
      </c>
      <c r="BQ304" s="129">
        <v>0</v>
      </c>
      <c r="BR304" s="129">
        <v>-3296083</v>
      </c>
      <c r="BS304" s="129">
        <v>-3326083</v>
      </c>
      <c r="BT304" s="129">
        <v>0</v>
      </c>
      <c r="BU304" s="129">
        <v>-329608</v>
      </c>
      <c r="BV304" s="129">
        <v>0</v>
      </c>
      <c r="BW304" s="129">
        <v>-3655691</v>
      </c>
      <c r="BX304" s="129">
        <v>0</v>
      </c>
      <c r="BY304" s="129">
        <v>-3655691</v>
      </c>
      <c r="BZ304" s="129">
        <v>-241958</v>
      </c>
      <c r="CA304" s="129">
        <v>0</v>
      </c>
      <c r="CB304" s="129">
        <v>-241958</v>
      </c>
      <c r="CC304" s="129">
        <v>-464001</v>
      </c>
      <c r="CD304" s="129">
        <v>0</v>
      </c>
      <c r="CE304" s="129">
        <v>-464001</v>
      </c>
      <c r="CF304" s="129">
        <v>-1599</v>
      </c>
      <c r="CG304" s="129">
        <v>0</v>
      </c>
      <c r="CH304" s="129">
        <v>-1599</v>
      </c>
      <c r="CI304" s="129">
        <v>0</v>
      </c>
      <c r="CJ304" s="129">
        <v>0</v>
      </c>
      <c r="CK304" s="129">
        <v>0</v>
      </c>
      <c r="CL304" s="129">
        <v>0</v>
      </c>
      <c r="CM304" s="129">
        <v>0</v>
      </c>
      <c r="CN304" s="129">
        <v>0</v>
      </c>
      <c r="CO304" s="129">
        <v>-50000</v>
      </c>
      <c r="CP304" s="129">
        <v>0</v>
      </c>
      <c r="CQ304" s="129">
        <v>-50000</v>
      </c>
      <c r="CR304" s="129">
        <v>0</v>
      </c>
      <c r="CS304" s="129">
        <v>0</v>
      </c>
      <c r="CT304" s="129">
        <v>-757558</v>
      </c>
      <c r="CU304" s="129">
        <v>0</v>
      </c>
      <c r="CV304" s="129">
        <v>-7576</v>
      </c>
      <c r="CW304" s="129">
        <v>0</v>
      </c>
      <c r="CX304" s="129">
        <v>-765134</v>
      </c>
      <c r="CY304" s="129">
        <v>0</v>
      </c>
      <c r="CZ304" s="129">
        <v>-765134</v>
      </c>
      <c r="DA304" s="129">
        <v>-143192</v>
      </c>
      <c r="DB304" s="129">
        <v>0</v>
      </c>
      <c r="DC304" s="129">
        <v>-143192</v>
      </c>
      <c r="DD304" s="129">
        <v>-172049</v>
      </c>
      <c r="DE304" s="129">
        <v>0</v>
      </c>
      <c r="DF304" s="129">
        <v>-172049</v>
      </c>
      <c r="DG304" s="129">
        <v>-1500</v>
      </c>
      <c r="DH304" s="129">
        <v>0</v>
      </c>
      <c r="DI304" s="129">
        <v>-1500</v>
      </c>
      <c r="DJ304" s="129">
        <v>-316741</v>
      </c>
      <c r="DK304" s="129">
        <v>0</v>
      </c>
      <c r="DL304" s="129">
        <v>-3167</v>
      </c>
      <c r="DM304" s="129">
        <v>0</v>
      </c>
      <c r="DN304" s="129">
        <v>-319908</v>
      </c>
      <c r="DO304" s="129">
        <v>0</v>
      </c>
      <c r="DP304" s="129">
        <v>-319908</v>
      </c>
      <c r="DQ304" s="129">
        <v>158229731</v>
      </c>
      <c r="DR304" s="129">
        <v>0</v>
      </c>
      <c r="DS304" s="129">
        <v>158229731</v>
      </c>
      <c r="DT304" s="662" t="s">
        <v>456</v>
      </c>
      <c r="DU304" s="324" t="s">
        <v>486</v>
      </c>
      <c r="DV304" s="663" t="s">
        <v>1916</v>
      </c>
      <c r="DW304" s="529" t="s">
        <v>1509</v>
      </c>
    </row>
    <row r="305" spans="1:127" ht="12.75" x14ac:dyDescent="0.2">
      <c r="A305" s="664">
        <v>298</v>
      </c>
      <c r="B305" s="665" t="s">
        <v>459</v>
      </c>
      <c r="C305" s="666" t="s">
        <v>1201</v>
      </c>
      <c r="D305" s="667" t="s">
        <v>1202</v>
      </c>
      <c r="E305" s="668" t="s">
        <v>458</v>
      </c>
      <c r="F305" s="753" t="s">
        <v>1891</v>
      </c>
      <c r="G305" s="129">
        <v>155276497</v>
      </c>
      <c r="H305" s="129">
        <v>0</v>
      </c>
      <c r="I305" s="129">
        <v>155276497</v>
      </c>
      <c r="J305" s="793">
        <v>49.9</v>
      </c>
      <c r="K305" s="129">
        <v>77482972</v>
      </c>
      <c r="L305" s="129">
        <v>0</v>
      </c>
      <c r="M305" s="129">
        <v>0</v>
      </c>
      <c r="N305" s="129">
        <v>0</v>
      </c>
      <c r="O305" s="129">
        <v>77482972</v>
      </c>
      <c r="P305" s="129">
        <v>0</v>
      </c>
      <c r="Q305" s="129">
        <v>77482972</v>
      </c>
      <c r="R305" s="129">
        <v>-246319</v>
      </c>
      <c r="S305" s="129">
        <v>0</v>
      </c>
      <c r="T305" s="129">
        <v>-246319</v>
      </c>
      <c r="U305" s="129">
        <v>281557</v>
      </c>
      <c r="V305" s="129">
        <v>0</v>
      </c>
      <c r="W305" s="129">
        <v>281557</v>
      </c>
      <c r="X305" s="129">
        <v>35238</v>
      </c>
      <c r="Y305" s="129">
        <v>0</v>
      </c>
      <c r="Z305" s="129">
        <v>0</v>
      </c>
      <c r="AA305" s="129">
        <v>0</v>
      </c>
      <c r="AB305" s="129">
        <v>35238</v>
      </c>
      <c r="AC305" s="129">
        <v>0</v>
      </c>
      <c r="AD305" s="129">
        <v>35238</v>
      </c>
      <c r="AE305" s="129">
        <v>-35238</v>
      </c>
      <c r="AF305" s="129">
        <v>0</v>
      </c>
      <c r="AG305" s="129">
        <v>-35238</v>
      </c>
      <c r="AH305" s="129">
        <v>-5009246</v>
      </c>
      <c r="AI305" s="129">
        <v>0</v>
      </c>
      <c r="AJ305" s="129">
        <v>-5009246</v>
      </c>
      <c r="AK305" s="129">
        <v>-12113</v>
      </c>
      <c r="AL305" s="129">
        <v>0</v>
      </c>
      <c r="AM305" s="129">
        <v>-12113</v>
      </c>
      <c r="AN305" s="129">
        <v>1426204</v>
      </c>
      <c r="AO305" s="129">
        <v>0</v>
      </c>
      <c r="AP305" s="129">
        <v>1426204</v>
      </c>
      <c r="AQ305" s="129">
        <v>-3583042</v>
      </c>
      <c r="AR305" s="129">
        <v>0</v>
      </c>
      <c r="AS305" s="129">
        <v>-3583042</v>
      </c>
      <c r="AT305" s="129">
        <v>-4730455</v>
      </c>
      <c r="AU305" s="129">
        <v>0</v>
      </c>
      <c r="AV305" s="129">
        <v>-4730455</v>
      </c>
      <c r="AW305" s="129">
        <v>-47211</v>
      </c>
      <c r="AX305" s="129">
        <v>0</v>
      </c>
      <c r="AY305" s="129">
        <v>-47211</v>
      </c>
      <c r="AZ305" s="129">
        <v>-9132</v>
      </c>
      <c r="BA305" s="129">
        <v>0</v>
      </c>
      <c r="BB305" s="129">
        <v>-9132</v>
      </c>
      <c r="BC305" s="129">
        <v>0</v>
      </c>
      <c r="BD305" s="129">
        <v>0</v>
      </c>
      <c r="BE305" s="129">
        <v>0</v>
      </c>
      <c r="BF305" s="129">
        <v>-8369840</v>
      </c>
      <c r="BG305" s="129">
        <v>0</v>
      </c>
      <c r="BH305" s="129">
        <v>0</v>
      </c>
      <c r="BI305" s="129">
        <v>0</v>
      </c>
      <c r="BJ305" s="129">
        <v>-8369840</v>
      </c>
      <c r="BK305" s="129">
        <v>0</v>
      </c>
      <c r="BL305" s="129">
        <v>-8369840</v>
      </c>
      <c r="BM305" s="129">
        <v>0</v>
      </c>
      <c r="BN305" s="129">
        <v>0</v>
      </c>
      <c r="BO305" s="129">
        <v>0</v>
      </c>
      <c r="BP305" s="129">
        <v>-1392200</v>
      </c>
      <c r="BQ305" s="129">
        <v>0</v>
      </c>
      <c r="BR305" s="129">
        <v>-1392200</v>
      </c>
      <c r="BS305" s="129">
        <v>-1392200</v>
      </c>
      <c r="BT305" s="129">
        <v>0</v>
      </c>
      <c r="BU305" s="129">
        <v>-139220</v>
      </c>
      <c r="BV305" s="129">
        <v>0</v>
      </c>
      <c r="BW305" s="129">
        <v>-1531420</v>
      </c>
      <c r="BX305" s="129">
        <v>0</v>
      </c>
      <c r="BY305" s="129">
        <v>-1531420</v>
      </c>
      <c r="BZ305" s="129">
        <v>-58492</v>
      </c>
      <c r="CA305" s="129">
        <v>0</v>
      </c>
      <c r="CB305" s="129">
        <v>-58492</v>
      </c>
      <c r="CC305" s="129">
        <v>-102925</v>
      </c>
      <c r="CD305" s="129">
        <v>0</v>
      </c>
      <c r="CE305" s="129">
        <v>-102925</v>
      </c>
      <c r="CF305" s="129">
        <v>-4270</v>
      </c>
      <c r="CG305" s="129">
        <v>0</v>
      </c>
      <c r="CH305" s="129">
        <v>-4270</v>
      </c>
      <c r="CI305" s="129">
        <v>0</v>
      </c>
      <c r="CJ305" s="129">
        <v>0</v>
      </c>
      <c r="CK305" s="129">
        <v>0</v>
      </c>
      <c r="CL305" s="129">
        <v>0</v>
      </c>
      <c r="CM305" s="129">
        <v>0</v>
      </c>
      <c r="CN305" s="129">
        <v>0</v>
      </c>
      <c r="CO305" s="129">
        <v>0</v>
      </c>
      <c r="CP305" s="129">
        <v>0</v>
      </c>
      <c r="CQ305" s="129">
        <v>0</v>
      </c>
      <c r="CR305" s="129">
        <v>0</v>
      </c>
      <c r="CS305" s="129">
        <v>0</v>
      </c>
      <c r="CT305" s="129">
        <v>-165687</v>
      </c>
      <c r="CU305" s="129">
        <v>0</v>
      </c>
      <c r="CV305" s="129">
        <v>0</v>
      </c>
      <c r="CW305" s="129">
        <v>0</v>
      </c>
      <c r="CX305" s="129">
        <v>-165687</v>
      </c>
      <c r="CY305" s="129">
        <v>0</v>
      </c>
      <c r="CZ305" s="129">
        <v>-165687</v>
      </c>
      <c r="DA305" s="129">
        <v>-6124</v>
      </c>
      <c r="DB305" s="129">
        <v>0</v>
      </c>
      <c r="DC305" s="129">
        <v>-6124</v>
      </c>
      <c r="DD305" s="129">
        <v>-59130</v>
      </c>
      <c r="DE305" s="129">
        <v>0</v>
      </c>
      <c r="DF305" s="129">
        <v>-59130</v>
      </c>
      <c r="DG305" s="129">
        <v>-1500</v>
      </c>
      <c r="DH305" s="129">
        <v>0</v>
      </c>
      <c r="DI305" s="129">
        <v>-1500</v>
      </c>
      <c r="DJ305" s="129">
        <v>-66754</v>
      </c>
      <c r="DK305" s="129">
        <v>0</v>
      </c>
      <c r="DL305" s="129">
        <v>0</v>
      </c>
      <c r="DM305" s="129">
        <v>0</v>
      </c>
      <c r="DN305" s="129">
        <v>-66754</v>
      </c>
      <c r="DO305" s="129">
        <v>0</v>
      </c>
      <c r="DP305" s="129">
        <v>-66754</v>
      </c>
      <c r="DQ305" s="129">
        <v>67384509</v>
      </c>
      <c r="DR305" s="129">
        <v>0</v>
      </c>
      <c r="DS305" s="129">
        <v>67384509</v>
      </c>
      <c r="DT305" s="662" t="s">
        <v>458</v>
      </c>
      <c r="DU305" s="324" t="s">
        <v>532</v>
      </c>
      <c r="DV305" s="663" t="s">
        <v>1914</v>
      </c>
      <c r="DW305" s="529" t="s">
        <v>1510</v>
      </c>
    </row>
    <row r="306" spans="1:127" s="129" customFormat="1" ht="14.25" x14ac:dyDescent="0.2">
      <c r="A306" s="784">
        <v>299</v>
      </c>
      <c r="B306" s="785" t="s">
        <v>460</v>
      </c>
      <c r="C306" s="786" t="s">
        <v>486</v>
      </c>
      <c r="D306" s="787" t="s">
        <v>1202</v>
      </c>
      <c r="E306" s="788" t="s">
        <v>1866</v>
      </c>
      <c r="F306" s="753"/>
      <c r="G306" s="129">
        <v>211634059</v>
      </c>
      <c r="H306" s="129">
        <v>0</v>
      </c>
      <c r="I306" s="129">
        <v>211634059</v>
      </c>
      <c r="J306" s="793">
        <v>49.9</v>
      </c>
      <c r="K306" s="129">
        <v>105605395</v>
      </c>
      <c r="L306" s="129">
        <v>0</v>
      </c>
      <c r="M306" s="129">
        <v>8900000</v>
      </c>
      <c r="N306" s="129">
        <v>0</v>
      </c>
      <c r="O306" s="129">
        <v>114505395</v>
      </c>
      <c r="P306" s="129">
        <v>0</v>
      </c>
      <c r="Q306" s="129">
        <v>114505395</v>
      </c>
      <c r="R306" s="129">
        <v>-247559</v>
      </c>
      <c r="S306" s="129">
        <v>0</v>
      </c>
      <c r="T306" s="129">
        <v>-247559</v>
      </c>
      <c r="U306" s="129">
        <v>256056</v>
      </c>
      <c r="V306" s="129">
        <v>0</v>
      </c>
      <c r="W306" s="129">
        <v>256056</v>
      </c>
      <c r="X306" s="129">
        <v>8497</v>
      </c>
      <c r="Y306" s="129">
        <v>0</v>
      </c>
      <c r="Z306" s="129">
        <v>0</v>
      </c>
      <c r="AA306" s="129">
        <v>0</v>
      </c>
      <c r="AB306" s="129">
        <v>8497</v>
      </c>
      <c r="AC306" s="129">
        <v>0</v>
      </c>
      <c r="AD306" s="129">
        <v>8497</v>
      </c>
      <c r="AE306" s="129">
        <v>-8497</v>
      </c>
      <c r="AF306" s="129">
        <v>0</v>
      </c>
      <c r="AG306" s="129">
        <v>-8497</v>
      </c>
      <c r="AH306" s="129">
        <v>-4087505</v>
      </c>
      <c r="AI306" s="129">
        <v>0</v>
      </c>
      <c r="AJ306" s="129">
        <v>-4087505</v>
      </c>
      <c r="AK306" s="129">
        <v>0</v>
      </c>
      <c r="AL306" s="129">
        <v>0</v>
      </c>
      <c r="AM306" s="129">
        <v>0</v>
      </c>
      <c r="AN306" s="129">
        <v>2142170</v>
      </c>
      <c r="AO306" s="129">
        <v>0</v>
      </c>
      <c r="AP306" s="129">
        <v>2142170</v>
      </c>
      <c r="AQ306" s="129">
        <v>-1945335</v>
      </c>
      <c r="AR306" s="129">
        <v>0</v>
      </c>
      <c r="AS306" s="129">
        <v>-1945335</v>
      </c>
      <c r="AT306" s="129">
        <v>-7894128</v>
      </c>
      <c r="AU306" s="129">
        <v>0</v>
      </c>
      <c r="AV306" s="129">
        <v>-7894128</v>
      </c>
      <c r="AW306" s="129">
        <v>0</v>
      </c>
      <c r="AX306" s="129">
        <v>0</v>
      </c>
      <c r="AY306" s="129">
        <v>0</v>
      </c>
      <c r="AZ306" s="129">
        <v>0</v>
      </c>
      <c r="BA306" s="129">
        <v>0</v>
      </c>
      <c r="BB306" s="129">
        <v>0</v>
      </c>
      <c r="BC306" s="129">
        <v>0</v>
      </c>
      <c r="BD306" s="129">
        <v>0</v>
      </c>
      <c r="BE306" s="129">
        <v>0</v>
      </c>
      <c r="BF306" s="129">
        <v>-9839463</v>
      </c>
      <c r="BG306" s="129">
        <v>0</v>
      </c>
      <c r="BH306" s="129">
        <v>0</v>
      </c>
      <c r="BI306" s="129">
        <v>0</v>
      </c>
      <c r="BJ306" s="129">
        <v>-9839463</v>
      </c>
      <c r="BK306" s="129">
        <v>0</v>
      </c>
      <c r="BL306" s="129">
        <v>-9839463</v>
      </c>
      <c r="BM306" s="129">
        <v>0</v>
      </c>
      <c r="BN306" s="129">
        <v>0</v>
      </c>
      <c r="BO306" s="129">
        <v>0</v>
      </c>
      <c r="BP306" s="129">
        <v>-1941959</v>
      </c>
      <c r="BQ306" s="129">
        <v>0</v>
      </c>
      <c r="BR306" s="129">
        <v>-1941959</v>
      </c>
      <c r="BS306" s="129">
        <v>-1941959</v>
      </c>
      <c r="BT306" s="129">
        <v>0</v>
      </c>
      <c r="BU306" s="129">
        <v>0</v>
      </c>
      <c r="BV306" s="129">
        <v>0</v>
      </c>
      <c r="BW306" s="129">
        <v>-1941959</v>
      </c>
      <c r="BX306" s="129">
        <v>0</v>
      </c>
      <c r="BY306" s="129">
        <v>-1941959</v>
      </c>
      <c r="BZ306" s="129">
        <v>-449781</v>
      </c>
      <c r="CA306" s="129">
        <v>0</v>
      </c>
      <c r="CB306" s="129">
        <v>-449781</v>
      </c>
      <c r="CC306" s="129">
        <v>-96940</v>
      </c>
      <c r="CD306" s="129">
        <v>0</v>
      </c>
      <c r="CE306" s="129">
        <v>-96940</v>
      </c>
      <c r="CF306" s="129">
        <v>0</v>
      </c>
      <c r="CG306" s="129">
        <v>0</v>
      </c>
      <c r="CH306" s="129">
        <v>0</v>
      </c>
      <c r="CI306" s="129">
        <v>0</v>
      </c>
      <c r="CJ306" s="129">
        <v>0</v>
      </c>
      <c r="CK306" s="129">
        <v>0</v>
      </c>
      <c r="CL306" s="129">
        <v>-9543</v>
      </c>
      <c r="CM306" s="129">
        <v>0</v>
      </c>
      <c r="CN306" s="129">
        <v>-9543</v>
      </c>
      <c r="CO306" s="129">
        <v>-1952</v>
      </c>
      <c r="CP306" s="129">
        <v>0</v>
      </c>
      <c r="CQ306" s="129">
        <v>-1952</v>
      </c>
      <c r="CR306" s="129">
        <v>0</v>
      </c>
      <c r="CS306" s="129">
        <v>0</v>
      </c>
      <c r="CT306" s="129">
        <v>-558216</v>
      </c>
      <c r="CU306" s="129">
        <v>0</v>
      </c>
      <c r="CV306" s="129">
        <v>0</v>
      </c>
      <c r="CW306" s="129">
        <v>0</v>
      </c>
      <c r="CX306" s="129">
        <v>-558216</v>
      </c>
      <c r="CY306" s="129">
        <v>0</v>
      </c>
      <c r="CZ306" s="129">
        <v>-558216</v>
      </c>
      <c r="DA306" s="129">
        <v>-8907</v>
      </c>
      <c r="DB306" s="129">
        <v>0</v>
      </c>
      <c r="DC306" s="129">
        <v>-8907</v>
      </c>
      <c r="DD306" s="129">
        <v>-36036</v>
      </c>
      <c r="DE306" s="129">
        <v>0</v>
      </c>
      <c r="DF306" s="129">
        <v>-36036</v>
      </c>
      <c r="DG306" s="129">
        <v>-1118</v>
      </c>
      <c r="DH306" s="129">
        <v>0</v>
      </c>
      <c r="DI306" s="129">
        <v>-1118</v>
      </c>
      <c r="DJ306" s="129">
        <v>-46061</v>
      </c>
      <c r="DK306" s="129">
        <v>0</v>
      </c>
      <c r="DL306" s="129">
        <v>0</v>
      </c>
      <c r="DM306" s="129">
        <v>0</v>
      </c>
      <c r="DN306" s="129">
        <v>-46061</v>
      </c>
      <c r="DO306" s="129">
        <v>0</v>
      </c>
      <c r="DP306" s="129">
        <v>-46061</v>
      </c>
      <c r="DQ306" s="129">
        <v>102128193</v>
      </c>
      <c r="DR306" s="129">
        <v>0</v>
      </c>
      <c r="DS306" s="129">
        <v>102128193</v>
      </c>
      <c r="DT306" s="789" t="s">
        <v>816</v>
      </c>
      <c r="DU306" s="790" t="s">
        <v>486</v>
      </c>
      <c r="DV306" s="791" t="s">
        <v>494</v>
      </c>
      <c r="DW306" s="792" t="s">
        <v>1511</v>
      </c>
    </row>
    <row r="307" spans="1:127" ht="12.75" x14ac:dyDescent="0.2">
      <c r="A307" s="664">
        <v>300</v>
      </c>
      <c r="B307" s="665" t="s">
        <v>462</v>
      </c>
      <c r="C307" s="666" t="s">
        <v>1217</v>
      </c>
      <c r="D307" s="667" t="s">
        <v>1204</v>
      </c>
      <c r="E307" s="668" t="s">
        <v>461</v>
      </c>
      <c r="F307" s="753" t="s">
        <v>1884</v>
      </c>
      <c r="G307" s="129">
        <v>187372903</v>
      </c>
      <c r="H307" s="129">
        <v>2226700</v>
      </c>
      <c r="I307" s="129">
        <v>189599603</v>
      </c>
      <c r="J307" s="793">
        <v>49.9</v>
      </c>
      <c r="K307" s="129">
        <v>93499079</v>
      </c>
      <c r="L307" s="129">
        <v>1111123</v>
      </c>
      <c r="M307" s="129">
        <v>0</v>
      </c>
      <c r="N307" s="129">
        <v>0</v>
      </c>
      <c r="O307" s="129">
        <v>93499079</v>
      </c>
      <c r="P307" s="129">
        <v>1111123</v>
      </c>
      <c r="Q307" s="129">
        <v>94610202</v>
      </c>
      <c r="R307" s="129">
        <v>-228128</v>
      </c>
      <c r="S307" s="129">
        <v>0</v>
      </c>
      <c r="T307" s="129">
        <v>-228128</v>
      </c>
      <c r="U307" s="129">
        <v>613324</v>
      </c>
      <c r="V307" s="129">
        <v>0</v>
      </c>
      <c r="W307" s="129">
        <v>613324</v>
      </c>
      <c r="X307" s="129">
        <v>385196</v>
      </c>
      <c r="Y307" s="129">
        <v>0</v>
      </c>
      <c r="Z307" s="129">
        <v>0</v>
      </c>
      <c r="AA307" s="129">
        <v>0</v>
      </c>
      <c r="AB307" s="129">
        <v>385196</v>
      </c>
      <c r="AC307" s="129">
        <v>0</v>
      </c>
      <c r="AD307" s="129">
        <v>385196</v>
      </c>
      <c r="AE307" s="129">
        <v>-385196</v>
      </c>
      <c r="AF307" s="129">
        <v>0</v>
      </c>
      <c r="AG307" s="129">
        <v>-385196</v>
      </c>
      <c r="AH307" s="129">
        <v>-10502648</v>
      </c>
      <c r="AI307" s="129">
        <v>-23478</v>
      </c>
      <c r="AJ307" s="129">
        <v>-10526126</v>
      </c>
      <c r="AK307" s="129">
        <v>-54736</v>
      </c>
      <c r="AL307" s="129">
        <v>0</v>
      </c>
      <c r="AM307" s="129">
        <v>-54736</v>
      </c>
      <c r="AN307" s="129">
        <v>1643103</v>
      </c>
      <c r="AO307" s="129">
        <v>26248</v>
      </c>
      <c r="AP307" s="129">
        <v>1669351</v>
      </c>
      <c r="AQ307" s="129">
        <v>-8859545</v>
      </c>
      <c r="AR307" s="129">
        <v>2770</v>
      </c>
      <c r="AS307" s="129">
        <v>-8856775</v>
      </c>
      <c r="AT307" s="129">
        <v>-5849173</v>
      </c>
      <c r="AU307" s="129">
        <v>-104653</v>
      </c>
      <c r="AV307" s="129">
        <v>-5953826</v>
      </c>
      <c r="AW307" s="129">
        <v>-27464</v>
      </c>
      <c r="AX307" s="129">
        <v>0</v>
      </c>
      <c r="AY307" s="129">
        <v>-27464</v>
      </c>
      <c r="AZ307" s="129">
        <v>0</v>
      </c>
      <c r="BA307" s="129">
        <v>0</v>
      </c>
      <c r="BB307" s="129">
        <v>0</v>
      </c>
      <c r="BC307" s="129">
        <v>0</v>
      </c>
      <c r="BD307" s="129">
        <v>0</v>
      </c>
      <c r="BE307" s="129">
        <v>0</v>
      </c>
      <c r="BF307" s="129">
        <v>-14736182</v>
      </c>
      <c r="BG307" s="129">
        <v>-101883</v>
      </c>
      <c r="BH307" s="129">
        <v>0</v>
      </c>
      <c r="BI307" s="129">
        <v>0</v>
      </c>
      <c r="BJ307" s="129">
        <v>-14736182</v>
      </c>
      <c r="BK307" s="129">
        <v>-101883</v>
      </c>
      <c r="BL307" s="129">
        <v>-14838065</v>
      </c>
      <c r="BM307" s="129">
        <v>-25000</v>
      </c>
      <c r="BN307" s="129">
        <v>0</v>
      </c>
      <c r="BO307" s="129">
        <v>-25000</v>
      </c>
      <c r="BP307" s="129">
        <v>-3404578</v>
      </c>
      <c r="BQ307" s="129">
        <v>-102386</v>
      </c>
      <c r="BR307" s="129">
        <v>-3506964</v>
      </c>
      <c r="BS307" s="129">
        <v>-3429578</v>
      </c>
      <c r="BT307" s="129">
        <v>-102386</v>
      </c>
      <c r="BU307" s="129">
        <v>0</v>
      </c>
      <c r="BV307" s="129">
        <v>0</v>
      </c>
      <c r="BW307" s="129">
        <v>-3429578</v>
      </c>
      <c r="BX307" s="129">
        <v>-102386</v>
      </c>
      <c r="BY307" s="129">
        <v>-3531964</v>
      </c>
      <c r="BZ307" s="129">
        <v>-667964</v>
      </c>
      <c r="CA307" s="129">
        <v>-5683</v>
      </c>
      <c r="CB307" s="129">
        <v>-673647</v>
      </c>
      <c r="CC307" s="129">
        <v>-102838</v>
      </c>
      <c r="CD307" s="129">
        <v>0</v>
      </c>
      <c r="CE307" s="129">
        <v>-102838</v>
      </c>
      <c r="CF307" s="129">
        <v>-6866</v>
      </c>
      <c r="CG307" s="129">
        <v>0</v>
      </c>
      <c r="CH307" s="129">
        <v>-6866</v>
      </c>
      <c r="CI307" s="129">
        <v>0</v>
      </c>
      <c r="CJ307" s="129">
        <v>0</v>
      </c>
      <c r="CK307" s="129">
        <v>0</v>
      </c>
      <c r="CL307" s="129">
        <v>0</v>
      </c>
      <c r="CM307" s="129">
        <v>0</v>
      </c>
      <c r="CN307" s="129">
        <v>0</v>
      </c>
      <c r="CO307" s="129">
        <v>0</v>
      </c>
      <c r="CP307" s="129">
        <v>0</v>
      </c>
      <c r="CQ307" s="129">
        <v>0</v>
      </c>
      <c r="CR307" s="129">
        <v>0</v>
      </c>
      <c r="CS307" s="129">
        <v>0</v>
      </c>
      <c r="CT307" s="129">
        <v>-777668</v>
      </c>
      <c r="CU307" s="129">
        <v>-5683</v>
      </c>
      <c r="CV307" s="129">
        <v>0</v>
      </c>
      <c r="CW307" s="129">
        <v>0</v>
      </c>
      <c r="CX307" s="129">
        <v>-777668</v>
      </c>
      <c r="CY307" s="129">
        <v>-5683</v>
      </c>
      <c r="CZ307" s="129">
        <v>-783351</v>
      </c>
      <c r="DA307" s="129">
        <v>0</v>
      </c>
      <c r="DB307" s="129">
        <v>0</v>
      </c>
      <c r="DC307" s="129">
        <v>0</v>
      </c>
      <c r="DD307" s="129">
        <v>0</v>
      </c>
      <c r="DE307" s="129">
        <v>0</v>
      </c>
      <c r="DF307" s="129">
        <v>0</v>
      </c>
      <c r="DG307" s="129">
        <v>-1500</v>
      </c>
      <c r="DH307" s="129">
        <v>0</v>
      </c>
      <c r="DI307" s="129">
        <v>-1500</v>
      </c>
      <c r="DJ307" s="129">
        <v>-1500</v>
      </c>
      <c r="DK307" s="129">
        <v>0</v>
      </c>
      <c r="DL307" s="129">
        <v>0</v>
      </c>
      <c r="DM307" s="129">
        <v>0</v>
      </c>
      <c r="DN307" s="129">
        <v>-1500</v>
      </c>
      <c r="DO307" s="129">
        <v>0</v>
      </c>
      <c r="DP307" s="129">
        <v>-1500</v>
      </c>
      <c r="DQ307" s="129">
        <v>74939347</v>
      </c>
      <c r="DR307" s="129">
        <v>901171</v>
      </c>
      <c r="DS307" s="129">
        <v>75840518</v>
      </c>
      <c r="DT307" s="662" t="s">
        <v>461</v>
      </c>
      <c r="DU307" s="324" t="s">
        <v>570</v>
      </c>
      <c r="DV307" s="663" t="s">
        <v>571</v>
      </c>
      <c r="DW307" s="529" t="s">
        <v>1512</v>
      </c>
    </row>
    <row r="308" spans="1:127" ht="12.75" x14ac:dyDescent="0.2">
      <c r="A308" s="664">
        <v>301</v>
      </c>
      <c r="B308" s="665" t="s">
        <v>464</v>
      </c>
      <c r="C308" s="666" t="s">
        <v>1201</v>
      </c>
      <c r="D308" s="667" t="s">
        <v>1202</v>
      </c>
      <c r="E308" s="668" t="s">
        <v>463</v>
      </c>
      <c r="F308" s="753" t="s">
        <v>1887</v>
      </c>
      <c r="G308" s="129">
        <v>113527438</v>
      </c>
      <c r="H308" s="129">
        <v>0</v>
      </c>
      <c r="I308" s="129">
        <v>113527438</v>
      </c>
      <c r="J308" s="793">
        <v>49.9</v>
      </c>
      <c r="K308" s="129">
        <v>56650192</v>
      </c>
      <c r="L308" s="129">
        <v>0</v>
      </c>
      <c r="M308" s="129">
        <v>0</v>
      </c>
      <c r="N308" s="129">
        <v>0</v>
      </c>
      <c r="O308" s="129">
        <v>56650192</v>
      </c>
      <c r="P308" s="129">
        <v>0</v>
      </c>
      <c r="Q308" s="129">
        <v>56650192</v>
      </c>
      <c r="R308" s="129">
        <v>-66257</v>
      </c>
      <c r="S308" s="129">
        <v>0</v>
      </c>
      <c r="T308" s="129">
        <v>-66257</v>
      </c>
      <c r="U308" s="129">
        <v>88832</v>
      </c>
      <c r="V308" s="129">
        <v>0</v>
      </c>
      <c r="W308" s="129">
        <v>88832</v>
      </c>
      <c r="X308" s="129">
        <v>22575</v>
      </c>
      <c r="Y308" s="129">
        <v>0</v>
      </c>
      <c r="Z308" s="129">
        <v>0</v>
      </c>
      <c r="AA308" s="129">
        <v>0</v>
      </c>
      <c r="AB308" s="129">
        <v>22575</v>
      </c>
      <c r="AC308" s="129">
        <v>0</v>
      </c>
      <c r="AD308" s="129">
        <v>22575</v>
      </c>
      <c r="AE308" s="129">
        <v>-22575</v>
      </c>
      <c r="AF308" s="129">
        <v>0</v>
      </c>
      <c r="AG308" s="129">
        <v>-22575</v>
      </c>
      <c r="AH308" s="129">
        <v>-2414107</v>
      </c>
      <c r="AI308" s="129">
        <v>0</v>
      </c>
      <c r="AJ308" s="129">
        <v>-2414107</v>
      </c>
      <c r="AK308" s="129">
        <v>0</v>
      </c>
      <c r="AL308" s="129">
        <v>0</v>
      </c>
      <c r="AM308" s="129">
        <v>0</v>
      </c>
      <c r="AN308" s="129">
        <v>1152256</v>
      </c>
      <c r="AO308" s="129">
        <v>0</v>
      </c>
      <c r="AP308" s="129">
        <v>1152256</v>
      </c>
      <c r="AQ308" s="129">
        <v>-1261851</v>
      </c>
      <c r="AR308" s="129">
        <v>0</v>
      </c>
      <c r="AS308" s="129">
        <v>-1261851</v>
      </c>
      <c r="AT308" s="129">
        <v>-3855598</v>
      </c>
      <c r="AU308" s="129">
        <v>0</v>
      </c>
      <c r="AV308" s="129">
        <v>-3855598</v>
      </c>
      <c r="AW308" s="129">
        <v>0</v>
      </c>
      <c r="AX308" s="129">
        <v>0</v>
      </c>
      <c r="AY308" s="129">
        <v>0</v>
      </c>
      <c r="AZ308" s="129">
        <v>-1024</v>
      </c>
      <c r="BA308" s="129">
        <v>0</v>
      </c>
      <c r="BB308" s="129">
        <v>-1024</v>
      </c>
      <c r="BC308" s="129">
        <v>0</v>
      </c>
      <c r="BD308" s="129">
        <v>0</v>
      </c>
      <c r="BE308" s="129">
        <v>0</v>
      </c>
      <c r="BF308" s="129">
        <v>-5118473</v>
      </c>
      <c r="BG308" s="129">
        <v>0</v>
      </c>
      <c r="BH308" s="129">
        <v>0</v>
      </c>
      <c r="BI308" s="129">
        <v>0</v>
      </c>
      <c r="BJ308" s="129">
        <v>-5118473</v>
      </c>
      <c r="BK308" s="129">
        <v>0</v>
      </c>
      <c r="BL308" s="129">
        <v>-5118473</v>
      </c>
      <c r="BM308" s="129">
        <v>0</v>
      </c>
      <c r="BN308" s="129">
        <v>0</v>
      </c>
      <c r="BO308" s="129">
        <v>0</v>
      </c>
      <c r="BP308" s="129">
        <v>-637079</v>
      </c>
      <c r="BQ308" s="129">
        <v>0</v>
      </c>
      <c r="BR308" s="129">
        <v>-637079</v>
      </c>
      <c r="BS308" s="129">
        <v>-637079</v>
      </c>
      <c r="BT308" s="129">
        <v>0</v>
      </c>
      <c r="BU308" s="129">
        <v>0</v>
      </c>
      <c r="BV308" s="129">
        <v>0</v>
      </c>
      <c r="BW308" s="129">
        <v>-637079</v>
      </c>
      <c r="BX308" s="129">
        <v>0</v>
      </c>
      <c r="BY308" s="129">
        <v>-637079</v>
      </c>
      <c r="BZ308" s="129">
        <v>-435341</v>
      </c>
      <c r="CA308" s="129">
        <v>0</v>
      </c>
      <c r="CB308" s="129">
        <v>-435341</v>
      </c>
      <c r="CC308" s="129">
        <v>-85106</v>
      </c>
      <c r="CD308" s="129">
        <v>0</v>
      </c>
      <c r="CE308" s="129">
        <v>-85106</v>
      </c>
      <c r="CF308" s="129">
        <v>0</v>
      </c>
      <c r="CG308" s="129">
        <v>0</v>
      </c>
      <c r="CH308" s="129">
        <v>0</v>
      </c>
      <c r="CI308" s="129">
        <v>0</v>
      </c>
      <c r="CJ308" s="129">
        <v>0</v>
      </c>
      <c r="CK308" s="129">
        <v>0</v>
      </c>
      <c r="CL308" s="129">
        <v>0</v>
      </c>
      <c r="CM308" s="129">
        <v>0</v>
      </c>
      <c r="CN308" s="129">
        <v>0</v>
      </c>
      <c r="CO308" s="129">
        <v>-100000</v>
      </c>
      <c r="CP308" s="129">
        <v>0</v>
      </c>
      <c r="CQ308" s="129">
        <v>-100000</v>
      </c>
      <c r="CR308" s="129">
        <v>0</v>
      </c>
      <c r="CS308" s="129">
        <v>0</v>
      </c>
      <c r="CT308" s="129">
        <v>-620447</v>
      </c>
      <c r="CU308" s="129">
        <v>0</v>
      </c>
      <c r="CV308" s="129">
        <v>0</v>
      </c>
      <c r="CW308" s="129">
        <v>0</v>
      </c>
      <c r="CX308" s="129">
        <v>-620447</v>
      </c>
      <c r="CY308" s="129">
        <v>0</v>
      </c>
      <c r="CZ308" s="129">
        <v>-620447</v>
      </c>
      <c r="DA308" s="129">
        <v>-1024</v>
      </c>
      <c r="DB308" s="129">
        <v>0</v>
      </c>
      <c r="DC308" s="129">
        <v>-1024</v>
      </c>
      <c r="DD308" s="129">
        <v>-9389</v>
      </c>
      <c r="DE308" s="129">
        <v>0</v>
      </c>
      <c r="DF308" s="129">
        <v>-9389</v>
      </c>
      <c r="DG308" s="129">
        <v>0</v>
      </c>
      <c r="DH308" s="129">
        <v>0</v>
      </c>
      <c r="DI308" s="129">
        <v>0</v>
      </c>
      <c r="DJ308" s="129">
        <v>-10413</v>
      </c>
      <c r="DK308" s="129">
        <v>0</v>
      </c>
      <c r="DL308" s="129">
        <v>0</v>
      </c>
      <c r="DM308" s="129">
        <v>0</v>
      </c>
      <c r="DN308" s="129">
        <v>-10413</v>
      </c>
      <c r="DO308" s="129">
        <v>0</v>
      </c>
      <c r="DP308" s="129">
        <v>-10413</v>
      </c>
      <c r="DQ308" s="129">
        <v>50286355</v>
      </c>
      <c r="DR308" s="129">
        <v>0</v>
      </c>
      <c r="DS308" s="129">
        <v>50286355</v>
      </c>
      <c r="DT308" s="662" t="s">
        <v>463</v>
      </c>
      <c r="DU308" s="324" t="s">
        <v>566</v>
      </c>
      <c r="DV308" s="663" t="s">
        <v>512</v>
      </c>
      <c r="DW308" s="529" t="s">
        <v>1513</v>
      </c>
    </row>
    <row r="309" spans="1:127" ht="12.75" x14ac:dyDescent="0.2">
      <c r="A309" s="664">
        <v>302</v>
      </c>
      <c r="B309" s="665" t="s">
        <v>465</v>
      </c>
      <c r="C309" s="666" t="s">
        <v>486</v>
      </c>
      <c r="D309" s="667" t="s">
        <v>1202</v>
      </c>
      <c r="E309" s="668" t="s">
        <v>498</v>
      </c>
      <c r="F309" s="753"/>
      <c r="G309" s="129">
        <v>178453551</v>
      </c>
      <c r="H309" s="129">
        <v>0</v>
      </c>
      <c r="I309" s="129">
        <v>178453551</v>
      </c>
      <c r="J309" s="793">
        <v>49.9</v>
      </c>
      <c r="K309" s="129">
        <v>89048322</v>
      </c>
      <c r="L309" s="129">
        <v>0</v>
      </c>
      <c r="M309" s="129">
        <v>0</v>
      </c>
      <c r="N309" s="129">
        <v>0</v>
      </c>
      <c r="O309" s="129">
        <v>89048322</v>
      </c>
      <c r="P309" s="129">
        <v>0</v>
      </c>
      <c r="Q309" s="129">
        <v>89048322</v>
      </c>
      <c r="R309" s="129">
        <v>-264640</v>
      </c>
      <c r="S309" s="129">
        <v>0</v>
      </c>
      <c r="T309" s="129">
        <v>-264640</v>
      </c>
      <c r="U309" s="129">
        <v>8960</v>
      </c>
      <c r="V309" s="129">
        <v>0</v>
      </c>
      <c r="W309" s="129">
        <v>8960</v>
      </c>
      <c r="X309" s="129">
        <v>-255680</v>
      </c>
      <c r="Y309" s="129">
        <v>0</v>
      </c>
      <c r="Z309" s="129">
        <v>0</v>
      </c>
      <c r="AA309" s="129">
        <v>0</v>
      </c>
      <c r="AB309" s="129">
        <v>-255680</v>
      </c>
      <c r="AC309" s="129">
        <v>0</v>
      </c>
      <c r="AD309" s="129">
        <v>-255680</v>
      </c>
      <c r="AE309" s="129">
        <v>255680</v>
      </c>
      <c r="AF309" s="129">
        <v>0</v>
      </c>
      <c r="AG309" s="129">
        <v>255680</v>
      </c>
      <c r="AH309" s="129">
        <v>-3730393</v>
      </c>
      <c r="AI309" s="129">
        <v>0</v>
      </c>
      <c r="AJ309" s="129">
        <v>-3730393</v>
      </c>
      <c r="AK309" s="129">
        <v>-7602</v>
      </c>
      <c r="AL309" s="129">
        <v>0</v>
      </c>
      <c r="AM309" s="129">
        <v>-7602</v>
      </c>
      <c r="AN309" s="129">
        <v>1802268</v>
      </c>
      <c r="AO309" s="129">
        <v>0</v>
      </c>
      <c r="AP309" s="129">
        <v>1802268</v>
      </c>
      <c r="AQ309" s="129">
        <v>-1928125</v>
      </c>
      <c r="AR309" s="129">
        <v>0</v>
      </c>
      <c r="AS309" s="129">
        <v>-1928125</v>
      </c>
      <c r="AT309" s="129">
        <v>-7416923</v>
      </c>
      <c r="AU309" s="129">
        <v>0</v>
      </c>
      <c r="AV309" s="129">
        <v>-7416923</v>
      </c>
      <c r="AW309" s="129">
        <v>-56730</v>
      </c>
      <c r="AX309" s="129">
        <v>0</v>
      </c>
      <c r="AY309" s="129">
        <v>-56730</v>
      </c>
      <c r="AZ309" s="129">
        <v>-2765</v>
      </c>
      <c r="BA309" s="129">
        <v>0</v>
      </c>
      <c r="BB309" s="129">
        <v>-2765</v>
      </c>
      <c r="BC309" s="129">
        <v>0</v>
      </c>
      <c r="BD309" s="129">
        <v>0</v>
      </c>
      <c r="BE309" s="129">
        <v>0</v>
      </c>
      <c r="BF309" s="129">
        <v>-9404543</v>
      </c>
      <c r="BG309" s="129">
        <v>0</v>
      </c>
      <c r="BH309" s="129">
        <v>0</v>
      </c>
      <c r="BI309" s="129">
        <v>0</v>
      </c>
      <c r="BJ309" s="129">
        <v>-9404543</v>
      </c>
      <c r="BK309" s="129">
        <v>0</v>
      </c>
      <c r="BL309" s="129">
        <v>-9404543</v>
      </c>
      <c r="BM309" s="129">
        <v>-300000</v>
      </c>
      <c r="BN309" s="129">
        <v>0</v>
      </c>
      <c r="BO309" s="129">
        <v>-300000</v>
      </c>
      <c r="BP309" s="129">
        <v>-3642504</v>
      </c>
      <c r="BQ309" s="129">
        <v>0</v>
      </c>
      <c r="BR309" s="129">
        <v>-3642504</v>
      </c>
      <c r="BS309" s="129">
        <v>-3942504</v>
      </c>
      <c r="BT309" s="129">
        <v>0</v>
      </c>
      <c r="BU309" s="129">
        <v>0</v>
      </c>
      <c r="BV309" s="129">
        <v>0</v>
      </c>
      <c r="BW309" s="129">
        <v>-3942504</v>
      </c>
      <c r="BX309" s="129">
        <v>0</v>
      </c>
      <c r="BY309" s="129">
        <v>-3942504</v>
      </c>
      <c r="BZ309" s="129">
        <v>-4105</v>
      </c>
      <c r="CA309" s="129">
        <v>0</v>
      </c>
      <c r="CB309" s="129">
        <v>-4105</v>
      </c>
      <c r="CC309" s="129">
        <v>-31612</v>
      </c>
      <c r="CD309" s="129">
        <v>0</v>
      </c>
      <c r="CE309" s="129">
        <v>-31612</v>
      </c>
      <c r="CF309" s="129">
        <v>-466</v>
      </c>
      <c r="CG309" s="129">
        <v>0</v>
      </c>
      <c r="CH309" s="129">
        <v>-466</v>
      </c>
      <c r="CI309" s="129">
        <v>0</v>
      </c>
      <c r="CJ309" s="129">
        <v>0</v>
      </c>
      <c r="CK309" s="129">
        <v>0</v>
      </c>
      <c r="CL309" s="129">
        <v>0</v>
      </c>
      <c r="CM309" s="129">
        <v>0</v>
      </c>
      <c r="CN309" s="129">
        <v>0</v>
      </c>
      <c r="CO309" s="129">
        <v>-30000</v>
      </c>
      <c r="CP309" s="129">
        <v>0</v>
      </c>
      <c r="CQ309" s="129">
        <v>-30000</v>
      </c>
      <c r="CR309" s="129">
        <v>0</v>
      </c>
      <c r="CS309" s="129">
        <v>0</v>
      </c>
      <c r="CT309" s="129">
        <v>-66183</v>
      </c>
      <c r="CU309" s="129">
        <v>0</v>
      </c>
      <c r="CV309" s="129">
        <v>0</v>
      </c>
      <c r="CW309" s="129">
        <v>0</v>
      </c>
      <c r="CX309" s="129">
        <v>-66183</v>
      </c>
      <c r="CY309" s="129">
        <v>0</v>
      </c>
      <c r="CZ309" s="129">
        <v>-66183</v>
      </c>
      <c r="DA309" s="129">
        <v>-2650</v>
      </c>
      <c r="DB309" s="129">
        <v>0</v>
      </c>
      <c r="DC309" s="129">
        <v>-2650</v>
      </c>
      <c r="DD309" s="129">
        <v>-29739</v>
      </c>
      <c r="DE309" s="129">
        <v>0</v>
      </c>
      <c r="DF309" s="129">
        <v>-29739</v>
      </c>
      <c r="DG309" s="129">
        <v>0</v>
      </c>
      <c r="DH309" s="129">
        <v>0</v>
      </c>
      <c r="DI309" s="129">
        <v>0</v>
      </c>
      <c r="DJ309" s="129">
        <v>-32389</v>
      </c>
      <c r="DK309" s="129">
        <v>0</v>
      </c>
      <c r="DL309" s="129">
        <v>0</v>
      </c>
      <c r="DM309" s="129">
        <v>0</v>
      </c>
      <c r="DN309" s="129">
        <v>-32389</v>
      </c>
      <c r="DO309" s="129">
        <v>0</v>
      </c>
      <c r="DP309" s="129">
        <v>-32389</v>
      </c>
      <c r="DQ309" s="129">
        <v>75347023</v>
      </c>
      <c r="DR309" s="129">
        <v>0</v>
      </c>
      <c r="DS309" s="129">
        <v>75347023</v>
      </c>
      <c r="DT309" s="662" t="s">
        <v>498</v>
      </c>
      <c r="DU309" s="673" t="s">
        <v>486</v>
      </c>
      <c r="DV309" s="674" t="s">
        <v>494</v>
      </c>
      <c r="DW309" s="529" t="s">
        <v>1514</v>
      </c>
    </row>
    <row r="310" spans="1:127" ht="12.75" x14ac:dyDescent="0.2">
      <c r="A310" s="664">
        <v>303</v>
      </c>
      <c r="B310" s="665" t="s">
        <v>467</v>
      </c>
      <c r="C310" s="666" t="s">
        <v>1217</v>
      </c>
      <c r="D310" s="667" t="s">
        <v>1228</v>
      </c>
      <c r="E310" s="668" t="s">
        <v>466</v>
      </c>
      <c r="F310" s="753" t="s">
        <v>1875</v>
      </c>
      <c r="G310" s="129">
        <v>194538358</v>
      </c>
      <c r="H310" s="129">
        <v>1596000</v>
      </c>
      <c r="I310" s="129">
        <v>196134358</v>
      </c>
      <c r="J310" s="793">
        <v>49.9</v>
      </c>
      <c r="K310" s="129">
        <v>97074641</v>
      </c>
      <c r="L310" s="129">
        <v>796404</v>
      </c>
      <c r="M310" s="129">
        <v>0</v>
      </c>
      <c r="N310" s="129">
        <v>0</v>
      </c>
      <c r="O310" s="129">
        <v>97074641</v>
      </c>
      <c r="P310" s="129">
        <v>796404</v>
      </c>
      <c r="Q310" s="129">
        <v>97871045</v>
      </c>
      <c r="R310" s="129">
        <v>-262417</v>
      </c>
      <c r="S310" s="129">
        <v>0</v>
      </c>
      <c r="T310" s="129">
        <v>-262417</v>
      </c>
      <c r="U310" s="129">
        <v>158832</v>
      </c>
      <c r="V310" s="129">
        <v>0</v>
      </c>
      <c r="W310" s="129">
        <v>158832</v>
      </c>
      <c r="X310" s="129">
        <v>-103585</v>
      </c>
      <c r="Y310" s="129">
        <v>0</v>
      </c>
      <c r="Z310" s="129">
        <v>0</v>
      </c>
      <c r="AA310" s="129">
        <v>0</v>
      </c>
      <c r="AB310" s="129">
        <v>-103585</v>
      </c>
      <c r="AC310" s="129">
        <v>0</v>
      </c>
      <c r="AD310" s="129">
        <v>-103585</v>
      </c>
      <c r="AE310" s="129">
        <v>103585</v>
      </c>
      <c r="AF310" s="129">
        <v>0</v>
      </c>
      <c r="AG310" s="129">
        <v>103585</v>
      </c>
      <c r="AH310" s="129">
        <v>-10659383</v>
      </c>
      <c r="AI310" s="129">
        <v>0</v>
      </c>
      <c r="AJ310" s="129">
        <v>-10659383</v>
      </c>
      <c r="AK310" s="129">
        <v>-8159</v>
      </c>
      <c r="AL310" s="129">
        <v>0</v>
      </c>
      <c r="AM310" s="129">
        <v>-8159</v>
      </c>
      <c r="AN310" s="129">
        <v>1725258</v>
      </c>
      <c r="AO310" s="129">
        <v>0</v>
      </c>
      <c r="AP310" s="129">
        <v>1725258</v>
      </c>
      <c r="AQ310" s="129">
        <v>-8934125</v>
      </c>
      <c r="AR310" s="129">
        <v>0</v>
      </c>
      <c r="AS310" s="129">
        <v>-8934125</v>
      </c>
      <c r="AT310" s="129">
        <v>-6705915</v>
      </c>
      <c r="AU310" s="129">
        <v>0</v>
      </c>
      <c r="AV310" s="129">
        <v>-6705915</v>
      </c>
      <c r="AW310" s="129">
        <v>-13916</v>
      </c>
      <c r="AX310" s="129">
        <v>0</v>
      </c>
      <c r="AY310" s="129">
        <v>-13916</v>
      </c>
      <c r="AZ310" s="129">
        <v>0</v>
      </c>
      <c r="BA310" s="129">
        <v>0</v>
      </c>
      <c r="BB310" s="129">
        <v>0</v>
      </c>
      <c r="BC310" s="129">
        <v>0</v>
      </c>
      <c r="BD310" s="129">
        <v>0</v>
      </c>
      <c r="BE310" s="129">
        <v>0</v>
      </c>
      <c r="BF310" s="129">
        <v>-15653956</v>
      </c>
      <c r="BG310" s="129">
        <v>0</v>
      </c>
      <c r="BH310" s="129">
        <v>0</v>
      </c>
      <c r="BI310" s="129">
        <v>0</v>
      </c>
      <c r="BJ310" s="129">
        <v>-15653956</v>
      </c>
      <c r="BK310" s="129">
        <v>0</v>
      </c>
      <c r="BL310" s="129">
        <v>-15653956</v>
      </c>
      <c r="BM310" s="129">
        <v>0</v>
      </c>
      <c r="BN310" s="129">
        <v>0</v>
      </c>
      <c r="BO310" s="129">
        <v>0</v>
      </c>
      <c r="BP310" s="129">
        <v>-3100000</v>
      </c>
      <c r="BQ310" s="129">
        <v>0</v>
      </c>
      <c r="BR310" s="129">
        <v>-3100000</v>
      </c>
      <c r="BS310" s="129">
        <v>-3100000</v>
      </c>
      <c r="BT310" s="129">
        <v>0</v>
      </c>
      <c r="BU310" s="129">
        <v>0</v>
      </c>
      <c r="BV310" s="129">
        <v>0</v>
      </c>
      <c r="BW310" s="129">
        <v>-3100000</v>
      </c>
      <c r="BX310" s="129">
        <v>0</v>
      </c>
      <c r="BY310" s="129">
        <v>-3100000</v>
      </c>
      <c r="BZ310" s="129">
        <v>-188992</v>
      </c>
      <c r="CA310" s="129">
        <v>0</v>
      </c>
      <c r="CB310" s="129">
        <v>-188992</v>
      </c>
      <c r="CC310" s="129">
        <v>-371993</v>
      </c>
      <c r="CD310" s="129">
        <v>0</v>
      </c>
      <c r="CE310" s="129">
        <v>-371993</v>
      </c>
      <c r="CF310" s="129">
        <v>-1841</v>
      </c>
      <c r="CG310" s="129">
        <v>0</v>
      </c>
      <c r="CH310" s="129">
        <v>-1841</v>
      </c>
      <c r="CI310" s="129">
        <v>0</v>
      </c>
      <c r="CJ310" s="129">
        <v>0</v>
      </c>
      <c r="CK310" s="129">
        <v>0</v>
      </c>
      <c r="CL310" s="129">
        <v>0</v>
      </c>
      <c r="CM310" s="129">
        <v>0</v>
      </c>
      <c r="CN310" s="129">
        <v>0</v>
      </c>
      <c r="CO310" s="129">
        <v>0</v>
      </c>
      <c r="CP310" s="129">
        <v>0</v>
      </c>
      <c r="CQ310" s="129">
        <v>0</v>
      </c>
      <c r="CR310" s="129">
        <v>0</v>
      </c>
      <c r="CS310" s="129">
        <v>0</v>
      </c>
      <c r="CT310" s="129">
        <v>-562826</v>
      </c>
      <c r="CU310" s="129">
        <v>0</v>
      </c>
      <c r="CV310" s="129">
        <v>0</v>
      </c>
      <c r="CW310" s="129">
        <v>0</v>
      </c>
      <c r="CX310" s="129">
        <v>-562826</v>
      </c>
      <c r="CY310" s="129">
        <v>0</v>
      </c>
      <c r="CZ310" s="129">
        <v>-562826</v>
      </c>
      <c r="DA310" s="129">
        <v>0</v>
      </c>
      <c r="DB310" s="129">
        <v>0</v>
      </c>
      <c r="DC310" s="129">
        <v>0</v>
      </c>
      <c r="DD310" s="129">
        <v>-22027</v>
      </c>
      <c r="DE310" s="129">
        <v>0</v>
      </c>
      <c r="DF310" s="129">
        <v>-22027</v>
      </c>
      <c r="DG310" s="129">
        <v>-1500</v>
      </c>
      <c r="DH310" s="129">
        <v>0</v>
      </c>
      <c r="DI310" s="129">
        <v>-1500</v>
      </c>
      <c r="DJ310" s="129">
        <v>-23527</v>
      </c>
      <c r="DK310" s="129">
        <v>0</v>
      </c>
      <c r="DL310" s="129">
        <v>0</v>
      </c>
      <c r="DM310" s="129">
        <v>0</v>
      </c>
      <c r="DN310" s="129">
        <v>-23527</v>
      </c>
      <c r="DO310" s="129">
        <v>0</v>
      </c>
      <c r="DP310" s="129">
        <v>-23527</v>
      </c>
      <c r="DQ310" s="129">
        <v>77630747</v>
      </c>
      <c r="DR310" s="129">
        <v>796404</v>
      </c>
      <c r="DS310" s="129">
        <v>78427151</v>
      </c>
      <c r="DT310" s="662" t="s">
        <v>466</v>
      </c>
      <c r="DU310" s="673" t="s">
        <v>570</v>
      </c>
      <c r="DV310" s="674" t="s">
        <v>574</v>
      </c>
      <c r="DW310" s="529" t="s">
        <v>1515</v>
      </c>
    </row>
    <row r="311" spans="1:127" ht="12.75" x14ac:dyDescent="0.2">
      <c r="A311" s="664">
        <v>304</v>
      </c>
      <c r="B311" s="665" t="s">
        <v>469</v>
      </c>
      <c r="C311" s="666" t="s">
        <v>1201</v>
      </c>
      <c r="D311" s="667" t="s">
        <v>1228</v>
      </c>
      <c r="E311" s="668" t="s">
        <v>468</v>
      </c>
      <c r="F311" s="753" t="s">
        <v>1875</v>
      </c>
      <c r="G311" s="129">
        <v>105989717</v>
      </c>
      <c r="H311" s="129">
        <v>0</v>
      </c>
      <c r="I311" s="129">
        <v>105989717</v>
      </c>
      <c r="J311" s="793">
        <v>49.9</v>
      </c>
      <c r="K311" s="129">
        <v>52888869</v>
      </c>
      <c r="L311" s="129">
        <v>0</v>
      </c>
      <c r="M311" s="129">
        <v>0</v>
      </c>
      <c r="N311" s="129">
        <v>0</v>
      </c>
      <c r="O311" s="129">
        <v>52888869</v>
      </c>
      <c r="P311" s="129">
        <v>0</v>
      </c>
      <c r="Q311" s="129">
        <v>52888869</v>
      </c>
      <c r="R311" s="129">
        <v>-124627</v>
      </c>
      <c r="S311" s="129">
        <v>0</v>
      </c>
      <c r="T311" s="129">
        <v>-124627</v>
      </c>
      <c r="U311" s="129">
        <v>170928</v>
      </c>
      <c r="V311" s="129">
        <v>0</v>
      </c>
      <c r="W311" s="129">
        <v>170928</v>
      </c>
      <c r="X311" s="129">
        <v>46301</v>
      </c>
      <c r="Y311" s="129">
        <v>0</v>
      </c>
      <c r="Z311" s="129">
        <v>0</v>
      </c>
      <c r="AA311" s="129">
        <v>0</v>
      </c>
      <c r="AB311" s="129">
        <v>46301</v>
      </c>
      <c r="AC311" s="129">
        <v>0</v>
      </c>
      <c r="AD311" s="129">
        <v>46301</v>
      </c>
      <c r="AE311" s="129">
        <v>-46301</v>
      </c>
      <c r="AF311" s="129">
        <v>0</v>
      </c>
      <c r="AG311" s="129">
        <v>-46301</v>
      </c>
      <c r="AH311" s="129">
        <v>-3520449</v>
      </c>
      <c r="AI311" s="129">
        <v>0</v>
      </c>
      <c r="AJ311" s="129">
        <v>-3520449</v>
      </c>
      <c r="AK311" s="129">
        <v>0</v>
      </c>
      <c r="AL311" s="129">
        <v>0</v>
      </c>
      <c r="AM311" s="129">
        <v>0</v>
      </c>
      <c r="AN311" s="129">
        <v>1033847</v>
      </c>
      <c r="AO311" s="129">
        <v>0</v>
      </c>
      <c r="AP311" s="129">
        <v>1033847</v>
      </c>
      <c r="AQ311" s="129">
        <v>-2486602</v>
      </c>
      <c r="AR311" s="129">
        <v>0</v>
      </c>
      <c r="AS311" s="129">
        <v>-2486602</v>
      </c>
      <c r="AT311" s="129">
        <v>-4555000</v>
      </c>
      <c r="AU311" s="129">
        <v>0</v>
      </c>
      <c r="AV311" s="129">
        <v>-4555000</v>
      </c>
      <c r="AW311" s="129">
        <v>-19046</v>
      </c>
      <c r="AX311" s="129">
        <v>0</v>
      </c>
      <c r="AY311" s="129">
        <v>-19046</v>
      </c>
      <c r="AZ311" s="129">
        <v>0</v>
      </c>
      <c r="BA311" s="129">
        <v>0</v>
      </c>
      <c r="BB311" s="129">
        <v>0</v>
      </c>
      <c r="BC311" s="129">
        <v>0</v>
      </c>
      <c r="BD311" s="129">
        <v>0</v>
      </c>
      <c r="BE311" s="129">
        <v>0</v>
      </c>
      <c r="BF311" s="129">
        <v>-7060648</v>
      </c>
      <c r="BG311" s="129">
        <v>0</v>
      </c>
      <c r="BH311" s="129">
        <v>0</v>
      </c>
      <c r="BI311" s="129">
        <v>0</v>
      </c>
      <c r="BJ311" s="129">
        <v>-7060648</v>
      </c>
      <c r="BK311" s="129">
        <v>0</v>
      </c>
      <c r="BL311" s="129">
        <v>-7060648</v>
      </c>
      <c r="BM311" s="129">
        <v>0</v>
      </c>
      <c r="BN311" s="129">
        <v>0</v>
      </c>
      <c r="BO311" s="129">
        <v>0</v>
      </c>
      <c r="BP311" s="129">
        <v>-2257929</v>
      </c>
      <c r="BQ311" s="129">
        <v>0</v>
      </c>
      <c r="BR311" s="129">
        <v>-2257929</v>
      </c>
      <c r="BS311" s="129">
        <v>-2257929</v>
      </c>
      <c r="BT311" s="129">
        <v>0</v>
      </c>
      <c r="BU311" s="129">
        <v>0</v>
      </c>
      <c r="BV311" s="129">
        <v>0</v>
      </c>
      <c r="BW311" s="129">
        <v>-2257929</v>
      </c>
      <c r="BX311" s="129">
        <v>0</v>
      </c>
      <c r="BY311" s="129">
        <v>-2257929</v>
      </c>
      <c r="BZ311" s="129">
        <v>-196467</v>
      </c>
      <c r="CA311" s="129">
        <v>0</v>
      </c>
      <c r="CB311" s="129">
        <v>-196467</v>
      </c>
      <c r="CC311" s="129">
        <v>-16328</v>
      </c>
      <c r="CD311" s="129">
        <v>0</v>
      </c>
      <c r="CE311" s="129">
        <v>-16328</v>
      </c>
      <c r="CF311" s="129">
        <v>-4761</v>
      </c>
      <c r="CG311" s="129">
        <v>0</v>
      </c>
      <c r="CH311" s="129">
        <v>-4761</v>
      </c>
      <c r="CI311" s="129">
        <v>0</v>
      </c>
      <c r="CJ311" s="129">
        <v>0</v>
      </c>
      <c r="CK311" s="129">
        <v>0</v>
      </c>
      <c r="CL311" s="129">
        <v>0</v>
      </c>
      <c r="CM311" s="129">
        <v>0</v>
      </c>
      <c r="CN311" s="129">
        <v>0</v>
      </c>
      <c r="CO311" s="129">
        <v>0</v>
      </c>
      <c r="CP311" s="129">
        <v>0</v>
      </c>
      <c r="CQ311" s="129">
        <v>0</v>
      </c>
      <c r="CR311" s="129">
        <v>0</v>
      </c>
      <c r="CS311" s="129">
        <v>0</v>
      </c>
      <c r="CT311" s="129">
        <v>-217556</v>
      </c>
      <c r="CU311" s="129">
        <v>0</v>
      </c>
      <c r="CV311" s="129">
        <v>0</v>
      </c>
      <c r="CW311" s="129">
        <v>0</v>
      </c>
      <c r="CX311" s="129">
        <v>-217556</v>
      </c>
      <c r="CY311" s="129">
        <v>0</v>
      </c>
      <c r="CZ311" s="129">
        <v>-217556</v>
      </c>
      <c r="DA311" s="129">
        <v>0</v>
      </c>
      <c r="DB311" s="129">
        <v>0</v>
      </c>
      <c r="DC311" s="129">
        <v>0</v>
      </c>
      <c r="DD311" s="129">
        <v>-11096</v>
      </c>
      <c r="DE311" s="129">
        <v>0</v>
      </c>
      <c r="DF311" s="129">
        <v>-11096</v>
      </c>
      <c r="DG311" s="129">
        <v>0</v>
      </c>
      <c r="DH311" s="129">
        <v>0</v>
      </c>
      <c r="DI311" s="129">
        <v>0</v>
      </c>
      <c r="DJ311" s="129">
        <v>-11096</v>
      </c>
      <c r="DK311" s="129">
        <v>0</v>
      </c>
      <c r="DL311" s="129">
        <v>0</v>
      </c>
      <c r="DM311" s="129">
        <v>0</v>
      </c>
      <c r="DN311" s="129">
        <v>-11096</v>
      </c>
      <c r="DO311" s="129">
        <v>0</v>
      </c>
      <c r="DP311" s="129">
        <v>-11096</v>
      </c>
      <c r="DQ311" s="129">
        <v>43387941</v>
      </c>
      <c r="DR311" s="129">
        <v>0</v>
      </c>
      <c r="DS311" s="129">
        <v>43387941</v>
      </c>
      <c r="DT311" s="662" t="s">
        <v>468</v>
      </c>
      <c r="DU311" s="673" t="s">
        <v>535</v>
      </c>
      <c r="DV311" s="674" t="s">
        <v>534</v>
      </c>
      <c r="DW311" s="529" t="s">
        <v>1516</v>
      </c>
    </row>
    <row r="312" spans="1:127" ht="12.75" x14ac:dyDescent="0.2">
      <c r="A312" s="664">
        <v>305</v>
      </c>
      <c r="B312" s="675" t="s">
        <v>471</v>
      </c>
      <c r="C312" s="666" t="s">
        <v>1201</v>
      </c>
      <c r="D312" s="667" t="s">
        <v>1202</v>
      </c>
      <c r="E312" s="668" t="s">
        <v>470</v>
      </c>
      <c r="F312" s="753" t="s">
        <v>1891</v>
      </c>
      <c r="G312" s="129">
        <v>80166059</v>
      </c>
      <c r="H312" s="129">
        <v>0</v>
      </c>
      <c r="I312" s="129">
        <v>80166059</v>
      </c>
      <c r="J312" s="793">
        <v>49.9</v>
      </c>
      <c r="K312" s="129">
        <v>40002863</v>
      </c>
      <c r="L312" s="129">
        <v>0</v>
      </c>
      <c r="M312" s="129">
        <v>125000</v>
      </c>
      <c r="N312" s="129">
        <v>0</v>
      </c>
      <c r="O312" s="129">
        <v>40127863</v>
      </c>
      <c r="P312" s="129">
        <v>0</v>
      </c>
      <c r="Q312" s="129">
        <v>40127863</v>
      </c>
      <c r="R312" s="129">
        <v>-79899</v>
      </c>
      <c r="S312" s="129">
        <v>0</v>
      </c>
      <c r="T312" s="129">
        <v>-79899</v>
      </c>
      <c r="U312" s="129">
        <v>48928</v>
      </c>
      <c r="V312" s="129">
        <v>0</v>
      </c>
      <c r="W312" s="129">
        <v>48928</v>
      </c>
      <c r="X312" s="129">
        <v>-30971</v>
      </c>
      <c r="Y312" s="129">
        <v>0</v>
      </c>
      <c r="Z312" s="129">
        <v>0</v>
      </c>
      <c r="AA312" s="129">
        <v>0</v>
      </c>
      <c r="AB312" s="129">
        <v>-30971</v>
      </c>
      <c r="AC312" s="129">
        <v>0</v>
      </c>
      <c r="AD312" s="129">
        <v>-30971</v>
      </c>
      <c r="AE312" s="129">
        <v>30971</v>
      </c>
      <c r="AF312" s="129">
        <v>0</v>
      </c>
      <c r="AG312" s="129">
        <v>30971</v>
      </c>
      <c r="AH312" s="129">
        <v>-3753685</v>
      </c>
      <c r="AI312" s="129">
        <v>0</v>
      </c>
      <c r="AJ312" s="129">
        <v>-3753685</v>
      </c>
      <c r="AK312" s="129">
        <v>0</v>
      </c>
      <c r="AL312" s="129">
        <v>0</v>
      </c>
      <c r="AM312" s="129">
        <v>0</v>
      </c>
      <c r="AN312" s="129">
        <v>716693</v>
      </c>
      <c r="AO312" s="129">
        <v>0</v>
      </c>
      <c r="AP312" s="129">
        <v>716693</v>
      </c>
      <c r="AQ312" s="129">
        <v>-3036992</v>
      </c>
      <c r="AR312" s="129">
        <v>0</v>
      </c>
      <c r="AS312" s="129">
        <v>-3036992</v>
      </c>
      <c r="AT312" s="129">
        <v>-3325976</v>
      </c>
      <c r="AU312" s="129">
        <v>0</v>
      </c>
      <c r="AV312" s="129">
        <v>-3325976</v>
      </c>
      <c r="AW312" s="129">
        <v>-42578</v>
      </c>
      <c r="AX312" s="129">
        <v>0</v>
      </c>
      <c r="AY312" s="129">
        <v>-42578</v>
      </c>
      <c r="AZ312" s="129">
        <v>0</v>
      </c>
      <c r="BA312" s="129">
        <v>0</v>
      </c>
      <c r="BB312" s="129">
        <v>0</v>
      </c>
      <c r="BC312" s="129">
        <v>0</v>
      </c>
      <c r="BD312" s="129">
        <v>0</v>
      </c>
      <c r="BE312" s="129">
        <v>0</v>
      </c>
      <c r="BF312" s="129">
        <v>-6405546</v>
      </c>
      <c r="BG312" s="129">
        <v>0</v>
      </c>
      <c r="BH312" s="129">
        <v>0</v>
      </c>
      <c r="BI312" s="129">
        <v>0</v>
      </c>
      <c r="BJ312" s="129">
        <v>-6405546</v>
      </c>
      <c r="BK312" s="129">
        <v>0</v>
      </c>
      <c r="BL312" s="129">
        <v>-6405546</v>
      </c>
      <c r="BM312" s="129">
        <v>0</v>
      </c>
      <c r="BN312" s="129">
        <v>0</v>
      </c>
      <c r="BO312" s="129">
        <v>0</v>
      </c>
      <c r="BP312" s="129">
        <v>-424254</v>
      </c>
      <c r="BQ312" s="129">
        <v>0</v>
      </c>
      <c r="BR312" s="129">
        <v>-424254</v>
      </c>
      <c r="BS312" s="129">
        <v>-424254</v>
      </c>
      <c r="BT312" s="129">
        <v>0</v>
      </c>
      <c r="BU312" s="129">
        <v>0</v>
      </c>
      <c r="BV312" s="129">
        <v>0</v>
      </c>
      <c r="BW312" s="129">
        <v>-424254</v>
      </c>
      <c r="BX312" s="129">
        <v>0</v>
      </c>
      <c r="BY312" s="129">
        <v>-424254</v>
      </c>
      <c r="BZ312" s="129">
        <v>-221493</v>
      </c>
      <c r="CA312" s="129">
        <v>0</v>
      </c>
      <c r="CB312" s="129">
        <v>-221493</v>
      </c>
      <c r="CC312" s="129">
        <v>-1597</v>
      </c>
      <c r="CD312" s="129">
        <v>0</v>
      </c>
      <c r="CE312" s="129">
        <v>-1597</v>
      </c>
      <c r="CF312" s="129">
        <v>-614</v>
      </c>
      <c r="CG312" s="129">
        <v>0</v>
      </c>
      <c r="CH312" s="129">
        <v>-614</v>
      </c>
      <c r="CI312" s="129">
        <v>0</v>
      </c>
      <c r="CJ312" s="129">
        <v>0</v>
      </c>
      <c r="CK312" s="129">
        <v>0</v>
      </c>
      <c r="CL312" s="129">
        <v>0</v>
      </c>
      <c r="CM312" s="129">
        <v>0</v>
      </c>
      <c r="CN312" s="129">
        <v>0</v>
      </c>
      <c r="CO312" s="129">
        <v>0</v>
      </c>
      <c r="CP312" s="129">
        <v>0</v>
      </c>
      <c r="CQ312" s="129">
        <v>0</v>
      </c>
      <c r="CR312" s="129">
        <v>0</v>
      </c>
      <c r="CS312" s="129">
        <v>0</v>
      </c>
      <c r="CT312" s="129">
        <v>-223704</v>
      </c>
      <c r="CU312" s="129">
        <v>0</v>
      </c>
      <c r="CV312" s="129">
        <v>0</v>
      </c>
      <c r="CW312" s="129">
        <v>0</v>
      </c>
      <c r="CX312" s="129">
        <v>-223704</v>
      </c>
      <c r="CY312" s="129">
        <v>0</v>
      </c>
      <c r="CZ312" s="129">
        <v>-223704</v>
      </c>
      <c r="DA312" s="129">
        <v>0</v>
      </c>
      <c r="DB312" s="129">
        <v>0</v>
      </c>
      <c r="DC312" s="129">
        <v>0</v>
      </c>
      <c r="DD312" s="129">
        <v>-20284</v>
      </c>
      <c r="DE312" s="129">
        <v>0</v>
      </c>
      <c r="DF312" s="129">
        <v>-20284</v>
      </c>
      <c r="DG312" s="129">
        <v>0</v>
      </c>
      <c r="DH312" s="129">
        <v>0</v>
      </c>
      <c r="DI312" s="129">
        <v>0</v>
      </c>
      <c r="DJ312" s="129">
        <v>-20284</v>
      </c>
      <c r="DK312" s="129">
        <v>0</v>
      </c>
      <c r="DL312" s="129">
        <v>0</v>
      </c>
      <c r="DM312" s="129">
        <v>0</v>
      </c>
      <c r="DN312" s="129">
        <v>-20284</v>
      </c>
      <c r="DO312" s="129">
        <v>0</v>
      </c>
      <c r="DP312" s="129">
        <v>-20284</v>
      </c>
      <c r="DQ312" s="129">
        <v>33023104</v>
      </c>
      <c r="DR312" s="129">
        <v>0</v>
      </c>
      <c r="DS312" s="129">
        <v>33023104</v>
      </c>
      <c r="DT312" s="662" t="s">
        <v>470</v>
      </c>
      <c r="DU312" s="673" t="s">
        <v>568</v>
      </c>
      <c r="DV312" s="674" t="s">
        <v>512</v>
      </c>
      <c r="DW312" s="529" t="s">
        <v>1517</v>
      </c>
    </row>
    <row r="313" spans="1:127" ht="12.75" x14ac:dyDescent="0.2">
      <c r="A313" s="664">
        <v>306</v>
      </c>
      <c r="B313" s="665" t="s">
        <v>473</v>
      </c>
      <c r="C313" s="666" t="s">
        <v>1201</v>
      </c>
      <c r="D313" s="667" t="s">
        <v>1228</v>
      </c>
      <c r="E313" s="668" t="s">
        <v>472</v>
      </c>
      <c r="F313" s="753" t="s">
        <v>1875</v>
      </c>
      <c r="G313" s="129">
        <v>112800380</v>
      </c>
      <c r="H313" s="129">
        <v>0</v>
      </c>
      <c r="I313" s="129">
        <v>112800380</v>
      </c>
      <c r="J313" s="793">
        <v>49.9</v>
      </c>
      <c r="K313" s="129">
        <v>56287390</v>
      </c>
      <c r="L313" s="129">
        <v>0</v>
      </c>
      <c r="M313" s="129">
        <v>0</v>
      </c>
      <c r="N313" s="129">
        <v>0</v>
      </c>
      <c r="O313" s="129">
        <v>56287390</v>
      </c>
      <c r="P313" s="129">
        <v>0</v>
      </c>
      <c r="Q313" s="129">
        <v>56287390</v>
      </c>
      <c r="R313" s="129">
        <v>-220591</v>
      </c>
      <c r="S313" s="129">
        <v>0</v>
      </c>
      <c r="T313" s="129">
        <v>-220591</v>
      </c>
      <c r="U313" s="129">
        <v>202867</v>
      </c>
      <c r="V313" s="129">
        <v>0</v>
      </c>
      <c r="W313" s="129">
        <v>202867</v>
      </c>
      <c r="X313" s="129">
        <v>-17724</v>
      </c>
      <c r="Y313" s="129">
        <v>0</v>
      </c>
      <c r="Z313" s="129">
        <v>0</v>
      </c>
      <c r="AA313" s="129">
        <v>0</v>
      </c>
      <c r="AB313" s="129">
        <v>-17724</v>
      </c>
      <c r="AC313" s="129">
        <v>0</v>
      </c>
      <c r="AD313" s="129">
        <v>-17724</v>
      </c>
      <c r="AE313" s="129">
        <v>17724</v>
      </c>
      <c r="AF313" s="129">
        <v>0</v>
      </c>
      <c r="AG313" s="129">
        <v>17724</v>
      </c>
      <c r="AH313" s="129">
        <v>-6223486</v>
      </c>
      <c r="AI313" s="129">
        <v>0</v>
      </c>
      <c r="AJ313" s="129">
        <v>-6223486</v>
      </c>
      <c r="AK313" s="129">
        <v>0</v>
      </c>
      <c r="AL313" s="129">
        <v>0</v>
      </c>
      <c r="AM313" s="129">
        <v>0</v>
      </c>
      <c r="AN313" s="129">
        <v>986318</v>
      </c>
      <c r="AO313" s="129">
        <v>0</v>
      </c>
      <c r="AP313" s="129">
        <v>986318</v>
      </c>
      <c r="AQ313" s="129">
        <v>-5237168</v>
      </c>
      <c r="AR313" s="129">
        <v>0</v>
      </c>
      <c r="AS313" s="129">
        <v>-5237168</v>
      </c>
      <c r="AT313" s="129">
        <v>-2334314</v>
      </c>
      <c r="AU313" s="129">
        <v>0</v>
      </c>
      <c r="AV313" s="129">
        <v>-2334314</v>
      </c>
      <c r="AW313" s="129">
        <v>-60857</v>
      </c>
      <c r="AX313" s="129">
        <v>0</v>
      </c>
      <c r="AY313" s="129">
        <v>-60857</v>
      </c>
      <c r="AZ313" s="129">
        <v>-33958</v>
      </c>
      <c r="BA313" s="129">
        <v>0</v>
      </c>
      <c r="BB313" s="129">
        <v>-33958</v>
      </c>
      <c r="BC313" s="129">
        <v>0</v>
      </c>
      <c r="BD313" s="129">
        <v>0</v>
      </c>
      <c r="BE313" s="129">
        <v>0</v>
      </c>
      <c r="BF313" s="129">
        <v>-7666297</v>
      </c>
      <c r="BG313" s="129">
        <v>0</v>
      </c>
      <c r="BH313" s="129">
        <v>0</v>
      </c>
      <c r="BI313" s="129">
        <v>0</v>
      </c>
      <c r="BJ313" s="129">
        <v>-7666297</v>
      </c>
      <c r="BK313" s="129">
        <v>0</v>
      </c>
      <c r="BL313" s="129">
        <v>-7666297</v>
      </c>
      <c r="BM313" s="129">
        <v>0</v>
      </c>
      <c r="BN313" s="129">
        <v>0</v>
      </c>
      <c r="BO313" s="129">
        <v>0</v>
      </c>
      <c r="BP313" s="129">
        <v>-645564</v>
      </c>
      <c r="BQ313" s="129">
        <v>0</v>
      </c>
      <c r="BR313" s="129">
        <v>-645564</v>
      </c>
      <c r="BS313" s="129">
        <v>-645564</v>
      </c>
      <c r="BT313" s="129">
        <v>0</v>
      </c>
      <c r="BU313" s="129">
        <v>-855314</v>
      </c>
      <c r="BV313" s="129">
        <v>0</v>
      </c>
      <c r="BW313" s="129">
        <v>-1500878</v>
      </c>
      <c r="BX313" s="129">
        <v>0</v>
      </c>
      <c r="BY313" s="129">
        <v>-1500878</v>
      </c>
      <c r="BZ313" s="129">
        <v>-173225</v>
      </c>
      <c r="CA313" s="129">
        <v>0</v>
      </c>
      <c r="CB313" s="129">
        <v>-173225</v>
      </c>
      <c r="CC313" s="129">
        <v>-17859</v>
      </c>
      <c r="CD313" s="129">
        <v>0</v>
      </c>
      <c r="CE313" s="129">
        <v>-17859</v>
      </c>
      <c r="CF313" s="129">
        <v>-11986</v>
      </c>
      <c r="CG313" s="129">
        <v>0</v>
      </c>
      <c r="CH313" s="129">
        <v>-11986</v>
      </c>
      <c r="CI313" s="129">
        <v>0</v>
      </c>
      <c r="CJ313" s="129">
        <v>0</v>
      </c>
      <c r="CK313" s="129">
        <v>0</v>
      </c>
      <c r="CL313" s="129">
        <v>-3409</v>
      </c>
      <c r="CM313" s="129">
        <v>0</v>
      </c>
      <c r="CN313" s="129">
        <v>-3409</v>
      </c>
      <c r="CO313" s="129">
        <v>0</v>
      </c>
      <c r="CP313" s="129">
        <v>0</v>
      </c>
      <c r="CQ313" s="129">
        <v>0</v>
      </c>
      <c r="CR313" s="129">
        <v>0</v>
      </c>
      <c r="CS313" s="129">
        <v>0</v>
      </c>
      <c r="CT313" s="129">
        <v>-206479</v>
      </c>
      <c r="CU313" s="129">
        <v>0</v>
      </c>
      <c r="CV313" s="129">
        <v>0</v>
      </c>
      <c r="CW313" s="129">
        <v>0</v>
      </c>
      <c r="CX313" s="129">
        <v>-206479</v>
      </c>
      <c r="CY313" s="129">
        <v>0</v>
      </c>
      <c r="CZ313" s="129">
        <v>-206479</v>
      </c>
      <c r="DA313" s="129">
        <v>-42840</v>
      </c>
      <c r="DB313" s="129">
        <v>0</v>
      </c>
      <c r="DC313" s="129">
        <v>-42840</v>
      </c>
      <c r="DD313" s="129">
        <v>-22832</v>
      </c>
      <c r="DE313" s="129">
        <v>0</v>
      </c>
      <c r="DF313" s="129">
        <v>-22832</v>
      </c>
      <c r="DG313" s="129">
        <v>0</v>
      </c>
      <c r="DH313" s="129">
        <v>0</v>
      </c>
      <c r="DI313" s="129">
        <v>0</v>
      </c>
      <c r="DJ313" s="129">
        <v>-65672</v>
      </c>
      <c r="DK313" s="129">
        <v>0</v>
      </c>
      <c r="DL313" s="129">
        <v>0</v>
      </c>
      <c r="DM313" s="129">
        <v>0</v>
      </c>
      <c r="DN313" s="129">
        <v>-65672</v>
      </c>
      <c r="DO313" s="129">
        <v>0</v>
      </c>
      <c r="DP313" s="129">
        <v>-65672</v>
      </c>
      <c r="DQ313" s="129">
        <v>46830340</v>
      </c>
      <c r="DR313" s="129">
        <v>0</v>
      </c>
      <c r="DS313" s="129">
        <v>46830340</v>
      </c>
      <c r="DT313" s="662" t="s">
        <v>472</v>
      </c>
      <c r="DU313" s="673" t="s">
        <v>535</v>
      </c>
      <c r="DV313" s="674" t="s">
        <v>534</v>
      </c>
      <c r="DW313" s="529" t="s">
        <v>1518</v>
      </c>
    </row>
    <row r="314" spans="1:127" ht="12.75" x14ac:dyDescent="0.2">
      <c r="A314" s="664">
        <v>307</v>
      </c>
      <c r="B314" s="665" t="s">
        <v>475</v>
      </c>
      <c r="C314" s="666" t="s">
        <v>1201</v>
      </c>
      <c r="D314" s="667" t="s">
        <v>1204</v>
      </c>
      <c r="E314" s="668" t="s">
        <v>474</v>
      </c>
      <c r="F314" s="753" t="s">
        <v>1894</v>
      </c>
      <c r="G314" s="129">
        <v>64502030</v>
      </c>
      <c r="H314" s="129">
        <v>5891895</v>
      </c>
      <c r="I314" s="129">
        <v>70393925</v>
      </c>
      <c r="J314" s="793">
        <v>49.9</v>
      </c>
      <c r="K314" s="129">
        <v>32186513</v>
      </c>
      <c r="L314" s="129">
        <v>2940056</v>
      </c>
      <c r="M314" s="129">
        <v>0</v>
      </c>
      <c r="N314" s="129">
        <v>0</v>
      </c>
      <c r="O314" s="129">
        <v>32186513</v>
      </c>
      <c r="P314" s="129">
        <v>2940056</v>
      </c>
      <c r="Q314" s="129">
        <v>35126569</v>
      </c>
      <c r="R314" s="129">
        <v>-97535</v>
      </c>
      <c r="S314" s="129">
        <v>-186</v>
      </c>
      <c r="T314" s="129">
        <v>-97721</v>
      </c>
      <c r="U314" s="129">
        <v>900317</v>
      </c>
      <c r="V314" s="129">
        <v>0</v>
      </c>
      <c r="W314" s="129">
        <v>900317</v>
      </c>
      <c r="X314" s="129">
        <v>802782</v>
      </c>
      <c r="Y314" s="129">
        <v>-186</v>
      </c>
      <c r="Z314" s="129">
        <v>0</v>
      </c>
      <c r="AA314" s="129">
        <v>0</v>
      </c>
      <c r="AB314" s="129">
        <v>802782</v>
      </c>
      <c r="AC314" s="129">
        <v>-186</v>
      </c>
      <c r="AD314" s="129">
        <v>802596</v>
      </c>
      <c r="AE314" s="129">
        <v>-802782</v>
      </c>
      <c r="AF314" s="129">
        <v>186</v>
      </c>
      <c r="AG314" s="129">
        <v>-802596</v>
      </c>
      <c r="AH314" s="129">
        <v>-5455579</v>
      </c>
      <c r="AI314" s="129">
        <v>-55503</v>
      </c>
      <c r="AJ314" s="129">
        <v>-5511082</v>
      </c>
      <c r="AK314" s="129">
        <v>-11976</v>
      </c>
      <c r="AL314" s="129">
        <v>-1846</v>
      </c>
      <c r="AM314" s="129">
        <v>-13822</v>
      </c>
      <c r="AN314" s="129">
        <v>456353</v>
      </c>
      <c r="AO314" s="129">
        <v>72149</v>
      </c>
      <c r="AP314" s="129">
        <v>528502</v>
      </c>
      <c r="AQ314" s="129">
        <v>-4999226</v>
      </c>
      <c r="AR314" s="129">
        <v>16646</v>
      </c>
      <c r="AS314" s="129">
        <v>-4982580</v>
      </c>
      <c r="AT314" s="129">
        <v>-2085906</v>
      </c>
      <c r="AU314" s="129">
        <v>-18432</v>
      </c>
      <c r="AV314" s="129">
        <v>-2104338</v>
      </c>
      <c r="AW314" s="129">
        <v>-30214</v>
      </c>
      <c r="AX314" s="129">
        <v>0</v>
      </c>
      <c r="AY314" s="129">
        <v>-30214</v>
      </c>
      <c r="AZ314" s="129">
        <v>0</v>
      </c>
      <c r="BA314" s="129">
        <v>0</v>
      </c>
      <c r="BB314" s="129">
        <v>0</v>
      </c>
      <c r="BC314" s="129">
        <v>0</v>
      </c>
      <c r="BD314" s="129">
        <v>0</v>
      </c>
      <c r="BE314" s="129">
        <v>0</v>
      </c>
      <c r="BF314" s="129">
        <v>-7115346</v>
      </c>
      <c r="BG314" s="129">
        <v>-1786</v>
      </c>
      <c r="BH314" s="129">
        <v>0</v>
      </c>
      <c r="BI314" s="129">
        <v>0</v>
      </c>
      <c r="BJ314" s="129">
        <v>-7115346</v>
      </c>
      <c r="BK314" s="129">
        <v>-1786</v>
      </c>
      <c r="BL314" s="129">
        <v>-7117132</v>
      </c>
      <c r="BM314" s="129">
        <v>0</v>
      </c>
      <c r="BN314" s="129">
        <v>0</v>
      </c>
      <c r="BO314" s="129">
        <v>0</v>
      </c>
      <c r="BP314" s="129">
        <v>-622168</v>
      </c>
      <c r="BQ314" s="129">
        <v>-135400</v>
      </c>
      <c r="BR314" s="129">
        <v>-757568</v>
      </c>
      <c r="BS314" s="129">
        <v>-622168</v>
      </c>
      <c r="BT314" s="129">
        <v>-135400</v>
      </c>
      <c r="BU314" s="129">
        <v>0</v>
      </c>
      <c r="BV314" s="129">
        <v>0</v>
      </c>
      <c r="BW314" s="129">
        <v>-622168</v>
      </c>
      <c r="BX314" s="129">
        <v>-135400</v>
      </c>
      <c r="BY314" s="129">
        <v>-757568</v>
      </c>
      <c r="BZ314" s="129">
        <v>-2866</v>
      </c>
      <c r="CA314" s="129">
        <v>0</v>
      </c>
      <c r="CB314" s="129">
        <v>-2866</v>
      </c>
      <c r="CC314" s="129">
        <v>-67273</v>
      </c>
      <c r="CD314" s="129">
        <v>0</v>
      </c>
      <c r="CE314" s="129">
        <v>-67273</v>
      </c>
      <c r="CF314" s="129">
        <v>0</v>
      </c>
      <c r="CG314" s="129">
        <v>0</v>
      </c>
      <c r="CH314" s="129">
        <v>0</v>
      </c>
      <c r="CI314" s="129">
        <v>0</v>
      </c>
      <c r="CJ314" s="129">
        <v>0</v>
      </c>
      <c r="CK314" s="129">
        <v>0</v>
      </c>
      <c r="CL314" s="129">
        <v>0</v>
      </c>
      <c r="CM314" s="129">
        <v>0</v>
      </c>
      <c r="CN314" s="129">
        <v>0</v>
      </c>
      <c r="CO314" s="129">
        <v>0</v>
      </c>
      <c r="CP314" s="129">
        <v>0</v>
      </c>
      <c r="CQ314" s="129">
        <v>0</v>
      </c>
      <c r="CR314" s="129">
        <v>0</v>
      </c>
      <c r="CS314" s="129">
        <v>0</v>
      </c>
      <c r="CT314" s="129">
        <v>-70139</v>
      </c>
      <c r="CU314" s="129">
        <v>0</v>
      </c>
      <c r="CV314" s="129">
        <v>0</v>
      </c>
      <c r="CW314" s="129">
        <v>0</v>
      </c>
      <c r="CX314" s="129">
        <v>-70139</v>
      </c>
      <c r="CY314" s="129">
        <v>0</v>
      </c>
      <c r="CZ314" s="129">
        <v>-70139</v>
      </c>
      <c r="DA314" s="129">
        <v>0</v>
      </c>
      <c r="DB314" s="129">
        <v>0</v>
      </c>
      <c r="DC314" s="129">
        <v>0</v>
      </c>
      <c r="DD314" s="129">
        <v>-14044</v>
      </c>
      <c r="DE314" s="129">
        <v>0</v>
      </c>
      <c r="DF314" s="129">
        <v>-14044</v>
      </c>
      <c r="DG314" s="129">
        <v>0</v>
      </c>
      <c r="DH314" s="129">
        <v>0</v>
      </c>
      <c r="DI314" s="129">
        <v>0</v>
      </c>
      <c r="DJ314" s="129">
        <v>-14044</v>
      </c>
      <c r="DK314" s="129">
        <v>0</v>
      </c>
      <c r="DL314" s="129">
        <v>0</v>
      </c>
      <c r="DM314" s="129">
        <v>0</v>
      </c>
      <c r="DN314" s="129">
        <v>-14044</v>
      </c>
      <c r="DO314" s="129">
        <v>0</v>
      </c>
      <c r="DP314" s="129">
        <v>-14044</v>
      </c>
      <c r="DQ314" s="129">
        <v>25167598</v>
      </c>
      <c r="DR314" s="129">
        <v>2802684</v>
      </c>
      <c r="DS314" s="129">
        <v>27970282</v>
      </c>
      <c r="DT314" s="662" t="s">
        <v>474</v>
      </c>
      <c r="DU314" s="673" t="s">
        <v>547</v>
      </c>
      <c r="DV314" s="674" t="s">
        <v>545</v>
      </c>
      <c r="DW314" s="529" t="s">
        <v>1519</v>
      </c>
    </row>
    <row r="315" spans="1:127" ht="12.75" x14ac:dyDescent="0.2">
      <c r="A315" s="664">
        <v>308</v>
      </c>
      <c r="B315" s="665" t="s">
        <v>477</v>
      </c>
      <c r="C315" s="666" t="s">
        <v>1201</v>
      </c>
      <c r="D315" s="667" t="s">
        <v>1228</v>
      </c>
      <c r="E315" s="668" t="s">
        <v>476</v>
      </c>
      <c r="F315" s="753" t="s">
        <v>1887</v>
      </c>
      <c r="G315" s="129">
        <v>74914058</v>
      </c>
      <c r="H315" s="129">
        <v>0</v>
      </c>
      <c r="I315" s="129">
        <v>74914058</v>
      </c>
      <c r="J315" s="793">
        <v>49.9</v>
      </c>
      <c r="K315" s="129">
        <v>37382115</v>
      </c>
      <c r="L315" s="129">
        <v>0</v>
      </c>
      <c r="M315" s="129">
        <v>-150000</v>
      </c>
      <c r="N315" s="129">
        <v>0</v>
      </c>
      <c r="O315" s="129">
        <v>37232115</v>
      </c>
      <c r="P315" s="129">
        <v>0</v>
      </c>
      <c r="Q315" s="129">
        <v>37232115</v>
      </c>
      <c r="R315" s="129">
        <v>-91105</v>
      </c>
      <c r="S315" s="129">
        <v>0</v>
      </c>
      <c r="T315" s="129">
        <v>-91105</v>
      </c>
      <c r="U315" s="129">
        <v>32316</v>
      </c>
      <c r="V315" s="129">
        <v>0</v>
      </c>
      <c r="W315" s="129">
        <v>32316</v>
      </c>
      <c r="X315" s="129">
        <v>-58789</v>
      </c>
      <c r="Y315" s="129">
        <v>0</v>
      </c>
      <c r="Z315" s="129">
        <v>0</v>
      </c>
      <c r="AA315" s="129">
        <v>0</v>
      </c>
      <c r="AB315" s="129">
        <v>-58789</v>
      </c>
      <c r="AC315" s="129">
        <v>0</v>
      </c>
      <c r="AD315" s="129">
        <v>-58789</v>
      </c>
      <c r="AE315" s="129">
        <v>58789</v>
      </c>
      <c r="AF315" s="129">
        <v>0</v>
      </c>
      <c r="AG315" s="129">
        <v>58789</v>
      </c>
      <c r="AH315" s="129">
        <v>-4091921</v>
      </c>
      <c r="AI315" s="129">
        <v>0</v>
      </c>
      <c r="AJ315" s="129">
        <v>-4091921</v>
      </c>
      <c r="AK315" s="129">
        <v>0</v>
      </c>
      <c r="AL315" s="129">
        <v>0</v>
      </c>
      <c r="AM315" s="129">
        <v>0</v>
      </c>
      <c r="AN315" s="129">
        <v>651450</v>
      </c>
      <c r="AO315" s="129">
        <v>0</v>
      </c>
      <c r="AP315" s="129">
        <v>651450</v>
      </c>
      <c r="AQ315" s="129">
        <v>-3440471</v>
      </c>
      <c r="AR315" s="129">
        <v>0</v>
      </c>
      <c r="AS315" s="129">
        <v>-3440471</v>
      </c>
      <c r="AT315" s="129">
        <v>-2359433</v>
      </c>
      <c r="AU315" s="129">
        <v>0</v>
      </c>
      <c r="AV315" s="129">
        <v>-2359433</v>
      </c>
      <c r="AW315" s="129">
        <v>-48828</v>
      </c>
      <c r="AX315" s="129">
        <v>0</v>
      </c>
      <c r="AY315" s="129">
        <v>-48828</v>
      </c>
      <c r="AZ315" s="129">
        <v>-9574</v>
      </c>
      <c r="BA315" s="129">
        <v>0</v>
      </c>
      <c r="BB315" s="129">
        <v>-9574</v>
      </c>
      <c r="BC315" s="129">
        <v>0</v>
      </c>
      <c r="BD315" s="129">
        <v>0</v>
      </c>
      <c r="BE315" s="129">
        <v>0</v>
      </c>
      <c r="BF315" s="129">
        <v>-5858306</v>
      </c>
      <c r="BG315" s="129">
        <v>0</v>
      </c>
      <c r="BH315" s="129">
        <v>-200000</v>
      </c>
      <c r="BI315" s="129">
        <v>0</v>
      </c>
      <c r="BJ315" s="129">
        <v>-6058306</v>
      </c>
      <c r="BK315" s="129">
        <v>0</v>
      </c>
      <c r="BL315" s="129">
        <v>-6058306</v>
      </c>
      <c r="BM315" s="129">
        <v>0</v>
      </c>
      <c r="BN315" s="129">
        <v>0</v>
      </c>
      <c r="BO315" s="129">
        <v>0</v>
      </c>
      <c r="BP315" s="129">
        <v>-1031622</v>
      </c>
      <c r="BQ315" s="129">
        <v>0</v>
      </c>
      <c r="BR315" s="129">
        <v>-1031622</v>
      </c>
      <c r="BS315" s="129">
        <v>-1031622</v>
      </c>
      <c r="BT315" s="129">
        <v>0</v>
      </c>
      <c r="BU315" s="129">
        <v>-350000</v>
      </c>
      <c r="BV315" s="129">
        <v>0</v>
      </c>
      <c r="BW315" s="129">
        <v>-1381622</v>
      </c>
      <c r="BX315" s="129">
        <v>0</v>
      </c>
      <c r="BY315" s="129">
        <v>-1381622</v>
      </c>
      <c r="BZ315" s="129">
        <v>-85638</v>
      </c>
      <c r="CA315" s="129">
        <v>0</v>
      </c>
      <c r="CB315" s="129">
        <v>-85638</v>
      </c>
      <c r="CC315" s="129">
        <v>-127201</v>
      </c>
      <c r="CD315" s="129">
        <v>0</v>
      </c>
      <c r="CE315" s="129">
        <v>-127201</v>
      </c>
      <c r="CF315" s="129">
        <v>0</v>
      </c>
      <c r="CG315" s="129">
        <v>0</v>
      </c>
      <c r="CH315" s="129">
        <v>0</v>
      </c>
      <c r="CI315" s="129">
        <v>0</v>
      </c>
      <c r="CJ315" s="129">
        <v>0</v>
      </c>
      <c r="CK315" s="129">
        <v>0</v>
      </c>
      <c r="CL315" s="129">
        <v>0</v>
      </c>
      <c r="CM315" s="129">
        <v>0</v>
      </c>
      <c r="CN315" s="129">
        <v>0</v>
      </c>
      <c r="CO315" s="129">
        <v>0</v>
      </c>
      <c r="CP315" s="129">
        <v>0</v>
      </c>
      <c r="CQ315" s="129">
        <v>0</v>
      </c>
      <c r="CR315" s="129">
        <v>0</v>
      </c>
      <c r="CS315" s="129">
        <v>0</v>
      </c>
      <c r="CT315" s="129">
        <v>-212839</v>
      </c>
      <c r="CU315" s="129">
        <v>0</v>
      </c>
      <c r="CV315" s="129">
        <v>-75000</v>
      </c>
      <c r="CW315" s="129">
        <v>0</v>
      </c>
      <c r="CX315" s="129">
        <v>-287839</v>
      </c>
      <c r="CY315" s="129">
        <v>0</v>
      </c>
      <c r="CZ315" s="129">
        <v>-287839</v>
      </c>
      <c r="DA315" s="129">
        <v>-9574</v>
      </c>
      <c r="DB315" s="129">
        <v>0</v>
      </c>
      <c r="DC315" s="129">
        <v>-9574</v>
      </c>
      <c r="DD315" s="129">
        <v>-19623</v>
      </c>
      <c r="DE315" s="129">
        <v>0</v>
      </c>
      <c r="DF315" s="129">
        <v>-19623</v>
      </c>
      <c r="DG315" s="129">
        <v>0</v>
      </c>
      <c r="DH315" s="129">
        <v>0</v>
      </c>
      <c r="DI315" s="129">
        <v>0</v>
      </c>
      <c r="DJ315" s="129">
        <v>-29197</v>
      </c>
      <c r="DK315" s="129">
        <v>0</v>
      </c>
      <c r="DL315" s="129">
        <v>0</v>
      </c>
      <c r="DM315" s="129">
        <v>0</v>
      </c>
      <c r="DN315" s="129">
        <v>-29197</v>
      </c>
      <c r="DO315" s="129">
        <v>0</v>
      </c>
      <c r="DP315" s="129">
        <v>-29197</v>
      </c>
      <c r="DQ315" s="129">
        <v>29416362</v>
      </c>
      <c r="DR315" s="129">
        <v>0</v>
      </c>
      <c r="DS315" s="129">
        <v>29416362</v>
      </c>
      <c r="DT315" s="662" t="s">
        <v>476</v>
      </c>
      <c r="DU315" s="673" t="s">
        <v>535</v>
      </c>
      <c r="DV315" s="674" t="s">
        <v>534</v>
      </c>
      <c r="DW315" s="529" t="s">
        <v>1520</v>
      </c>
    </row>
    <row r="316" spans="1:127" ht="13.5" thickBot="1" x14ac:dyDescent="0.25">
      <c r="A316" s="664">
        <v>309</v>
      </c>
      <c r="B316" s="665" t="s">
        <v>479</v>
      </c>
      <c r="C316" s="666" t="s">
        <v>486</v>
      </c>
      <c r="D316" s="667" t="s">
        <v>1218</v>
      </c>
      <c r="E316" s="668" t="s">
        <v>554</v>
      </c>
      <c r="F316" s="753" t="s">
        <v>1875</v>
      </c>
      <c r="G316" s="129">
        <v>251785478</v>
      </c>
      <c r="H316" s="129">
        <v>3336900</v>
      </c>
      <c r="I316" s="129">
        <v>255122378</v>
      </c>
      <c r="J316" s="793">
        <v>49.9</v>
      </c>
      <c r="K316" s="129">
        <v>125640954</v>
      </c>
      <c r="L316" s="129">
        <v>1665113</v>
      </c>
      <c r="M316" s="129">
        <v>0</v>
      </c>
      <c r="N316" s="129">
        <v>0</v>
      </c>
      <c r="O316" s="129">
        <v>125640954</v>
      </c>
      <c r="P316" s="129">
        <v>1665113</v>
      </c>
      <c r="Q316" s="129">
        <v>127306067</v>
      </c>
      <c r="R316" s="129">
        <v>-211906</v>
      </c>
      <c r="S316" s="129">
        <v>-53506</v>
      </c>
      <c r="T316" s="129">
        <v>-265412</v>
      </c>
      <c r="U316" s="129">
        <v>627249</v>
      </c>
      <c r="V316" s="129">
        <v>13359</v>
      </c>
      <c r="W316" s="129">
        <v>640608</v>
      </c>
      <c r="X316" s="129">
        <v>415343</v>
      </c>
      <c r="Y316" s="129">
        <v>-40147</v>
      </c>
      <c r="Z316" s="129">
        <v>0</v>
      </c>
      <c r="AA316" s="129">
        <v>0</v>
      </c>
      <c r="AB316" s="129">
        <v>415343</v>
      </c>
      <c r="AC316" s="129">
        <v>-40147</v>
      </c>
      <c r="AD316" s="129">
        <v>375196</v>
      </c>
      <c r="AE316" s="129">
        <v>-415343</v>
      </c>
      <c r="AF316" s="129">
        <v>40147</v>
      </c>
      <c r="AG316" s="129">
        <v>-375196</v>
      </c>
      <c r="AH316" s="129">
        <v>-6762678</v>
      </c>
      <c r="AI316" s="129">
        <v>-3115</v>
      </c>
      <c r="AJ316" s="129">
        <v>-6765793</v>
      </c>
      <c r="AK316" s="129">
        <v>-50000</v>
      </c>
      <c r="AL316" s="129">
        <v>0</v>
      </c>
      <c r="AM316" s="129">
        <v>-50000</v>
      </c>
      <c r="AN316" s="129">
        <v>2500690</v>
      </c>
      <c r="AO316" s="129">
        <v>40208</v>
      </c>
      <c r="AP316" s="129">
        <v>2540898</v>
      </c>
      <c r="AQ316" s="129">
        <v>-4261988</v>
      </c>
      <c r="AR316" s="129">
        <v>37093</v>
      </c>
      <c r="AS316" s="129">
        <v>-4224895</v>
      </c>
      <c r="AT316" s="129">
        <v>-11103124</v>
      </c>
      <c r="AU316" s="129">
        <v>-667750</v>
      </c>
      <c r="AV316" s="129">
        <v>-11770874</v>
      </c>
      <c r="AW316" s="129">
        <v>-104393</v>
      </c>
      <c r="AX316" s="129">
        <v>0</v>
      </c>
      <c r="AY316" s="129">
        <v>-104393</v>
      </c>
      <c r="AZ316" s="129">
        <v>-2875</v>
      </c>
      <c r="BA316" s="129">
        <v>0</v>
      </c>
      <c r="BB316" s="129">
        <v>-2875</v>
      </c>
      <c r="BC316" s="129">
        <v>0</v>
      </c>
      <c r="BD316" s="129">
        <v>0</v>
      </c>
      <c r="BE316" s="129">
        <v>0</v>
      </c>
      <c r="BF316" s="129">
        <v>-15472380</v>
      </c>
      <c r="BG316" s="129">
        <v>-630657</v>
      </c>
      <c r="BH316" s="129">
        <v>0</v>
      </c>
      <c r="BI316" s="129">
        <v>0</v>
      </c>
      <c r="BJ316" s="129">
        <v>-15472380</v>
      </c>
      <c r="BK316" s="129">
        <v>-630657</v>
      </c>
      <c r="BL316" s="129">
        <v>-16103037</v>
      </c>
      <c r="BM316" s="129">
        <v>-20000</v>
      </c>
      <c r="BN316" s="129">
        <v>0</v>
      </c>
      <c r="BO316" s="129">
        <v>-20000</v>
      </c>
      <c r="BP316" s="129">
        <v>-3333834</v>
      </c>
      <c r="BQ316" s="129">
        <v>-4209</v>
      </c>
      <c r="BR316" s="129">
        <v>-3338043</v>
      </c>
      <c r="BS316" s="129">
        <v>-3353834</v>
      </c>
      <c r="BT316" s="129">
        <v>-4209</v>
      </c>
      <c r="BU316" s="129">
        <v>0</v>
      </c>
      <c r="BV316" s="129">
        <v>0</v>
      </c>
      <c r="BW316" s="129">
        <v>-3353834</v>
      </c>
      <c r="BX316" s="129">
        <v>-4209</v>
      </c>
      <c r="BY316" s="129">
        <v>-3358043</v>
      </c>
      <c r="BZ316" s="129">
        <v>-55791</v>
      </c>
      <c r="CA316" s="129">
        <v>-5322</v>
      </c>
      <c r="CB316" s="129">
        <v>-61113</v>
      </c>
      <c r="CC316" s="129">
        <v>-12055</v>
      </c>
      <c r="CD316" s="129">
        <v>0</v>
      </c>
      <c r="CE316" s="129">
        <v>-12055</v>
      </c>
      <c r="CF316" s="129">
        <v>-8461</v>
      </c>
      <c r="CG316" s="129">
        <v>0</v>
      </c>
      <c r="CH316" s="129">
        <v>-8461</v>
      </c>
      <c r="CI316" s="129">
        <v>0</v>
      </c>
      <c r="CJ316" s="129">
        <v>0</v>
      </c>
      <c r="CK316" s="129">
        <v>0</v>
      </c>
      <c r="CL316" s="129">
        <v>-21610</v>
      </c>
      <c r="CM316" s="129">
        <v>0</v>
      </c>
      <c r="CN316" s="129">
        <v>-21610</v>
      </c>
      <c r="CO316" s="129">
        <v>-20000</v>
      </c>
      <c r="CP316" s="129">
        <v>0</v>
      </c>
      <c r="CQ316" s="129">
        <v>-20000</v>
      </c>
      <c r="CR316" s="129">
        <v>0</v>
      </c>
      <c r="CS316" s="129">
        <v>0</v>
      </c>
      <c r="CT316" s="129">
        <v>-117917</v>
      </c>
      <c r="CU316" s="129">
        <v>-5322</v>
      </c>
      <c r="CV316" s="129">
        <v>0</v>
      </c>
      <c r="CW316" s="129">
        <v>0</v>
      </c>
      <c r="CX316" s="129">
        <v>-117917</v>
      </c>
      <c r="CY316" s="129">
        <v>-5322</v>
      </c>
      <c r="CZ316" s="129">
        <v>-123239</v>
      </c>
      <c r="DA316" s="129">
        <v>-2875</v>
      </c>
      <c r="DB316" s="129">
        <v>0</v>
      </c>
      <c r="DC316" s="129">
        <v>-2875</v>
      </c>
      <c r="DD316" s="129">
        <v>-29258</v>
      </c>
      <c r="DE316" s="129">
        <v>0</v>
      </c>
      <c r="DF316" s="129">
        <v>-29258</v>
      </c>
      <c r="DG316" s="129">
        <v>-1500</v>
      </c>
      <c r="DH316" s="129">
        <v>0</v>
      </c>
      <c r="DI316" s="129">
        <v>-1500</v>
      </c>
      <c r="DJ316" s="129">
        <v>-33633</v>
      </c>
      <c r="DK316" s="129">
        <v>0</v>
      </c>
      <c r="DL316" s="129">
        <v>0</v>
      </c>
      <c r="DM316" s="129">
        <v>0</v>
      </c>
      <c r="DN316" s="129">
        <v>-33633</v>
      </c>
      <c r="DO316" s="129">
        <v>0</v>
      </c>
      <c r="DP316" s="129">
        <v>-33633</v>
      </c>
      <c r="DQ316" s="129">
        <v>107078533</v>
      </c>
      <c r="DR316" s="129">
        <v>984778</v>
      </c>
      <c r="DS316" s="129">
        <v>108063311</v>
      </c>
      <c r="DT316" s="662" t="s">
        <v>554</v>
      </c>
      <c r="DU316" s="673" t="s">
        <v>486</v>
      </c>
      <c r="DV316" s="674" t="s">
        <v>555</v>
      </c>
      <c r="DW316" s="529" t="s">
        <v>1521</v>
      </c>
    </row>
    <row r="317" spans="1:127" ht="13.5" thickBot="1" x14ac:dyDescent="0.25">
      <c r="A317" s="677">
        <v>310</v>
      </c>
      <c r="B317" s="676" t="s">
        <v>480</v>
      </c>
      <c r="C317" s="677"/>
      <c r="D317" s="678" t="s">
        <v>1211</v>
      </c>
      <c r="E317" s="679" t="s">
        <v>1524</v>
      </c>
      <c r="F317" s="754"/>
      <c r="G317" s="794">
        <f>SUM(G8:G316)</f>
        <v>63233580438</v>
      </c>
      <c r="H317" s="794">
        <f>SUM(H8:H316)</f>
        <v>696431132</v>
      </c>
      <c r="I317" s="794">
        <f t="shared" ref="I317:BT317" si="0">SUM(I8:I316)</f>
        <v>63930011570</v>
      </c>
      <c r="J317" s="794">
        <f t="shared" si="0"/>
        <v>15419.099999999924</v>
      </c>
      <c r="K317" s="794">
        <f t="shared" si="0"/>
        <v>31553556631</v>
      </c>
      <c r="L317" s="794">
        <f t="shared" si="0"/>
        <v>347519133</v>
      </c>
      <c r="M317" s="794">
        <f t="shared" si="0"/>
        <v>-6274381</v>
      </c>
      <c r="N317" s="794">
        <f t="shared" si="0"/>
        <v>8877395</v>
      </c>
      <c r="O317" s="794">
        <f t="shared" si="0"/>
        <v>31547282250</v>
      </c>
      <c r="P317" s="794">
        <f t="shared" si="0"/>
        <v>356396528</v>
      </c>
      <c r="Q317" s="794">
        <f t="shared" si="0"/>
        <v>31903678778</v>
      </c>
      <c r="R317" s="794">
        <f t="shared" si="0"/>
        <v>-85260476</v>
      </c>
      <c r="S317" s="794">
        <f t="shared" si="0"/>
        <v>-410506</v>
      </c>
      <c r="T317" s="794">
        <f t="shared" si="0"/>
        <v>-85670982</v>
      </c>
      <c r="U317" s="794">
        <f t="shared" si="0"/>
        <v>141089811</v>
      </c>
      <c r="V317" s="794">
        <f t="shared" si="0"/>
        <v>1959539</v>
      </c>
      <c r="W317" s="794">
        <f t="shared" si="0"/>
        <v>143049350</v>
      </c>
      <c r="X317" s="794">
        <f t="shared" si="0"/>
        <v>55829335</v>
      </c>
      <c r="Y317" s="794">
        <f t="shared" si="0"/>
        <v>1549033</v>
      </c>
      <c r="Z317" s="794">
        <f t="shared" si="0"/>
        <v>293752</v>
      </c>
      <c r="AA317" s="794">
        <f t="shared" si="0"/>
        <v>94377</v>
      </c>
      <c r="AB317" s="794">
        <f t="shared" si="0"/>
        <v>56123087</v>
      </c>
      <c r="AC317" s="794">
        <f t="shared" si="0"/>
        <v>1643410</v>
      </c>
      <c r="AD317" s="794">
        <f t="shared" si="0"/>
        <v>57766497</v>
      </c>
      <c r="AE317" s="794">
        <f t="shared" si="0"/>
        <v>-56123087</v>
      </c>
      <c r="AF317" s="794">
        <f t="shared" si="0"/>
        <v>-1643410</v>
      </c>
      <c r="AG317" s="794">
        <f t="shared" si="0"/>
        <v>-57766497</v>
      </c>
      <c r="AH317" s="794">
        <f t="shared" si="0"/>
        <v>-2095383115</v>
      </c>
      <c r="AI317" s="794">
        <f t="shared" si="0"/>
        <v>-7969356</v>
      </c>
      <c r="AJ317" s="794">
        <f t="shared" si="0"/>
        <v>-2103352471</v>
      </c>
      <c r="AK317" s="794">
        <f t="shared" si="0"/>
        <v>-3529927</v>
      </c>
      <c r="AL317" s="794">
        <f t="shared" si="0"/>
        <v>-39103</v>
      </c>
      <c r="AM317" s="794">
        <f t="shared" si="0"/>
        <v>-3569030</v>
      </c>
      <c r="AN317" s="794">
        <f t="shared" si="0"/>
        <v>625314653</v>
      </c>
      <c r="AO317" s="794">
        <f t="shared" si="0"/>
        <v>7645253</v>
      </c>
      <c r="AP317" s="794">
        <f t="shared" si="0"/>
        <v>632959906</v>
      </c>
      <c r="AQ317" s="794">
        <f t="shared" si="0"/>
        <v>-1470068465</v>
      </c>
      <c r="AR317" s="794">
        <f t="shared" si="0"/>
        <v>-324103</v>
      </c>
      <c r="AS317" s="794">
        <f t="shared" si="0"/>
        <v>-1470392568</v>
      </c>
      <c r="AT317" s="794">
        <f t="shared" si="0"/>
        <v>-2004581412</v>
      </c>
      <c r="AU317" s="794">
        <f t="shared" si="0"/>
        <v>-10124080</v>
      </c>
      <c r="AV317" s="794">
        <f t="shared" si="0"/>
        <v>-2014705492</v>
      </c>
      <c r="AW317" s="794">
        <f t="shared" si="0"/>
        <v>-20754802</v>
      </c>
      <c r="AX317" s="794">
        <f t="shared" si="0"/>
        <v>-18432</v>
      </c>
      <c r="AY317" s="794">
        <f t="shared" si="0"/>
        <v>-20773234</v>
      </c>
      <c r="AZ317" s="794">
        <f t="shared" si="0"/>
        <v>-4080417</v>
      </c>
      <c r="BA317" s="794">
        <f t="shared" si="0"/>
        <v>0</v>
      </c>
      <c r="BB317" s="794">
        <f t="shared" si="0"/>
        <v>-4080417</v>
      </c>
      <c r="BC317" s="794">
        <f t="shared" si="0"/>
        <v>-74650</v>
      </c>
      <c r="BD317" s="794">
        <f t="shared" si="0"/>
        <v>0</v>
      </c>
      <c r="BE317" s="794">
        <f t="shared" si="0"/>
        <v>-74650</v>
      </c>
      <c r="BF317" s="794">
        <f t="shared" si="0"/>
        <v>-3499559744</v>
      </c>
      <c r="BG317" s="794">
        <f t="shared" si="0"/>
        <v>-10466615</v>
      </c>
      <c r="BH317" s="794">
        <f t="shared" si="0"/>
        <v>-11502646</v>
      </c>
      <c r="BI317" s="794">
        <f t="shared" si="0"/>
        <v>-167043</v>
      </c>
      <c r="BJ317" s="794">
        <f t="shared" si="0"/>
        <v>-3511062390</v>
      </c>
      <c r="BK317" s="794">
        <f t="shared" si="0"/>
        <v>-10633658</v>
      </c>
      <c r="BL317" s="794">
        <f t="shared" si="0"/>
        <v>-3521696048</v>
      </c>
      <c r="BM317" s="794">
        <f t="shared" si="0"/>
        <v>-15006744</v>
      </c>
      <c r="BN317" s="794">
        <f t="shared" si="0"/>
        <v>-61954</v>
      </c>
      <c r="BO317" s="794">
        <f t="shared" si="0"/>
        <v>-15068698</v>
      </c>
      <c r="BP317" s="794">
        <f t="shared" si="0"/>
        <v>-924111833</v>
      </c>
      <c r="BQ317" s="794">
        <f t="shared" si="0"/>
        <v>-18600727</v>
      </c>
      <c r="BR317" s="794">
        <f t="shared" si="0"/>
        <v>-942712560</v>
      </c>
      <c r="BS317" s="794">
        <f t="shared" si="0"/>
        <v>-939118578</v>
      </c>
      <c r="BT317" s="794">
        <f t="shared" si="0"/>
        <v>-18662681</v>
      </c>
      <c r="BU317" s="794">
        <f t="shared" ref="BU317:DS317" si="1">SUM(BU8:BU316)</f>
        <v>-78521590</v>
      </c>
      <c r="BV317" s="794">
        <f t="shared" si="1"/>
        <v>-1432325</v>
      </c>
      <c r="BW317" s="794">
        <f t="shared" si="1"/>
        <v>-1017640168</v>
      </c>
      <c r="BX317" s="794">
        <f t="shared" si="1"/>
        <v>-20095006</v>
      </c>
      <c r="BY317" s="794">
        <f t="shared" si="1"/>
        <v>-1037735174</v>
      </c>
      <c r="BZ317" s="794">
        <f t="shared" si="1"/>
        <v>-45388439</v>
      </c>
      <c r="CA317" s="794">
        <f t="shared" si="1"/>
        <v>-134008</v>
      </c>
      <c r="CB317" s="794">
        <f t="shared" si="1"/>
        <v>-45522447</v>
      </c>
      <c r="CC317" s="794">
        <f t="shared" si="1"/>
        <v>-32608748</v>
      </c>
      <c r="CD317" s="794">
        <f t="shared" si="1"/>
        <v>-320746</v>
      </c>
      <c r="CE317" s="794">
        <f t="shared" si="1"/>
        <v>-32929494</v>
      </c>
      <c r="CF317" s="794">
        <f t="shared" si="1"/>
        <v>-1232466</v>
      </c>
      <c r="CG317" s="794">
        <f t="shared" si="1"/>
        <v>0</v>
      </c>
      <c r="CH317" s="794">
        <f t="shared" si="1"/>
        <v>-1232466</v>
      </c>
      <c r="CI317" s="794">
        <f t="shared" si="1"/>
        <v>-281156</v>
      </c>
      <c r="CJ317" s="794">
        <f t="shared" si="1"/>
        <v>0</v>
      </c>
      <c r="CK317" s="794">
        <f t="shared" si="1"/>
        <v>-281156</v>
      </c>
      <c r="CL317" s="794">
        <f t="shared" si="1"/>
        <v>-845419</v>
      </c>
      <c r="CM317" s="794">
        <f t="shared" si="1"/>
        <v>0</v>
      </c>
      <c r="CN317" s="794">
        <f t="shared" si="1"/>
        <v>-845419</v>
      </c>
      <c r="CO317" s="794">
        <f t="shared" si="1"/>
        <v>-6152583</v>
      </c>
      <c r="CP317" s="794">
        <f t="shared" si="1"/>
        <v>-13153892</v>
      </c>
      <c r="CQ317" s="794">
        <f t="shared" si="1"/>
        <v>-19306475</v>
      </c>
      <c r="CR317" s="794">
        <f t="shared" si="1"/>
        <v>-12920801</v>
      </c>
      <c r="CS317" s="794">
        <f t="shared" si="1"/>
        <v>-1797271</v>
      </c>
      <c r="CT317" s="794">
        <f t="shared" si="1"/>
        <v>-86508809</v>
      </c>
      <c r="CU317" s="794">
        <f t="shared" si="1"/>
        <v>-13608646</v>
      </c>
      <c r="CV317" s="794">
        <f t="shared" si="1"/>
        <v>-2273690</v>
      </c>
      <c r="CW317" s="794">
        <f t="shared" si="1"/>
        <v>-101000</v>
      </c>
      <c r="CX317" s="794">
        <f t="shared" si="1"/>
        <v>-88782499</v>
      </c>
      <c r="CY317" s="794">
        <f t="shared" si="1"/>
        <v>-13709646</v>
      </c>
      <c r="CZ317" s="794">
        <f t="shared" si="1"/>
        <v>-102492145</v>
      </c>
      <c r="DA317" s="794">
        <f t="shared" si="1"/>
        <v>-4178622</v>
      </c>
      <c r="DB317" s="794">
        <f t="shared" si="1"/>
        <v>0</v>
      </c>
      <c r="DC317" s="794">
        <f t="shared" si="1"/>
        <v>-4178622</v>
      </c>
      <c r="DD317" s="794">
        <f t="shared" si="1"/>
        <v>-12773612</v>
      </c>
      <c r="DE317" s="794">
        <f t="shared" si="1"/>
        <v>-14357</v>
      </c>
      <c r="DF317" s="794">
        <f t="shared" si="1"/>
        <v>-12787969</v>
      </c>
      <c r="DG317" s="794">
        <f t="shared" si="1"/>
        <v>-133157</v>
      </c>
      <c r="DH317" s="794">
        <f t="shared" si="1"/>
        <v>0</v>
      </c>
      <c r="DI317" s="794">
        <f t="shared" si="1"/>
        <v>-133157</v>
      </c>
      <c r="DJ317" s="794">
        <f t="shared" si="1"/>
        <v>-17085391</v>
      </c>
      <c r="DK317" s="794">
        <f t="shared" si="1"/>
        <v>-14357</v>
      </c>
      <c r="DL317" s="794">
        <f t="shared" si="1"/>
        <v>-2627634</v>
      </c>
      <c r="DM317" s="794">
        <f t="shared" si="1"/>
        <v>0</v>
      </c>
      <c r="DN317" s="794">
        <f t="shared" si="1"/>
        <v>-19713025</v>
      </c>
      <c r="DO317" s="794">
        <f t="shared" si="1"/>
        <v>-14357</v>
      </c>
      <c r="DP317" s="794">
        <f t="shared" si="1"/>
        <v>-19727382</v>
      </c>
      <c r="DQ317" s="794">
        <f t="shared" si="1"/>
        <v>26966207255</v>
      </c>
      <c r="DR317" s="794">
        <f t="shared" si="1"/>
        <v>313587271</v>
      </c>
      <c r="DS317" s="794">
        <f t="shared" si="1"/>
        <v>27279794526</v>
      </c>
      <c r="DT317" s="681" t="s">
        <v>1522</v>
      </c>
      <c r="DU317" s="682" t="s">
        <v>1523</v>
      </c>
      <c r="DV317" s="683" t="s">
        <v>484</v>
      </c>
    </row>
    <row r="318" spans="1:127" x14ac:dyDescent="0.2">
      <c r="D318" s="684"/>
      <c r="E318" s="685"/>
    </row>
    <row r="319" spans="1:127" x14ac:dyDescent="0.2">
      <c r="A319" s="686"/>
      <c r="D319" s="685" t="s">
        <v>1870</v>
      </c>
      <c r="E319" s="685"/>
    </row>
  </sheetData>
  <autoFilter ref="A7:DW317" xr:uid="{B26B3F23-6320-48DF-89A1-575458E8154A}"/>
  <mergeCells count="82">
    <mergeCell ref="U1:W1"/>
    <mergeCell ref="G1:I1"/>
    <mergeCell ref="K1:L1"/>
    <mergeCell ref="M1:N1"/>
    <mergeCell ref="O1:Q1"/>
    <mergeCell ref="R1:T1"/>
    <mergeCell ref="BF1:BG1"/>
    <mergeCell ref="X1:Y1"/>
    <mergeCell ref="Z1:AA1"/>
    <mergeCell ref="AB1:AD1"/>
    <mergeCell ref="AE1:AG1"/>
    <mergeCell ref="AH1:AJ1"/>
    <mergeCell ref="AK1:AM1"/>
    <mergeCell ref="AN1:AP1"/>
    <mergeCell ref="AQ1:AS1"/>
    <mergeCell ref="AT1:AV1"/>
    <mergeCell ref="AW1:AY1"/>
    <mergeCell ref="AZ1:BB1"/>
    <mergeCell ref="CL1:CN1"/>
    <mergeCell ref="BH1:BI1"/>
    <mergeCell ref="BJ1:BL1"/>
    <mergeCell ref="BM1:BO1"/>
    <mergeCell ref="BP1:BR1"/>
    <mergeCell ref="BS1:BT1"/>
    <mergeCell ref="BU1:BV1"/>
    <mergeCell ref="BW1:BY1"/>
    <mergeCell ref="BZ1:CB1"/>
    <mergeCell ref="CC1:CE1"/>
    <mergeCell ref="CF1:CH1"/>
    <mergeCell ref="CI1:CK1"/>
    <mergeCell ref="DJ1:DK1"/>
    <mergeCell ref="DL1:DM1"/>
    <mergeCell ref="DN1:DP1"/>
    <mergeCell ref="DQ1:DS1"/>
    <mergeCell ref="G2:I2"/>
    <mergeCell ref="K2:L2"/>
    <mergeCell ref="M2:N2"/>
    <mergeCell ref="O2:Q2"/>
    <mergeCell ref="R2:T2"/>
    <mergeCell ref="U2:W2"/>
    <mergeCell ref="CO1:CQ1"/>
    <mergeCell ref="CT1:CU1"/>
    <mergeCell ref="CV1:CW1"/>
    <mergeCell ref="CX1:CZ1"/>
    <mergeCell ref="DA1:DC1"/>
    <mergeCell ref="DD1:DF1"/>
    <mergeCell ref="BC2:BE2"/>
    <mergeCell ref="X2:Y2"/>
    <mergeCell ref="Z2:AA2"/>
    <mergeCell ref="AB2:AD2"/>
    <mergeCell ref="AE2:AG2"/>
    <mergeCell ref="AH2:AJ2"/>
    <mergeCell ref="AK2:AM2"/>
    <mergeCell ref="AN2:AP2"/>
    <mergeCell ref="AQ2:AS2"/>
    <mergeCell ref="AT2:AV2"/>
    <mergeCell ref="AW2:AY2"/>
    <mergeCell ref="AZ2:BB2"/>
    <mergeCell ref="CI2:CK2"/>
    <mergeCell ref="BF2:BG2"/>
    <mergeCell ref="BH2:BI2"/>
    <mergeCell ref="BJ2:BL2"/>
    <mergeCell ref="BM2:BO2"/>
    <mergeCell ref="BP2:BR2"/>
    <mergeCell ref="BS2:BT2"/>
    <mergeCell ref="BU2:BV2"/>
    <mergeCell ref="BW2:BY2"/>
    <mergeCell ref="BZ2:CB2"/>
    <mergeCell ref="CC2:CE2"/>
    <mergeCell ref="CF2:CH2"/>
    <mergeCell ref="DQ2:DS2"/>
    <mergeCell ref="CL2:CN2"/>
    <mergeCell ref="CO2:CQ2"/>
    <mergeCell ref="CT2:CU2"/>
    <mergeCell ref="CV2:CW2"/>
    <mergeCell ref="CX2:CZ2"/>
    <mergeCell ref="DA2:DC2"/>
    <mergeCell ref="DD2:DF2"/>
    <mergeCell ref="DG2:DI2"/>
    <mergeCell ref="DJ2:DK2"/>
    <mergeCell ref="DL2:DM2"/>
    <mergeCell ref="DN2:DP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E8076D1E-006C-4973-80CF-C092913DCAA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14</vt:i4>
      </vt:variant>
    </vt:vector>
  </HeadingPairs>
  <TitlesOfParts>
    <vt:vector size="27" baseType="lpstr">
      <vt:lpstr>Metadata</vt:lpstr>
      <vt:lpstr>Part 1</vt:lpstr>
      <vt:lpstr>Part 2</vt:lpstr>
      <vt:lpstr>Part 3</vt:lpstr>
      <vt:lpstr>Part 3 DA summary</vt:lpstr>
      <vt:lpstr>Part 4</vt:lpstr>
      <vt:lpstr>Part 4a Three year spread</vt:lpstr>
      <vt:lpstr>DataSheet1</vt:lpstr>
      <vt:lpstr>DataSheet2</vt:lpstr>
      <vt:lpstr>DataSheet3</vt:lpstr>
      <vt:lpstr>DataSheetDA</vt:lpstr>
      <vt:lpstr>DataSheet4</vt:lpstr>
      <vt:lpstr>DataSheet4a</vt:lpstr>
      <vt:lpstr>CONTACT</vt:lpstr>
      <vt:lpstr>'Part 3 DA summary'!CTRprint1</vt:lpstr>
      <vt:lpstr>'Part 3 DA summary'!CTRprint2</vt:lpstr>
      <vt:lpstr>Import_LA_Code</vt:lpstr>
      <vt:lpstr>Import_LA_Name</vt:lpstr>
      <vt:lpstr>Metadata!Print_Area</vt:lpstr>
      <vt:lpstr>'Part 1'!Print_Area</vt:lpstr>
      <vt:lpstr>'Part 2'!Print_Area</vt:lpstr>
      <vt:lpstr>'Part 3'!Print_Area</vt:lpstr>
      <vt:lpstr>'Part 3 DA summary'!Print_Area</vt:lpstr>
      <vt:lpstr>'Part 4'!Print_Area</vt:lpstr>
      <vt:lpstr>'Part 1'!Print_Titles</vt:lpstr>
      <vt:lpstr>'Part 2'!Print_Titles</vt:lpstr>
      <vt:lpstr>'Part 3 DA summary'!Print_Titles</vt:lpstr>
    </vt:vector>
  </TitlesOfParts>
  <Company>DCLG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JFarrar</dc:creator>
  <cp:lastModifiedBy>Joe Scott</cp:lastModifiedBy>
  <cp:lastPrinted>2019-12-16T17:53:06Z</cp:lastPrinted>
  <dcterms:created xsi:type="dcterms:W3CDTF">2013-07-12T16:47:25Z</dcterms:created>
  <dcterms:modified xsi:type="dcterms:W3CDTF">2021-03-16T11:49:20Z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4fb1df8e-c098-4f4f-8ae7-e9be86402f4a</vt:lpwstr>
  </property>
  <property fmtid="{D5CDD505-2E9C-101B-9397-08002B2CF9AE}" pid="3" name="bjSaver">
    <vt:lpwstr>XePHT1A/4MVOnNF8mnysHX9hPqgb2QQL</vt:lpwstr>
  </property>
  <property fmtid="{D5CDD505-2E9C-101B-9397-08002B2CF9AE}" pid="4" name="bjDocumentSecurityLabel">
    <vt:lpwstr>No Marking</vt:lpwstr>
  </property>
</Properties>
</file>